
<file path=[Content_Types].xml><?xml version="1.0" encoding="utf-8"?>
<Types xmlns="http://schemas.openxmlformats.org/package/2006/content-types">
  <Default Extension="xml" ContentType="application/xml"/>
  <Default Extension="vml" ContentType="application/vnd.openxmlformats-officedocument.vmlDrawing"/>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lockStructure="1"/>
  <bookViews>
    <workbookView windowWidth="24840" windowHeight="11480" tabRatio="821"/>
  </bookViews>
  <sheets>
    <sheet name="人物卡" sheetId="1" r:id="rId1"/>
    <sheet name="简化卡" sheetId="2" r:id="rId2"/>
    <sheet name="职业列表" sheetId="5" r:id="rId3"/>
    <sheet name="技能注释" sheetId="3" r:id="rId4"/>
    <sheet name="附表" sheetId="4" state="hidden" r:id="rId5"/>
    <sheet name="本职技能" sheetId="6" state="hidden" r:id="rId6"/>
    <sheet name="属性注释" sheetId="7" r:id="rId7"/>
    <sheet name="资产及物价参考" sheetId="8" r:id="rId8"/>
    <sheet name="武器列表" sheetId="9" r:id="rId9"/>
    <sheet name="防具表 载具表" sheetId="10" r:id="rId10"/>
    <sheet name="疯狂表" sheetId="11" r:id="rId11"/>
    <sheet name="更新说明" sheetId="12" r:id="rId12"/>
  </sheets>
  <definedNames>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 name="_xlnm._FilterDatabase" localSheetId="0" hidden="1">人物卡!$AU$18:$BR$26</definedName>
  </definedNames>
  <calcPr calcId="144525"/>
</workbook>
</file>

<file path=xl/comments1.xml><?xml version="1.0" encoding="utf-8"?>
<comments xmlns="http://schemas.openxmlformats.org/spreadsheetml/2006/main">
  <authors>
    <author>Windows10</author>
  </authors>
  <commentList>
    <comment ref="C3" authorId="0">
      <text>
        <r>
          <rPr>
            <sz val="9"/>
            <rFont val="SimSun"/>
            <charset val="134"/>
          </rPr>
          <t>请在此处填写职业名称</t>
        </r>
      </text>
    </comment>
  </commentList>
</comments>
</file>

<file path=xl/comments2.xml><?xml version="1.0" encoding="utf-8"?>
<comments xmlns="http://schemas.openxmlformats.org/spreadsheetml/2006/main">
  <authors>
    <author>Windows10</author>
  </authors>
  <commentList>
    <comment ref="S219" authorId="0">
      <text>
        <r>
          <rPr>
            <b/>
            <sz val="9"/>
            <rFont val="SimSun"/>
            <charset val="134"/>
          </rPr>
          <t>Aerocraft （01%）</t>
        </r>
        <r>
          <rPr>
            <sz val="9"/>
            <rFont val="SimSun"/>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text>
        <r>
          <rPr>
            <b/>
            <sz val="9"/>
            <rFont val="SimSun"/>
            <charset val="134"/>
          </rPr>
          <t>Photography (05%)</t>
        </r>
        <r>
          <rPr>
            <sz val="9"/>
            <rFont val="SimSun"/>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<sst xmlns="http://schemas.openxmlformats.org/spreadsheetml/2006/main" count="12248" uniqueCount="5817">
  <si>
    <t>彩色-黑红色 欢迎使用！建议用wps打开 可能会有小bug 如果发现了欢迎来群里联系作者（657573844）</t>
  </si>
  <si>
    <t>调查员信息</t>
  </si>
  <si>
    <t>年龄补正：</t>
  </si>
  <si>
    <t>属性</t>
  </si>
  <si>
    <t>总点数(不含运):</t>
  </si>
  <si>
    <t>调查员可能</t>
  </si>
  <si>
    <t>姓名</t>
  </si>
  <si>
    <t>尤金</t>
  </si>
  <si>
    <t>玩家</t>
  </si>
  <si>
    <t>文月</t>
  </si>
  <si>
    <t>力量
STR</t>
  </si>
  <si>
    <t>敏捷
DEX</t>
  </si>
  <si>
    <t>意志
POW</t>
  </si>
  <si>
    <t>年龄</t>
  </si>
  <si>
    <t>时代</t>
  </si>
  <si>
    <t>1920s</t>
  </si>
  <si>
    <t>职业</t>
  </si>
  <si>
    <t>私家侦探</t>
  </si>
  <si>
    <t>职业序号</t>
  </si>
  <si>
    <t>体质
CON</t>
  </si>
  <si>
    <t>外貌
APP</t>
  </si>
  <si>
    <t>教育
EDU</t>
  </si>
  <si>
    <t>性别</t>
  </si>
  <si>
    <t>男</t>
  </si>
  <si>
    <t>国籍</t>
  </si>
  <si>
    <t>美国</t>
  </si>
  <si>
    <t>住地</t>
  </si>
  <si>
    <t>布鲁克林区</t>
  </si>
  <si>
    <t>故乡</t>
  </si>
  <si>
    <t>纽约</t>
  </si>
  <si>
    <t>体型
SIZ</t>
  </si>
  <si>
    <t>智力
灵感</t>
  </si>
  <si>
    <t>幸运
Luck</t>
  </si>
  <si>
    <t>现时间</t>
  </si>
  <si>
    <t>公元</t>
  </si>
  <si>
    <t>1月</t>
  </si>
  <si>
    <t>1日</t>
  </si>
  <si>
    <t>0：00</t>
  </si>
  <si>
    <t>体力
Hit  Points</t>
  </si>
  <si>
    <t>状态:</t>
  </si>
  <si>
    <t>理智
Sanity</t>
  </si>
  <si>
    <r>
      <rPr>
        <sz val="10"/>
        <color rgb="FF000000"/>
        <rFont val="幼圆"/>
        <charset val="134"/>
      </rPr>
      <t xml:space="preserve">魔法
</t>
    </r>
    <r>
      <rPr>
        <sz val="8"/>
        <color rgb="FF000000"/>
        <rFont val="幼圆"/>
        <charset val="134"/>
      </rPr>
      <t>Magic Points</t>
    </r>
  </si>
  <si>
    <t>每h恢复</t>
  </si>
  <si>
    <t>移动力
MOV</t>
  </si>
  <si>
    <t>调整值</t>
  </si>
  <si>
    <t>护甲       Armor</t>
  </si>
  <si>
    <t>覆盖部位</t>
  </si>
  <si>
    <t>健康</t>
  </si>
  <si>
    <t>清醒</t>
  </si>
  <si>
    <t>重伤值:</t>
  </si>
  <si>
    <t>临时体力值：</t>
  </si>
  <si>
    <t>今日损失 :</t>
  </si>
  <si>
    <t>剩余：</t>
  </si>
  <si>
    <t>使用过的魔法 :</t>
  </si>
  <si>
    <t>移动方式</t>
  </si>
  <si>
    <t>步式</t>
  </si>
  <si>
    <t>护甲减值</t>
  </si>
  <si>
    <t>关</t>
  </si>
  <si>
    <t>护甲类型 :</t>
  </si>
  <si>
    <t>请看【防具表】</t>
  </si>
  <si>
    <t>[0]经历包可选技能：</t>
  </si>
  <si>
    <t>技能表</t>
  </si>
  <si>
    <t>成功标</t>
  </si>
  <si>
    <t>技能名称</t>
  </si>
  <si>
    <t>初始</t>
  </si>
  <si>
    <t>成长/经历</t>
  </si>
  <si>
    <t>兴趣</t>
  </si>
  <si>
    <r>
      <rPr>
        <sz val="10"/>
        <color rgb="FF000000"/>
        <rFont val="幼圆"/>
        <charset val="134"/>
      </rPr>
      <t xml:space="preserve">成功率 </t>
    </r>
    <r>
      <rPr>
        <sz val="8"/>
        <color rgb="FF000000"/>
        <rFont val="幼圆"/>
        <charset val="134"/>
      </rPr>
      <t>普通/困难/极限</t>
    </r>
  </si>
  <si>
    <r>
      <rPr>
        <sz val="10"/>
        <color rgb="FF000000"/>
        <rFont val="宋体"/>
        <charset val="134"/>
      </rPr>
      <t>☐</t>
    </r>
  </si>
  <si>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</si>
  <si>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</si>
  <si>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</si>
  <si>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</si>
  <si>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</si>
  <si>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</si>
  <si>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</si>
  <si>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</si>
  <si>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</si>
  <si>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</si>
  <si>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</si>
  <si>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</si>
  <si>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</si>
  <si>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</si>
  <si>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</si>
  <si>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</si>
  <si>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</si>
  <si>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提示当前职业</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</si>
  <si>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</si>
  <si>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</si>
  <si>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</si>
  <si>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</si>
  <si>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</si>
  <si>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</si>
  <si>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</si>
  <si>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</si>
  <si>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</si>
  <si>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</si>
  <si>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基础值</t>
  </si>
  <si>
    <t>经历包名称</t>
  </si>
  <si>
    <t>状态名称(例:生病、精神分裂)</t>
  </si>
  <si>
    <t>——</t>
  </si>
  <si>
    <t>★</t>
  </si>
  <si>
    <t>信用评级</t>
  </si>
  <si>
    <t>说服</t>
  </si>
  <si>
    <t>克苏鲁神话</t>
  </si>
  <si>
    <t>驾驶：</t>
  </si>
  <si>
    <t>用法/备注</t>
  </si>
  <si>
    <t>san值减少</t>
  </si>
  <si>
    <t>技能增长</t>
  </si>
  <si>
    <t>身体状态</t>
  </si>
  <si>
    <t>精神状态</t>
  </si>
  <si>
    <t>乔装</t>
  </si>
  <si>
    <t>精神分析</t>
  </si>
  <si>
    <t>闪避</t>
  </si>
  <si>
    <t>心理学</t>
  </si>
  <si>
    <t>可选技能</t>
  </si>
  <si>
    <t>汽车驾驶</t>
  </si>
  <si>
    <t>骑术</t>
  </si>
  <si>
    <t>电气维修</t>
  </si>
  <si>
    <t>科学①</t>
  </si>
  <si>
    <t>电子学 Ω</t>
  </si>
  <si>
    <t>科学②</t>
  </si>
  <si>
    <t>话术</t>
  </si>
  <si>
    <t>科学③</t>
  </si>
  <si>
    <t>备注</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</si>
  <si>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</si>
  <si>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</si>
  <si>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</si>
  <si>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</si>
  <si>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</si>
  <si>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</si>
  <si>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</si>
  <si>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</si>
  <si>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</si>
  <si>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</si>
  <si>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</si>
  <si>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</si>
  <si>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</si>
  <si>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</si>
  <si>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</si>
  <si>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</si>
  <si>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</si>
  <si>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</si>
  <si>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r>
      <rPr>
        <sz val="10"/>
        <color rgb="FF000000"/>
        <rFont val="幼圆"/>
        <charset val="134"/>
      </rPr>
      <t>射击</t>
    </r>
    <r>
      <rPr>
        <sz val="9"/>
        <color rgb="FF000000"/>
        <rFont val="幼圆"/>
        <charset val="134"/>
      </rPr>
      <t>①</t>
    </r>
  </si>
  <si>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</si>
  <si>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</si>
  <si>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</si>
  <si>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</si>
  <si>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</si>
  <si>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</si>
  <si>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</si>
  <si>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</si>
  <si>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</si>
  <si>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</si>
  <si>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</si>
  <si>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</si>
  <si>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</si>
  <si>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</si>
  <si>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</si>
  <si>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</si>
  <si>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</si>
  <si>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学问：</t>
  </si>
  <si>
    <t>外语③</t>
  </si>
  <si>
    <t>自定义技能</t>
  </si>
  <si>
    <t>母语</t>
  </si>
  <si>
    <t>武器表</t>
  </si>
  <si>
    <t>格斗</t>
  </si>
  <si>
    <t>武器名称</t>
  </si>
  <si>
    <t>类型</t>
  </si>
  <si>
    <t>使用技能</t>
  </si>
  <si>
    <t>成功率</t>
  </si>
  <si>
    <t>伤害</t>
  </si>
  <si>
    <t>射程</t>
  </si>
  <si>
    <t>穿刺</t>
  </si>
  <si>
    <t>次数</t>
  </si>
  <si>
    <t>装弹量</t>
  </si>
  <si>
    <t>故障值</t>
  </si>
  <si>
    <t>伤害加值
Damage Bonus</t>
  </si>
  <si>
    <t>无</t>
  </si>
  <si>
    <t>肉搏</t>
  </si>
  <si>
    <t>1D3+DB</t>
  </si>
  <si>
    <t>×</t>
  </si>
  <si>
    <t>钢笔刀</t>
  </si>
  <si>
    <t>小型刀具(弹簧折叠刀等)</t>
  </si>
  <si>
    <t>体格
Build</t>
  </si>
  <si>
    <t>闪避
Dodge</t>
  </si>
  <si>
    <t>资产</t>
  </si>
  <si>
    <t>背景故事</t>
  </si>
  <si>
    <t>生活水平</t>
  </si>
  <si>
    <t>消费水平</t>
  </si>
  <si>
    <t>其他资产</t>
  </si>
  <si>
    <t>当前现金($)</t>
  </si>
  <si>
    <t>单位</t>
  </si>
  <si>
    <t>个人描述
角色外貌</t>
  </si>
  <si>
    <t>高瘦，黑发蓝眼，英俊</t>
  </si>
  <si>
    <t>关键
连接</t>
  </si>
  <si>
    <t>美元</t>
  </si>
  <si>
    <t>请在这里详述你的资产</t>
  </si>
  <si>
    <t>思想与信念</t>
  </si>
  <si>
    <t>他没有什么追求，但或许他能为像凯瑟琳一样的人做些什么</t>
  </si>
  <si>
    <r>
      <rPr>
        <sz val="12"/>
        <color rgb="FF000000"/>
        <rFont val="宋体"/>
        <charset val="134"/>
      </rPr>
      <t>☐</t>
    </r>
  </si>
  <si>
    <t>年代</t>
  </si>
  <si>
    <t>国际重大历史进程</t>
  </si>
  <si>
    <t>中国重大历史进程</t>
  </si>
  <si>
    <t>重要之人</t>
  </si>
  <si>
    <t>母亲凯瑟琳</t>
  </si>
  <si>
    <t>意义非凡之地</t>
  </si>
  <si>
    <t>纽约港口</t>
  </si>
  <si>
    <t>新闻</t>
  </si>
  <si>
    <t>其他资产表</t>
  </si>
  <si>
    <t>交通工具</t>
  </si>
  <si>
    <t>住所</t>
  </si>
  <si>
    <t>奢侈品</t>
  </si>
  <si>
    <t>股票/证券等</t>
  </si>
  <si>
    <t>其他</t>
  </si>
  <si>
    <t>宝贵之物</t>
  </si>
  <si>
    <t>凯瑟琳的银项链</t>
  </si>
  <si>
    <t>精致烟盒和打火机、一对昂贵的宝石耳环</t>
  </si>
  <si>
    <t>难言之隐</t>
  </si>
  <si>
    <t>厌恶酒精和不忠诚的男人</t>
  </si>
  <si>
    <t>特质</t>
  </si>
  <si>
    <t>散漫，看着不那么靠谱，女人缘极好</t>
  </si>
  <si>
    <t>伤口和疤痕</t>
  </si>
  <si>
    <t>随身物品（使用右侧栏位需要背包）</t>
  </si>
  <si>
    <t>恐惧症和狂躁症</t>
  </si>
  <si>
    <t>状态</t>
  </si>
  <si>
    <t>位置</t>
  </si>
  <si>
    <t>物品名称</t>
  </si>
  <si>
    <t>背包格↓</t>
  </si>
  <si>
    <t>显露</t>
  </si>
  <si>
    <t>衣兜</t>
  </si>
  <si>
    <t>炭黑色大衣</t>
  </si>
  <si>
    <t>小型黄铜望远镜</t>
  </si>
  <si>
    <t>纽约港口漂浮着油污与垃圾的臭味，母亲凯瑟琳沉海自杀后，西奥多觉得又多了一丝血腥味。
她所有的不幸都源自西奥多酗酒、出轨、家暴的父亲，于是某一个冬日，喝醉的父亲“意外”从结冰的消防梯跌落而亡，警方以醉鬼失足草草结案。
凯瑟琳曾说他是最聪明的孩子，明年春天要送他去上学，到头来，却由社会这所最残酷的学校教会他察言观色、谎言求生，谁也不知道他的真实想法，而西奥多天生的智慧让他摸索到适合自己的道路，他成为了一名私家侦探。
区别于不满足现状的许多同行，西奥多无意成为福尔摩斯，反而沉迷捉奸事业，很乐意为女士们服务，偶尔不收钱，甚至倒贴。至于男委托人，请付双倍报酬。
因为职业与过分英俊的外表，他有时也会卷入一些麻烦。
但没关系，凯瑟琳的银项链一直在他的心口处。
上帝不会保佑他，凯瑟琳会。</t>
  </si>
  <si>
    <t>便签本、钢笔刀</t>
  </si>
  <si>
    <t>绣字手帕</t>
  </si>
  <si>
    <t>钱包</t>
  </si>
  <si>
    <t xml:space="preserve"> </t>
  </si>
  <si>
    <t>裤兜</t>
  </si>
  <si>
    <t>中灰色西装裤</t>
  </si>
  <si>
    <t>精致烟盒和打火机</t>
  </si>
  <si>
    <t>隐藏</t>
  </si>
  <si>
    <t>衣服内</t>
  </si>
  <si>
    <t>西装马甲内侧</t>
  </si>
  <si>
    <t>一对昂贵的宝石耳环</t>
  </si>
  <si>
    <t>内衬</t>
  </si>
  <si>
    <t>衬衫内帖胸口处</t>
  </si>
  <si>
    <t>其他(服)</t>
  </si>
  <si>
    <t>银质领带夹</t>
  </si>
  <si>
    <t>开锁探针</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</si>
  <si>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</si>
  <si>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</si>
  <si>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</si>
  <si>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</si>
  <si>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</si>
  <si>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</si>
  <si>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</si>
  <si>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</si>
  <si>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</si>
  <si>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</si>
  <si>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</si>
  <si>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</si>
  <si>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</si>
  <si>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</si>
  <si>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</si>
  <si>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</si>
  <si>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流行（1919-1930年美国）</t>
  </si>
  <si>
    <t>法术一览</t>
  </si>
  <si>
    <t>经历包
(玩家手册):</t>
  </si>
  <si>
    <t>经历包名称：</t>
  </si>
  <si>
    <t>编号</t>
  </si>
  <si>
    <t>法术名称</t>
  </si>
  <si>
    <t>使用代价</t>
  </si>
  <si>
    <t>作用</t>
  </si>
  <si>
    <t>例：1</t>
  </si>
  <si>
    <t>灰色束缚</t>
  </si>
  <si>
    <t>8mp 1d6san 1h</t>
  </si>
  <si>
    <t>可以控制死去的人，直到腐烂为止</t>
  </si>
  <si>
    <t>经历包职业：</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</si>
  <si>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</si>
  <si>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</si>
  <si>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</si>
  <si>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</si>
  <si>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</si>
  <si>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</si>
  <si>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</si>
  <si>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</si>
  <si>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</si>
  <si>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</si>
  <si>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</si>
  <si>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</si>
  <si>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</si>
  <si>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孤注一骰：使用孤注一骰来重投上一次检定结果，需要合理的解释重掷原因，战斗和理智检定不能执行孤注一骰。</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</si>
  <si>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</si>
  <si>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</si>
  <si>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</si>
  <si>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</si>
  <si>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</si>
  <si>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</si>
  <si>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</si>
  <si>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</si>
  <si>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</si>
  <si>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</si>
  <si>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</si>
  <si>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</si>
  <si>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</si>
  <si>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</si>
  <si>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</si>
  <si>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</si>
  <si>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未出现的</t>
  </si>
  <si>
    <t>理智参考规则</t>
  </si>
  <si>
    <t>贝尔sama喵</t>
  </si>
  <si>
    <t>那次团的二五仔，团灭了全体</t>
  </si>
  <si>
    <t>造成伤害</t>
  </si>
  <si>
    <t>毒汤</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</si>
  <si>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</si>
  <si>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</si>
  <si>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</si>
  <si>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</si>
  <si>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</si>
  <si>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</si>
  <si>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</si>
  <si>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</si>
  <si>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</si>
  <si>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</si>
  <si>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</si>
  <si>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</si>
  <si>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</si>
  <si>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</si>
  <si>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出目：</t>
  </si>
  <si>
    <t>1D10症状
持续时间1D10
与1d10小时的潜在疯狂</t>
  </si>
  <si>
    <t>1D10症状
持续时间1D10
之后掉san就进入疯狂</t>
  </si>
  <si>
    <t>这张卡将交给
KP永久控制</t>
  </si>
  <si>
    <t>疯狂发作  即时症状</t>
  </si>
  <si>
    <t>报社/报纸（1920）</t>
  </si>
  <si>
    <t>博物馆/大学</t>
  </si>
  <si>
    <t>通讯社</t>
  </si>
  <si>
    <t>精神固化：当现有 SAN值 低于 [克苏鲁神话] 时，san值 损失永久减半</t>
  </si>
  <si>
    <t>打开下拉栏查看</t>
  </si>
  <si>
    <t>原卡由秋叶EXODUS制作</t>
  </si>
  <si>
    <t>如果你发现了难以理解的翻译、不完整的显示、或是其他各种问题请联系作者（在更新说明页有联系方式）</t>
  </si>
  <si>
    <t>贝尔sama喵 2019/3/21</t>
  </si>
  <si>
    <t>使用ctrl+滚轮上下调整大小</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</si>
  <si>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</si>
  <si>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</si>
  <si>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</si>
  <si>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</si>
  <si>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</si>
  <si>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</si>
  <si>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</si>
  <si>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</si>
  <si>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</si>
  <si>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</si>
  <si>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</si>
  <si>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</si>
  <si>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</si>
  <si>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</si>
  <si>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</si>
  <si>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</si>
  <si>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</si>
  <si>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</si>
  <si>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</si>
  <si>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</si>
  <si>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</si>
  <si>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</si>
  <si>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</si>
  <si>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</si>
  <si>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</si>
  <si>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</si>
  <si>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</si>
  <si>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</si>
  <si>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伤疤</t>
  </si>
  <si>
    <t>恐惧</t>
  </si>
  <si>
    <t>母语：</t>
  </si>
  <si>
    <t>.st指令快捷输入</t>
  </si>
  <si>
    <t>TXT框→</t>
  </si>
  <si>
    <t>请右键下格，点击“复制”，并且在右方的TXT栏“粘贴”就可以导出文本，放进QQ发送给骰子娘啦</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</si>
  <si>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</si>
  <si>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</si>
  <si>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</si>
  <si>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</si>
  <si>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</si>
  <si>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</si>
  <si>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</si>
  <si>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</si>
  <si>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</si>
  <si>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</si>
  <si>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</si>
  <si>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</si>
  <si>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</si>
  <si>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</si>
  <si>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</si>
  <si>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</si>
  <si>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</si>
  <si>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</si>
  <si>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</si>
  <si>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</si>
  <si>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</si>
  <si>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</si>
  <si>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</si>
  <si>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</si>
  <si>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</si>
  <si>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</si>
  <si>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</si>
  <si>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</si>
  <si>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</si>
  <si>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</si>
  <si>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</si>
  <si>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</si>
  <si>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知识</t>
  </si>
  <si>
    <t>信用</t>
  </si>
  <si>
    <t>信誉</t>
  </si>
  <si>
    <t>重型操作</t>
  </si>
  <si>
    <t>重型机械，重型，重型机械操作</t>
  </si>
  <si>
    <t>幸运</t>
  </si>
  <si>
    <t>运气</t>
  </si>
  <si>
    <t>克苏鲁</t>
  </si>
  <si>
    <t>cm</t>
  </si>
  <si>
    <t>生存</t>
  </si>
  <si>
    <t>红字代表不能使用该名称roll（没有录入，主要因为其特殊的标点符号）</t>
  </si>
  <si>
    <t>简化.st指令快捷输入</t>
  </si>
  <si>
    <t xml:space="preserve">这个栏位是为了一些不能输入很长~~~一段的.st骰子姬设计的，
就是除了基础属性（九维属性和体力理智魔法）外全部简化为原技能名称+技能值，并且忽略掉没有在技能基础值增加或减少的技能
</t>
  </si>
  <si>
    <t>而那些有特殊符号的将会删除特殊符号
例："计算机使用 Ω"改为了"计算机使用"
拥有子技能的会优先使用子技能名称，没有子技能名称将会使用母技能去符号
例：“技艺① 打字”成功率为10 就会显示为“打字10”
“技艺①（子技能没填）”成功率为10 就会显示为“技艺10”</t>
  </si>
  <si>
    <t>可选规则：有故事的调查员</t>
  </si>
  <si>
    <t>SAN值减少</t>
  </si>
  <si>
    <t>可选技能：</t>
  </si>
  <si>
    <t>备注：</t>
  </si>
  <si>
    <t>战场经历包</t>
  </si>
  <si>
    <t>1D10+5</t>
  </si>
  <si>
    <r>
      <rPr>
        <b/>
        <sz val="10"/>
        <color rgb="FF000000"/>
        <rFont val="微软雅黑"/>
        <charset val="134"/>
      </rPr>
      <t>普通士兵：</t>
    </r>
    <r>
      <rPr>
        <sz val="10"/>
        <color rgb="FF000000"/>
        <rFont val="微软雅黑"/>
        <charset val="134"/>
      </rPr>
      <t>攀爬，格斗(斗殴)，射击(步霰)，急救，恐吓，聆听，潜行，投掷，妙手，侦查，生存</t>
    </r>
  </si>
  <si>
    <r>
      <rPr>
        <b/>
        <sz val="9"/>
        <color rgb="FF000000"/>
        <rFont val="微软雅黑"/>
        <charset val="134"/>
      </rPr>
      <t>军官：</t>
    </r>
    <r>
      <rPr>
        <sz val="9"/>
        <color rgb="FF000000"/>
        <rFont val="微软雅黑"/>
        <charset val="134"/>
      </rPr>
      <t>攀爬，格斗(斗殴)，射击(手枪)，急救，聆听，（导航、取悦，说服，恐吓)中选一项，潜行，投掷，侦查</t>
    </r>
  </si>
  <si>
    <t>对目击尸体和重伤员造成的理智损失免疫;        
根据战争的年份和模组发生时的年份调整年龄；        
背景增加一项：战争相关的伤疤 / 疤痕或恐惧症 / 躁狂症</t>
  </si>
  <si>
    <t>警务经历包</t>
  </si>
  <si>
    <t>1D10</t>
  </si>
  <si>
    <t>攀爬，汽车驾驶，格斗（斗殴），射击（手枪或步霰），急救，法律，聆听，外语，两项社交技能（魅惑、话术、说服、恐吓），追踪</t>
  </si>
  <si>
    <t>对目击尸体造成的理智损失免疫;           
初始年龄不能低于 25 岁;        
背景增加一项：警察工作相关的伤疤 / 疤痕或恐惧症 / 躁狂症</t>
  </si>
  <si>
    <t>罪犯经历包</t>
  </si>
  <si>
    <t>攀爬，汽车驾驶，格斗（任一），射击（任一），一项社交技能（魅惑、话术、说服、恐吓），法律，聆听，锁匠，心理学，追踪</t>
  </si>
  <si>
    <t xml:space="preserve">对目击尸体、目击或亲自谋杀、目击对人类的暴力残害造成的理智损失免疫;        
初始年龄不能低于 20 岁；          
背景增加一项：犯罪历史相关的伤疤 / 疤痕或恐惧症 / 躁狂症        </t>
  </si>
  <si>
    <t>医务经历包</t>
  </si>
  <si>
    <t>急救，法律，聆听，医学，心理学，侦查，科学（任二）</t>
  </si>
  <si>
    <t>对目击尸体和重伤员造成的理智损失免疫;        
初始年龄不能低于 30 岁；        
背景增加一项：个人背景相关的伤疤 / 疤痕或恐惧症 / 躁狂症</t>
  </si>
  <si>
    <t>神话经历包</t>
  </si>
  <si>
    <t>如果是"相信者"
减少和克苏鲁神话相同的san值</t>
  </si>
  <si>
    <t>按 KP 允许的数值增加「克苏鲁神话」技能;        
背景增加两项：与神话经历相关的伤疤 /疤痕、恐惧症 / 躁狂症、遭遇的怪异存在</t>
  </si>
  <si>
    <t>序号</t>
  </si>
  <si>
    <t>最小
信誉</t>
  </si>
  <si>
    <t>最大
信誉</t>
  </si>
  <si>
    <t>职业属性</t>
  </si>
  <si>
    <t>技能点</t>
  </si>
  <si>
    <r>
      <rPr>
        <b/>
        <sz val="11"/>
        <color rgb="FFFFFFFF"/>
        <rFont val="微软雅黑 Light"/>
        <charset val="134"/>
      </rPr>
      <t>本职技能</t>
    </r>
    <r>
      <rPr>
        <b/>
        <sz val="11"/>
        <color rgb="FFFF0000"/>
        <rFont val="微软雅黑 Light"/>
        <charset val="134"/>
      </rPr>
      <t>（请往右翻→）</t>
    </r>
  </si>
  <si>
    <t>推荐关系人</t>
  </si>
  <si>
    <t>选择职业序号为0，则清除职业模板提示和点数计算器，供强迫症患者使用。</t>
  </si>
  <si>
    <t>右侧下拉框选择自定义职业技能与属性</t>
  </si>
  <si>
    <t>自定义职业本职技能</t>
  </si>
  <si>
    <t>50</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</si>
  <si>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</si>
  <si>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</si>
  <si>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会计师</t>
  </si>
  <si>
    <r>
      <rPr>
        <sz val="11"/>
        <color rgb="FF000000"/>
        <rFont val="微软雅黑 Light"/>
        <charset val="134"/>
      </rPr>
      <t>教育×</t>
    </r>
    <r>
      <rPr>
        <sz val="11"/>
        <color indexed="8"/>
        <rFont val="微软雅黑 Light"/>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</si>
  <si>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</si>
  <si>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</si>
  <si>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</si>
  <si>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</si>
  <si>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r>
      <rPr>
        <sz val="11"/>
        <color rgb="FF000000"/>
        <rFont val="微软雅黑 Light"/>
        <charset val="134"/>
      </rPr>
      <t>教育×</t>
    </r>
    <r>
      <rPr>
        <sz val="11"/>
        <color rgb="FF000000"/>
        <rFont val="微软雅黑 Light"/>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</si>
  <si>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</si>
  <si>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</si>
  <si>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</si>
  <si>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</si>
  <si>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</si>
  <si>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</si>
  <si>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</si>
  <si>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</si>
  <si>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</si>
  <si>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技艺（表演），乔装，汽车驾驶，两项社交技能（取悦、话术、恐吓、说服），心理学，任意两项其他个人或时代特长（如骑乘或格斗）。</t>
  </si>
  <si>
    <t>电影工作室，媒体评论员，作家。</t>
  </si>
  <si>
    <t>事务所侦探/保安</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</si>
  <si>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</si>
  <si>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</si>
  <si>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</si>
  <si>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</si>
  <si>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</si>
  <si>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</si>
  <si>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</si>
  <si>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</si>
  <si>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</si>
  <si>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</si>
  <si>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</si>
  <si>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</si>
  <si>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</si>
  <si>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</si>
  <si>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</si>
  <si>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</si>
  <si>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</si>
  <si>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</si>
  <si>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</si>
  <si>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</si>
  <si>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</si>
  <si>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</si>
  <si>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</si>
  <si>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</si>
  <si>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</si>
  <si>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</si>
  <si>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</si>
  <si>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</si>
  <si>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</si>
  <si>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</si>
  <si>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</si>
  <si>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</si>
  <si>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</si>
  <si>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</si>
  <si>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</si>
  <si>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</si>
  <si>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教育×2＋敏捷或意志×2</t>
  </si>
  <si>
    <t>技艺（任一），历史或自然，一项社交技能（取悦、话术、恐吓、说服），外语，心理学，侦查，任意两项其他个人或时代特长。</t>
  </si>
  <si>
    <t>√</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</si>
  <si>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</si>
  <si>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</si>
  <si>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</si>
  <si>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</si>
  <si>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</si>
  <si>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</si>
  <si>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</si>
  <si>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</si>
  <si>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</si>
  <si>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</si>
  <si>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</si>
  <si>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</si>
  <si>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</si>
  <si>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</si>
  <si>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</si>
  <si>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</si>
  <si>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</si>
  <si>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</si>
  <si>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</si>
  <si>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</si>
  <si>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</si>
  <si>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</si>
  <si>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</si>
  <si>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会计，估价，汽车驾驶，历史，图书馆，母语，外语，一项社交技能（取悦、话术、恐吓、说服）。</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</si>
  <si>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</si>
  <si>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</si>
  <si>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</si>
  <si>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</si>
  <si>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</si>
  <si>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</si>
  <si>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</si>
  <si>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</si>
  <si>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</si>
  <si>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</si>
  <si>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</si>
  <si>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</si>
  <si>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</si>
  <si>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</si>
  <si>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检查有没有被使用</t>
  </si>
  <si>
    <t>神职人员</t>
  </si>
  <si>
    <t>会计，历史，图书馆，聆听，外语，一项社交技能（取悦、话术、恐吓、说服），心理学，任意一项其他技能。</t>
  </si>
  <si>
    <t>教育+其他属性点数中的最大值(官方)</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</si>
  <si>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</si>
  <si>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</si>
  <si>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</si>
  <si>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</si>
  <si>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</si>
  <si>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</si>
  <si>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检查有没有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</si>
  <si>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</si>
  <si>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</si>
  <si>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</si>
  <si>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</si>
  <si>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</si>
  <si>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</si>
  <si>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</si>
  <si>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</si>
  <si>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</si>
  <si>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40</t>
  </si>
  <si>
    <t>教育×2＋敏捷×2</t>
  </si>
  <si>
    <t>会计，技艺（任二），机械维修，自然，侦查，任意两项其他个人或时代特长。</t>
  </si>
  <si>
    <t>罪犯-刺客</t>
  </si>
  <si>
    <t>乔装，电气维修，格斗，射击，锁匠，机械维修，潜行，心理学。</t>
  </si>
  <si>
    <t>技能列表</t>
  </si>
  <si>
    <t>选择几项</t>
  </si>
  <si>
    <t>罪犯-银行劫匪</t>
  </si>
  <si>
    <r>
      <rPr>
        <sz val="11"/>
        <color rgb="FF000000"/>
        <rFont val="微软雅黑 Light"/>
        <charset val="134"/>
      </rPr>
      <t>教育×</t>
    </r>
    <r>
      <rPr>
        <sz val="11"/>
        <color indexed="8"/>
        <rFont val="微软雅黑 Light"/>
        <charset val="134"/>
      </rPr>
      <t>2＋力量或敏捷×2</t>
    </r>
  </si>
  <si>
    <t>汽车驾驶，电气维修或机械维修，格斗，射击，恐吓，锁匠，操作重型机械，任意一项其他个人或时代特长。</t>
  </si>
  <si>
    <t>社交技能</t>
  </si>
  <si>
    <t>罪犯-打手/暴徒</t>
  </si>
  <si>
    <r>
      <rPr>
        <sz val="11"/>
        <color rgb="FF000000"/>
        <rFont val="微软雅黑 Light"/>
        <charset val="134"/>
      </rPr>
      <t>教育×</t>
    </r>
    <r>
      <rPr>
        <sz val="11"/>
        <color rgb="FF000000"/>
        <rFont val="微软雅黑 Light"/>
        <charset val="134"/>
      </rPr>
      <t>2＋力量×2</t>
    </r>
  </si>
  <si>
    <t>汽车驾驶，格斗，射击，两项社交技能（取悦、话术、恐吓、说服），心理学，潜行，侦查。</t>
  </si>
  <si>
    <r>
      <rPr>
        <i/>
        <sz val="10"/>
        <color rgb="FF000000"/>
        <rFont val="微软雅黑 Light"/>
        <charset val="134"/>
      </rPr>
      <t>如果名称为
“社交技能”
则符号变为</t>
    </r>
    <r>
      <rPr>
        <i/>
        <sz val="10"/>
        <color rgb="FF000000"/>
        <rFont val="宋体"/>
        <charset val="134"/>
      </rPr>
      <t>☯</t>
    </r>
  </si>
  <si>
    <t>☆</t>
  </si>
  <si>
    <t>罪犯-窃贼</t>
  </si>
  <si>
    <r>
      <rPr>
        <sz val="11"/>
        <color rgb="FF000000"/>
        <rFont val="微软雅黑 Light"/>
        <charset val="134"/>
      </rPr>
      <t>教育×</t>
    </r>
    <r>
      <rPr>
        <sz val="11"/>
        <color indexed="8"/>
        <rFont val="微软雅黑 Light"/>
        <charset val="134"/>
      </rPr>
      <t>2＋敏捷×2</t>
    </r>
  </si>
  <si>
    <t>估价，攀爬，电气维修或机械维修，聆听，锁匠，妙手，潜行，侦查。</t>
  </si>
  <si>
    <t>※</t>
  </si>
  <si>
    <t>罪犯-欺诈师</t>
  </si>
  <si>
    <r>
      <rPr>
        <sz val="11"/>
        <color rgb="FF000000"/>
        <rFont val="微软雅黑 Light"/>
        <charset val="134"/>
      </rPr>
      <t>教育×</t>
    </r>
    <r>
      <rPr>
        <sz val="11"/>
        <color indexed="8"/>
        <rFont val="微软雅黑 Light"/>
        <charset val="134"/>
      </rPr>
      <t>2＋外貌×2</t>
    </r>
  </si>
  <si>
    <t>估价，技艺（表演），法律或外语，聆听，两项社交技能（取悦、话术、恐吓、说服），心理学，妙手。</t>
  </si>
  <si>
    <t>☯</t>
  </si>
  <si>
    <t>罪犯-独行罪犯</t>
  </si>
  <si>
    <r>
      <rPr>
        <sz val="11"/>
        <color rgb="FF000000"/>
        <rFont val="微软雅黑 Light"/>
        <charset val="134"/>
      </rPr>
      <t>教育×</t>
    </r>
    <r>
      <rPr>
        <sz val="11"/>
        <color rgb="FF000000"/>
        <rFont val="微软雅黑 Light"/>
        <charset val="134"/>
      </rPr>
      <t>2＋敏捷或外貌×2</t>
    </r>
  </si>
  <si>
    <t>技艺（表演）或乔装，估价，一项社交技能（取悦、话术、恐吓、说服），格斗或射击，锁匠或机械维修，潜行，心理学，侦查。</t>
  </si>
  <si>
    <t>⊙</t>
  </si>
  <si>
    <t>罪犯-女飞贼（古典）</t>
  </si>
  <si>
    <t>技艺（任意），两项社交技能（取悦、话术、恐吓、说服），格斗（斗殴）或射击（手枪），汽车驾驶，聆听，潜行，任意一项其他个人或时代特长。</t>
  </si>
  <si>
    <t>罪犯-赃物贩子</t>
  </si>
  <si>
    <t>会计，估价，技艺（伪造），历史，一项社交技能（取悦、话术、恐吓、说服），图书馆，侦查，任意一项其他技能。</t>
  </si>
  <si>
    <t>罪犯-赝造者</t>
  </si>
  <si>
    <t>会计，估价，技艺（伪造），历史，图书馆，侦查，妙手，任意一项其他个人或时代特长（如计算机）。</t>
  </si>
  <si>
    <t>是否选用?</t>
  </si>
  <si>
    <t>罪犯-走私者</t>
  </si>
  <si>
    <r>
      <rPr>
        <sz val="11"/>
        <color rgb="FF000000"/>
        <rFont val="微软雅黑 Light"/>
        <charset val="134"/>
      </rPr>
      <t>教育×</t>
    </r>
    <r>
      <rPr>
        <sz val="11"/>
        <color rgb="FF000000"/>
        <rFont val="微软雅黑 Light"/>
        <charset val="134"/>
      </rPr>
      <t>2＋外貌或敏捷×2</t>
    </r>
  </si>
  <si>
    <t>射击，聆听，导航，一项社交技能（取悦、话术、恐吓、说服），汽车驾驶或驾驶（飞行器或船），心理学，妙手，侦查。</t>
  </si>
  <si>
    <t>否</t>
  </si>
  <si>
    <t>罪犯-混混</t>
  </si>
  <si>
    <t>攀爬，一项社交技能（取悦、话术、恐吓、说服），格斗，射击，跳跃，妙手，潜行，投掷。</t>
  </si>
  <si>
    <t>教团首领</t>
  </si>
  <si>
    <t>会计，两项社交技能（取悦、话术、恐吓、说服），神秘学，心理学，侦查，任意其他两项其他个人特长。</t>
  </si>
  <si>
    <t>除魅师（现代）</t>
  </si>
  <si>
    <t>两项社交技能（取悦、话术、恐吓、说服），汽车驾驶，格斗（斗殴）或射击，历史，神秘学，心理学，潜行。※经KP允许 可用催眠替换其中一项。</t>
  </si>
  <si>
    <t>设计师</t>
  </si>
  <si>
    <t>会计，技艺（摄影），技艺（任一），计算机或图书馆，机械维修，心理学，侦查，任意一项其他个人特长。</t>
  </si>
  <si>
    <t>业余艺术爱好者（原作向）</t>
  </si>
  <si>
    <t>技艺（任一），射击，外语，骑乘，一项社交技能（取悦、话术、恐吓、说服），任意三项其他个人或时代特长。</t>
  </si>
  <si>
    <t>潜水员</t>
  </si>
  <si>
    <t>潜水，急救，机械维修，驾驶（船），科学（生物），侦查，游泳，任意一项其他个人或时代特长。</t>
  </si>
  <si>
    <t>医生（原作向）</t>
  </si>
  <si>
    <t>急救、医学、外语（拉丁文）、心理学、科学（生物学，制药），任两种其他学术或个人特长。</t>
  </si>
  <si>
    <t>流浪者</t>
  </si>
  <si>
    <t>教育×2＋外貌或敏捷或力量×2</t>
  </si>
  <si>
    <t>攀爬，跳跃，聆听，导航，一项社交技能（取悦、话术、恐吓、说服），潜行，任意两项其他个人或时代特长。</t>
  </si>
  <si>
    <t>司机-私人司机</t>
  </si>
  <si>
    <t>汽车驾驶，两项社交技能（取悦、话术、恐吓、说服），聆听，机械维修，导航，侦查，任意一项其他个人或时代特长。</t>
  </si>
  <si>
    <t>司机-司机</t>
  </si>
  <si>
    <t>会计，汽车驾驶，聆听，一项社交技能（取悦、话术、恐吓、说服），机械维修，导航，心理学，任意一项其他个人或时代特长。</t>
  </si>
  <si>
    <t>司机-出租车司机</t>
  </si>
  <si>
    <t>会计，汽车驾驶，电气维修，话术，机械维修，导航，侦查，任意一项其他个人或时代特长。</t>
  </si>
  <si>
    <t>编辑</t>
  </si>
  <si>
    <t>会计，历史，母语，两项社交技能（取悦、话术、恐吓、说服），心理学，侦查，任意一项其他个人或时代特长。</t>
  </si>
  <si>
    <t>政府官员</t>
  </si>
  <si>
    <t>取悦，历史，恐吓，话术，聆听，母语，说服，心理学。</t>
  </si>
  <si>
    <t>工程师</t>
  </si>
  <si>
    <t>技艺（技术制图），电气维修，图书馆，机械维修，操作重型机械，科学（工程学，物理），任意一项其他个人或时代特长。</t>
  </si>
  <si>
    <t>艺人</t>
  </si>
  <si>
    <t>技艺（表演类，如表演、演唱、喜剧等），乔装，两项社交技能（取悦、话术、恐吓、说服），聆听，心理学，任意两项其他个人或时代特长。</t>
  </si>
  <si>
    <t>探险家（古典）</t>
  </si>
  <si>
    <t>攀爬或游泳，射击，历史，跳跃，自然，导航，外语，生存。</t>
  </si>
  <si>
    <t>农民</t>
  </si>
  <si>
    <t>技艺（耕作），汽车驾驶（或运货马车），一项社交技能（取悦、话术、恐吓、说服），机械维修，自然，操作重型机械，追踪，任意一项其他个人或时代特长</t>
  </si>
  <si>
    <t>联邦探员</t>
  </si>
  <si>
    <t>汽车驾驶，格斗（斗殴），射击，法律，说服，潜行，侦查，任意一项其他个人或时代特长。</t>
  </si>
  <si>
    <t>消防员</t>
  </si>
  <si>
    <t>攀爬，闪避，汽车驾驶，急救，跳跃，机械维修，操作重型机械，投掷。</t>
  </si>
  <si>
    <t>驻外记者</t>
  </si>
  <si>
    <t>历史，外语，母语，聆听，两项社交技能（取悦、话术、恐吓、说服），心理学，任意一项其他个人或时代特长。</t>
  </si>
  <si>
    <t>法医</t>
  </si>
  <si>
    <t>外语（拉丁文），图书馆，医学，说服，科学（生物学，鉴证，制药），侦查。</t>
  </si>
  <si>
    <t>赌徒</t>
  </si>
  <si>
    <r>
      <rPr>
        <sz val="11"/>
        <color rgb="FF000000"/>
        <rFont val="微软雅黑 Light"/>
        <charset val="134"/>
      </rPr>
      <t>教育×</t>
    </r>
    <r>
      <rPr>
        <sz val="11"/>
        <color indexed="8"/>
        <rFont val="微软雅黑 Light"/>
        <charset val="134"/>
      </rPr>
      <t>2＋外貌或敏捷×2</t>
    </r>
  </si>
  <si>
    <t>会计，技艺（表演），两项社交技能（取悦、话术、恐吓、说服），聆听，心理学，妙手，侦查。</t>
  </si>
  <si>
    <t>黑帮-黑帮老大</t>
  </si>
  <si>
    <t>格斗，射击，法律，聆听，两项社交技能（取悦、话术、恐吓、说服），心理学，侦查。</t>
  </si>
  <si>
    <t>黑帮-马仔</t>
  </si>
  <si>
    <t>汽车驾驶，格斗，射击，两项社交技能（取悦、话术、恐吓、说服），心理学，任意两项其他个人或时代特长。</t>
  </si>
  <si>
    <t>绅士/淑女</t>
  </si>
  <si>
    <t>技艺（任一），两项社交技能（取悦、话术、恐吓、说服），射击（步枪/霰弹枪），历史，外语（任一），导航，骑乘。</t>
  </si>
  <si>
    <t>游民</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</si>
  <si>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</si>
  <si>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</si>
  <si>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</si>
  <si>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</si>
  <si>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</si>
  <si>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r>
      <rPr>
        <sz val="11"/>
        <color rgb="FF000000"/>
        <rFont val="微软雅黑 Light"/>
        <charset val="134"/>
      </rPr>
      <t>教育×</t>
    </r>
    <r>
      <rPr>
        <sz val="11"/>
        <color indexed="8"/>
        <rFont val="微软雅黑 Light"/>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</si>
  <si>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</si>
  <si>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</si>
  <si>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</si>
  <si>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</si>
  <si>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</si>
  <si>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</si>
  <si>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</si>
  <si>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</si>
  <si>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</si>
  <si>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</si>
  <si>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</si>
  <si>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</si>
  <si>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</si>
  <si>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</si>
  <si>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</si>
  <si>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</si>
  <si>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</si>
  <si>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</si>
  <si>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</si>
  <si>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</si>
  <si>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</si>
  <si>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</si>
  <si>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</si>
  <si>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</si>
  <si>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攀爬，闪避，格斗（电锯），急救，跳跃，机械维修，自然或科学（生物学或植物学），投掷。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</si>
  <si>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</si>
  <si>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</si>
  <si>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</si>
  <si>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</si>
  <si>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</si>
  <si>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</si>
  <si>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</si>
  <si>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</si>
  <si>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</si>
  <si>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</si>
  <si>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</si>
  <si>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</si>
  <si>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</si>
  <si>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</si>
  <si>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</si>
  <si>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</si>
  <si>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</si>
  <si>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</si>
  <si>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</si>
  <si>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</si>
  <si>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</si>
  <si>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</si>
  <si>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</si>
  <si>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</si>
  <si>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</si>
  <si>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</si>
  <si>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</si>
  <si>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</si>
  <si>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</si>
  <si>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</si>
  <si>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</si>
  <si>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</si>
  <si>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</si>
  <si>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</si>
  <si>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</si>
  <si>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</si>
  <si>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</si>
  <si>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</si>
  <si>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</si>
  <si>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</si>
  <si>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</si>
  <si>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</si>
  <si>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</si>
  <si>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</si>
  <si>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</si>
  <si>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</si>
  <si>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</si>
  <si>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</si>
  <si>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</si>
  <si>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</si>
  <si>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</si>
  <si>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</si>
  <si>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</si>
  <si>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</si>
  <si>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</si>
  <si>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</si>
  <si>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</si>
  <si>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</si>
  <si>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</si>
  <si>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</si>
  <si>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</si>
  <si>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</si>
  <si>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</si>
  <si>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</si>
  <si>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</si>
  <si>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</si>
  <si>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</si>
  <si>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</si>
  <si>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</si>
  <si>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</si>
  <si>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</si>
  <si>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</si>
  <si>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</si>
  <si>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</si>
  <si>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</si>
  <si>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</si>
  <si>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</si>
  <si>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</si>
  <si>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</si>
  <si>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</si>
  <si>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</si>
  <si>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</si>
  <si>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</si>
  <si>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</si>
  <si>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</si>
  <si>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</si>
  <si>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</si>
  <si>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</si>
  <si>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</si>
  <si>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</si>
  <si>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</si>
  <si>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</si>
  <si>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</si>
  <si>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</si>
  <si>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</si>
  <si>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</si>
  <si>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</si>
  <si>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</si>
  <si>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</si>
  <si>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</si>
  <si>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</si>
  <si>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</si>
  <si>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</si>
  <si>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</si>
  <si>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</si>
  <si>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</si>
  <si>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</si>
  <si>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</si>
  <si>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</si>
  <si>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</si>
  <si>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</si>
  <si>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</si>
  <si>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</si>
  <si>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</si>
  <si>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</si>
  <si>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</si>
  <si>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</si>
  <si>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</si>
  <si>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</si>
  <si>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</si>
  <si>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</si>
  <si>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</si>
  <si>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</si>
  <si>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</si>
  <si>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r>
      <rPr>
        <sz val="11"/>
        <color rgb="FF000000"/>
        <rFont val="微软雅黑 Light"/>
        <charset val="134"/>
      </rPr>
      <t>教育×</t>
    </r>
    <r>
      <rPr>
        <sz val="11"/>
        <color indexed="8"/>
        <rFont val="微软雅黑 Light"/>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</si>
  <si>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</si>
  <si>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</si>
  <si>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</si>
  <si>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</si>
  <si>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</si>
  <si>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</si>
  <si>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</si>
  <si>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</si>
  <si>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</si>
  <si>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</si>
  <si>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</si>
  <si>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</si>
  <si>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</si>
  <si>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</si>
  <si>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</si>
  <si>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</si>
  <si>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</si>
  <si>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</si>
  <si>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</si>
  <si>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</si>
  <si>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</si>
  <si>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</si>
  <si>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</si>
  <si>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</si>
  <si>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</si>
  <si>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</si>
  <si>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</si>
  <si>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</si>
  <si>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没有什么关系人。</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</si>
  <si>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</si>
  <si>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</si>
  <si>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</si>
  <si>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</si>
  <si>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</si>
  <si>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</si>
  <si>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</si>
  <si>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</si>
  <si>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</si>
  <si>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</si>
  <si>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</si>
  <si>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</si>
  <si>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</si>
  <si>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</si>
  <si>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</si>
  <si>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</si>
  <si>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</si>
  <si>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</si>
  <si>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</si>
  <si>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</si>
  <si>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</si>
  <si>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</si>
  <si>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</si>
  <si>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</si>
  <si>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</si>
  <si>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</si>
  <si>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</si>
  <si>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</si>
  <si>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</si>
  <si>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r>
      <rPr>
        <sz val="11"/>
        <color rgb="FF000000"/>
        <rFont val="微软雅黑 Light"/>
        <charset val="134"/>
      </rPr>
      <t>《克苏鲁的呼唤调查员伴侣》职业，</t>
    </r>
    <r>
      <rPr>
        <b/>
        <sz val="11"/>
        <color rgb="FFFF0000"/>
        <rFont val="微软雅黑 Light"/>
        <charset val="134"/>
      </rPr>
      <t>使用前请征得KP同意。</t>
    </r>
  </si>
  <si>
    <t>运动员（游泳/潜水）</t>
  </si>
  <si>
    <t>攀爬，跳跃，格斗（斗殴），外语，一项社交技能（取悦、话术、恐吓、说服），游泳，投掷，任意一项其他个人或时代特长。</t>
  </si>
  <si>
    <t>运动员（高尔夫）</t>
  </si>
  <si>
    <t>攀爬，跳跃，格斗（斗殴），骑术，一项社交技能（取悦、话术、恐吓、说服），游泳，投掷，任意一项其他个人或时代特长。</t>
  </si>
  <si>
    <t>其他高尔夫球手，体育专栏作家，俱乐部同好。</t>
  </si>
  <si>
    <r>
      <rPr>
        <sz val="11"/>
        <color rgb="FF000000"/>
        <rFont val="微软雅黑 Light"/>
        <charset val="134"/>
      </rPr>
      <t>《克苏鲁的呼唤调查员伴侣》职业，</t>
    </r>
    <r>
      <rPr>
        <b/>
        <sz val="11"/>
        <color indexed="10"/>
        <rFont val="微软雅黑 Light"/>
        <charset val="134"/>
      </rPr>
      <t>使用前请征得KP同意。</t>
    </r>
  </si>
  <si>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</si>
  <si>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</si>
  <si>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</si>
  <si>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</si>
  <si>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</si>
  <si>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</si>
  <si>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</si>
  <si>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</si>
  <si>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</si>
  <si>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</si>
  <si>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</si>
  <si>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</si>
  <si>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</si>
  <si>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</si>
  <si>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</si>
  <si>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</si>
  <si>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</si>
  <si>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</si>
  <si>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</si>
  <si>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</si>
  <si>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</si>
  <si>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</si>
  <si>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</si>
  <si>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</si>
  <si>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</si>
  <si>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</si>
  <si>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</si>
  <si>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</si>
  <si>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</si>
  <si>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</si>
  <si>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</si>
  <si>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</si>
  <si>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</si>
  <si>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</si>
  <si>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</si>
  <si>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</si>
  <si>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</si>
  <si>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</si>
  <si>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</si>
  <si>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</si>
  <si>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</si>
  <si>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</si>
  <si>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</si>
  <si>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其他医生，医护工作者，病人和前病人。</t>
  </si>
  <si>
    <t>外科医生/内科医生</t>
  </si>
  <si>
    <t>整形医生</t>
  </si>
  <si>
    <t>医疗专家，好莱坞，可能有罪犯。</t>
  </si>
  <si>
    <t>司机-公交司机</t>
  </si>
  <si>
    <t>会计，汽车驾驶，电气维修，机械维修，领航，一项社交技能（取悦、话术、恐吓、说服），心理学，任意一项其他个人或时代特长。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</si>
  <si>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</si>
  <si>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</si>
  <si>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</si>
  <si>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</si>
  <si>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</si>
  <si>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</si>
  <si>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</si>
  <si>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</si>
  <si>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</si>
  <si>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</si>
  <si>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</si>
  <si>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</si>
  <si>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</si>
  <si>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</si>
  <si>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</si>
  <si>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</si>
  <si>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</si>
  <si>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</si>
  <si>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</si>
  <si>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</si>
  <si>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</si>
  <si>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</si>
  <si>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</si>
  <si>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</si>
  <si>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</si>
  <si>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</si>
  <si>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</si>
  <si>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</si>
  <si>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会计，两项社交技能（取悦、话术、恐吓、说服），汽车驾驶，领航，聆听，心理学，一项其他技能。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</si>
  <si>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</si>
  <si>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</si>
  <si>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</si>
  <si>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</si>
  <si>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</si>
  <si>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</si>
  <si>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</si>
  <si>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会计，估价，母语，两项社交技能（取悦、话术、恐吓、说服），心理学，任意两项其他个人或时代特长。</t>
  </si>
  <si>
    <t>商界，饥渴的投资人。</t>
  </si>
  <si>
    <t>勘测员</t>
  </si>
  <si>
    <t>会计，艺术（摄影），图书馆，博物学，领航，生存（任一），侦察，任意一项其他个人或时代特长。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</si>
  <si>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</si>
  <si>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</si>
  <si>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</si>
  <si>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</si>
  <si>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</si>
  <si>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</si>
  <si>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</si>
  <si>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</si>
  <si>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</si>
  <si>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</si>
  <si>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</si>
  <si>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</si>
  <si>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</si>
  <si>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</si>
  <si>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</si>
  <si>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</si>
  <si>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</si>
  <si>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</si>
  <si>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</si>
  <si>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</si>
  <si>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</si>
  <si>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</si>
  <si>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</si>
  <si>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</si>
  <si>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r>
      <rPr>
        <sz val="11"/>
        <color rgb="FF000000"/>
        <rFont val="微软雅黑 Light"/>
        <charset val="134"/>
      </rPr>
      <t>《日本秘史》职业，</t>
    </r>
    <r>
      <rPr>
        <b/>
        <sz val="11"/>
        <color indexed="10"/>
        <rFont val="微软雅黑 Light"/>
        <charset val="134"/>
      </rPr>
      <t>使用前请征得KP同意。</t>
    </r>
  </si>
  <si>
    <t>居合</t>
  </si>
  <si>
    <t>格斗（日本刀）</t>
  </si>
  <si>
    <t>暴走族</t>
  </si>
  <si>
    <t>格斗（斗殴），汽车驾驶，机械维修，话术，恐吓，任意三项其他个人或时代特长。</t>
  </si>
  <si>
    <t>黑帮，其他暴走族和警察。</t>
  </si>
  <si>
    <t>柔道</t>
  </si>
  <si>
    <t>神职人员(和尚,尼姑)</t>
  </si>
  <si>
    <t>艺术（书法），历史或图书馆，外语（汉语或梵语），学问（佛教），一项社交技能（取悦、话术、恐吓、说服），心理学，聆听，任意一项其他个人或时代特长。</t>
  </si>
  <si>
    <t>社区领袖，殡葬业者等。</t>
  </si>
  <si>
    <t>空手道</t>
  </si>
  <si>
    <t>神职人员(神官,巫女)</t>
  </si>
  <si>
    <t>艺术（书法，另任一），图书馆，神秘学，学问（神道教），一项社交技能（取悦、话术、恐吓、说服），心理学，任意一项其他个人或时代特长。</t>
  </si>
  <si>
    <t>弓道</t>
  </si>
  <si>
    <t>风水师</t>
  </si>
  <si>
    <t>艺术（任一），图书馆，神秘学，学问（道教），一项社交技能（取悦、话术、恐吓、说服），科学（天文，地质），任意一项其他个人或时代特长。</t>
  </si>
  <si>
    <t>薙刀</t>
  </si>
  <si>
    <t>射击（弓）</t>
  </si>
  <si>
    <t>家传降妖人</t>
  </si>
  <si>
    <t>格斗（斗殴），博物学，神秘学，学问（佛教或神道教），心理学，潜行，任意两项其他个人或时代特长。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</si>
  <si>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</si>
  <si>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</si>
  <si>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</si>
  <si>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</si>
  <si>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</si>
  <si>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</si>
  <si>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</si>
  <si>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艺术（表演），聆听，学问（神道教），神秘学，历史，话术或说服，心理学，任意一项特长。※经KP同意，可以用「灵媒」技能代替一项自选技能。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</si>
  <si>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</si>
  <si>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</si>
  <si>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艺术（书法，另任一），历史或图书馆，母语，学问（阴阳道），科学（天文），神秘学，任意一项其他个人或时代特长。</t>
  </si>
  <si>
    <t>炼丹师</t>
  </si>
  <si>
    <t>图书馆，医学，神秘学，科学（化学），博物学，学问（道教），外语（汉语），急救或精神分析。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</si>
  <si>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</si>
  <si>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</si>
  <si>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</si>
  <si>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</si>
  <si>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</si>
  <si>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</si>
  <si>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</si>
  <si>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t>
  </si>
  <si>
    <t>(SIZ&gt;80,STR&gt;70)</t>
  </si>
  <si>
    <t>闪避，格斗（斗殴），恐吓，跳跃，心理学，侦察，任意两项其他个人或时代特长。</t>
  </si>
  <si>
    <t>忍术流派：忍者职业自动取得，其他人不能取得。该流派可以保密</t>
  </si>
  <si>
    <t>渔民</t>
  </si>
  <si>
    <t>机械维修，操作重型机械，游泳，驾驶（船），科学（天文），领航，博物学，侦察。</t>
  </si>
  <si>
    <t>日系特定规则
《克苏鲁2010》
《克苏鲁与帝国》
《克苏鲁2015》
职业</t>
  </si>
  <si>
    <t>地方渔业部门，海警，养殖业者，潜水员。</t>
  </si>
  <si>
    <r>
      <rPr>
        <sz val="11"/>
        <color rgb="FF000000"/>
        <rFont val="微软雅黑 Light"/>
        <charset val="134"/>
      </rPr>
      <t>日系特定规则《克苏鲁2010》职业，</t>
    </r>
    <r>
      <rPr>
        <b/>
        <sz val="11"/>
        <color indexed="10"/>
        <rFont val="微软雅黑 Light"/>
        <charset val="134"/>
      </rPr>
      <t>使用前请征得KP同意。</t>
    </r>
  </si>
  <si>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</si>
  <si>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</si>
  <si>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</si>
  <si>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</si>
  <si>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工艺（任一），图书馆，格斗（矛）或射击（弓），外语（任一）。</t>
  </si>
  <si>
    <r>
      <rPr>
        <sz val="11"/>
        <color rgb="FF000000"/>
        <rFont val="微软雅黑 Light"/>
        <charset val="134"/>
      </rPr>
      <t>日系特定规则《克苏鲁与帝国》职业，</t>
    </r>
    <r>
      <rPr>
        <b/>
        <sz val="11"/>
        <color indexed="10"/>
        <rFont val="微软雅黑 Light"/>
        <charset val="134"/>
      </rPr>
      <t>使用前请征得KP同意。</t>
    </r>
  </si>
  <si>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</si>
  <si>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</si>
  <si>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</si>
  <si>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</si>
  <si>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</si>
  <si>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sz val="11"/>
        <color rgb="FF000000"/>
        <rFont val="微软雅黑 Light"/>
        <charset val="134"/>
      </rPr>
      <t>日系特定规则《克苏鲁2015》职业，</t>
    </r>
    <r>
      <rPr>
        <b/>
        <sz val="11"/>
        <color indexed="10"/>
        <rFont val="微软雅黑 Light"/>
        <charset val="134"/>
      </rPr>
      <t>使用前请征得KP同意。</t>
    </r>
  </si>
  <si>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</si>
  <si>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</si>
  <si>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</si>
  <si>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</si>
  <si>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</si>
  <si>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</si>
  <si>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</si>
  <si>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急救，聆听，跳跃，追踪，攀爬，领航，生存（山地），外语。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</si>
  <si>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</si>
  <si>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</si>
  <si>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</si>
  <si>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</si>
  <si>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</si>
  <si>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电气维修或机械维修，格斗，射击，急救，领航，驾驶（船），生存（海上），游泳。</t>
  </si>
  <si>
    <t>海警</t>
  </si>
  <si>
    <t>急救，机械维修，博物学，领航，一项社交技能（取悦、话术、恐吓、说服），驾驶（船），侦察，游泳。</t>
  </si>
  <si>
    <t>陆上自卫队员</t>
  </si>
  <si>
    <t>私人军事公司成员</t>
  </si>
  <si>
    <t>冒险家教授</t>
  </si>
  <si>
    <t>攀爬或游泳，射击，历史，跳跃，博物学，领航，外语，生存。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</si>
  <si>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</si>
  <si>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</si>
  <si>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</si>
  <si>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</si>
  <si>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</si>
  <si>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</si>
  <si>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</si>
  <si>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</si>
  <si>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</si>
  <si>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</si>
  <si>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</si>
  <si>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</si>
  <si>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</si>
  <si>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</si>
  <si>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</si>
  <si>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</si>
  <si>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</si>
  <si>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</si>
  <si>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</si>
  <si>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</si>
  <si>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</si>
  <si>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</si>
  <si>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</si>
  <si>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</si>
  <si>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</si>
  <si>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</si>
  <si>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</si>
  <si>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</si>
  <si>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</si>
  <si>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</si>
  <si>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</si>
  <si>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</si>
  <si>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</si>
  <si>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</si>
  <si>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</si>
  <si>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1980s年代
《克苏鲁煤气灯》
职业</t>
  </si>
  <si>
    <r>
      <rPr>
        <sz val="11"/>
        <color rgb="FF000000"/>
        <rFont val="微软雅黑 Light"/>
        <charset val="134"/>
      </rPr>
      <t>《克苏鲁煤气灯》1980s职业，</t>
    </r>
    <r>
      <rPr>
        <b/>
        <sz val="11"/>
        <color rgb="FFFF0000"/>
        <rFont val="微软雅黑 Light"/>
        <charset val="134"/>
      </rPr>
      <t>使用前请征得KP同意。</t>
    </r>
  </si>
  <si>
    <t>考古学家</t>
  </si>
  <si>
    <t>会计，艺术（任意），估价，历史，图书馆，其他语言（欧洲），一项社交技能（取悦、话术、恐吓、说服），心理学，侦查，任意两项其他个人或时代特长</t>
  </si>
  <si>
    <t>贵族</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</si>
  <si>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</si>
  <si>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</si>
  <si>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</si>
  <si>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</si>
  <si>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</si>
  <si>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</si>
  <si>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</si>
  <si>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</si>
  <si>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</si>
  <si>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</si>
  <si>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</si>
  <si>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</si>
  <si>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</si>
  <si>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</si>
  <si>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</si>
  <si>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</si>
  <si>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</si>
  <si>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</si>
  <si>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潜行，急救，射击（手枪、来复枪）,导航，其他语言（任意）,一项社交技能（取悦、话术、恐吓、说服）,心理学，骑术,格斗（剑），侦查，（攀爬、游泳）中的一种</t>
  </si>
  <si>
    <t>探险家</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</si>
  <si>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</si>
  <si>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</si>
  <si>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</si>
  <si>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</si>
  <si>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</si>
  <si>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</si>
  <si>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</si>
  <si>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</si>
  <si>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</si>
  <si>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</si>
  <si>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</si>
  <si>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</si>
  <si>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图书馆，其他语言（欧洲），一项社交技能（取悦、话术、恐吓、说服），心理学，至多六种额外的学问技巧作为个人专长</t>
  </si>
  <si>
    <t>手艺（任意），历史，图书馆，机械维修，一项社交技能（取悦、话术、恐吓、说服），侦查，至多六种其他学问技巧作为个人专长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</si>
  <si>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</si>
  <si>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</si>
  <si>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</si>
  <si>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</si>
  <si>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</si>
  <si>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</si>
  <si>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</si>
  <si>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</si>
  <si>
    <t>职业查询</t>
  </si>
  <si>
    <t>查询条件</t>
  </si>
  <si>
    <t>查询结果</t>
  </si>
  <si>
    <t>按拥有属性查询</t>
  </si>
  <si>
    <t>按拥有技能查询</t>
  </si>
  <si>
    <t>按最小信誉查询</t>
  </si>
  <si>
    <t>最小信誉大于</t>
  </si>
  <si>
    <t>按最大信誉查询</t>
  </si>
  <si>
    <t>最大信誉大于</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</si>
  <si>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</si>
  <si>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</si>
  <si>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</si>
  <si>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</si>
  <si>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特殊适用</t>
  </si>
  <si>
    <t>成功难度等级取决于</t>
  </si>
  <si>
    <t>解释</t>
  </si>
  <si>
    <t>0</t>
  </si>
  <si>
    <t>并不知晓有这种学问或技能的存在。</t>
  </si>
  <si>
    <t>1-5</t>
  </si>
  <si>
    <t>完完全全的门外汉，仅仅是知道有这种技能而已</t>
  </si>
  <si>
    <t>5-10</t>
  </si>
  <si>
    <t>经过了最基础的了解，可以说出一两个专业名词，但是实际操作几乎不可能。</t>
  </si>
  <si>
    <t>孤注一掷示例</t>
  </si>
  <si>
    <t>普通难度</t>
  </si>
  <si>
    <t>困难难度</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</si>
  <si>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</si>
  <si>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</si>
  <si>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</si>
  <si>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</si>
  <si>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</si>
  <si>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</si>
  <si>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</si>
  <si>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</si>
  <si>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已经可以以此为生但依旧不是非常熟练
如果以该技能为职业至少要达到50</t>
  </si>
  <si>
    <t>51-70</t>
  </si>
  <si>
    <t>不断精进的技术，虽然放到同行里一抓一大把，但是基本上已经可以独当一面了。</t>
  </si>
  <si>
    <t>孤注一掷失败的范例结果</t>
  </si>
  <si>
    <t>疯狂调查员孤注一掷失败的范例结果</t>
  </si>
  <si>
    <t>71-80</t>
  </si>
  <si>
    <t>在一定范围内你具有了比较高的知名度，虽然不至于成为权威但是已经是一个很好的咨询对象了。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</si>
  <si>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</si>
  <si>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</si>
  <si>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</si>
  <si>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伟人级别，如果你有时间有精力，绝对可以创造一个不可磨灭的瑰宝留给后世纪子孙。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</si>
  <si>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</si>
  <si>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</si>
  <si>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</si>
  <si>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</si>
  <si>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</si>
  <si>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甚至在之后很长一段时间内都会不分国界的被世纪人记住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</si>
  <si>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</si>
  <si>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</si>
  <si>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</si>
  <si>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</si>
  <si>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</si>
  <si>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</si>
  <si>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</si>
  <si>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</si>
  <si>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</si>
  <si>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r>
      <rPr>
        <sz val="14"/>
        <color rgb="FF000000"/>
        <rFont val="微软雅黑"/>
        <charset val="134"/>
      </rPr>
      <t>当一名角色的某些类似的</t>
    </r>
    <r>
      <rPr>
        <b/>
        <sz val="14"/>
        <color indexed="8"/>
        <rFont val="微软雅黑"/>
        <charset val="134"/>
      </rPr>
      <t>技能与学问</t>
    </r>
    <r>
      <rPr>
        <sz val="14"/>
        <color rgb="FF000000"/>
        <rFont val="微软雅黑"/>
        <charset val="134"/>
      </rPr>
      <t>的成功率
提升到</t>
    </r>
    <r>
      <rPr>
        <b/>
        <sz val="14"/>
        <color indexed="8"/>
        <rFont val="微软雅黑"/>
        <charset val="134"/>
      </rPr>
      <t>50%</t>
    </r>
    <r>
      <rPr>
        <sz val="14"/>
        <color rgb="FF000000"/>
        <rFont val="微软雅黑"/>
        <charset val="134"/>
      </rPr>
      <t>以上的时候：</t>
    </r>
  </si>
  <si>
    <t>当一名角色的某些类似的技能与学问的成功率
提升到90%以上的时候：</t>
  </si>
  <si>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50%</t>
    </r>
    <r>
      <rPr>
        <sz val="14"/>
        <color rgb="FF000000"/>
        <rFont val="微软雅黑"/>
        <charset val="134"/>
      </rPr>
      <t>以上的时候：</t>
    </r>
  </si>
  <si>
    <r>
      <rPr>
        <sz val="14"/>
        <color rgb="FF000000"/>
        <rFont val="微软雅黑"/>
        <charset val="134"/>
      </rPr>
      <t>当一名角色将一种</t>
    </r>
    <r>
      <rPr>
        <b/>
        <sz val="14"/>
        <color indexed="8"/>
        <rFont val="微软雅黑"/>
        <charset val="134"/>
      </rPr>
      <t>非母语语言</t>
    </r>
    <r>
      <rPr>
        <sz val="14"/>
        <color rgb="FF000000"/>
        <rFont val="微软雅黑"/>
        <charset val="134"/>
      </rPr>
      <t>的成功率
提升到了</t>
    </r>
    <r>
      <rPr>
        <b/>
        <sz val="14"/>
        <color indexed="8"/>
        <rFont val="微软雅黑"/>
        <charset val="134"/>
      </rPr>
      <t>90%</t>
    </r>
    <r>
      <rPr>
        <sz val="14"/>
        <color rgb="FF000000"/>
        <rFont val="微软雅黑"/>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</si>
  <si>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</si>
  <si>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</si>
  <si>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</si>
  <si>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</si>
  <si>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</si>
  <si>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</si>
  <si>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</si>
  <si>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这是一张展示世纪界语系的地图（来自维基百科2018）</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</si>
  <si>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</si>
  <si>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</si>
  <si>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</si>
  <si>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</si>
  <si>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charset val="134"/>
      </rPr>
      <t>例如：KP在跑团之前放公告或提醒大家“这次跑团的技能上限是70/60”
这里的70/60，就是职业技能</t>
    </r>
    <r>
      <rPr>
        <b/>
        <sz val="12"/>
        <color rgb="FF000000"/>
        <rFont val="微软雅黑"/>
        <charset val="134"/>
      </rPr>
      <t>成功率</t>
    </r>
    <r>
      <rPr>
        <sz val="12"/>
        <color rgb="FF000000"/>
        <rFont val="微软雅黑"/>
        <charset val="134"/>
      </rPr>
      <t>最高70%
兴趣技能</t>
    </r>
    <r>
      <rPr>
        <b/>
        <sz val="12"/>
        <color rgb="FF000000"/>
        <rFont val="微软雅黑"/>
        <charset val="134"/>
      </rPr>
      <t>成功率</t>
    </r>
    <r>
      <rPr>
        <sz val="12"/>
        <color rgb="FF000000"/>
        <rFont val="微软雅黑"/>
        <charset val="134"/>
      </rPr>
      <t>最高可以达到60%</t>
    </r>
  </si>
  <si>
    <t>游戏系统少见规则</t>
  </si>
  <si>
    <r>
      <rPr>
        <sz val="18"/>
        <color rgb="FF000000"/>
        <rFont val="微软雅黑"/>
        <charset val="134"/>
      </rPr>
      <t>幕间成长：</t>
    </r>
    <r>
      <rPr>
        <sz val="12"/>
        <color rgb="FF000000"/>
        <rFont val="微软雅黑"/>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</si>
  <si>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</si>
  <si>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</si>
  <si>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</si>
  <si>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</si>
  <si>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</si>
  <si>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</si>
  <si>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</si>
  <si>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</si>
  <si>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</si>
  <si>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</si>
  <si>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</si>
  <si>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</si>
  <si>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</si>
  <si>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</si>
  <si>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</si>
  <si>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</si>
  <si>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左上人类（STR50）面对着一个黑山羊幼崽，他想要和他掰手腕，但是很明显这会把自己掰了。于是他叫来了右上人类（STR70），他们两个人（STR50+70=120）用尽力气和黑山羊幼崽对抗。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</si>
  <si>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</si>
  <si>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</si>
  <si>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</si>
  <si>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</si>
  <si>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</si>
  <si>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移动力计算</t>
  </si>
  <si>
    <t>自定义职业</t>
  </si>
  <si>
    <t>护甲表减值
是否开启</t>
  </si>
  <si>
    <t>护甲表减值</t>
  </si>
  <si>
    <t>年龄减值</t>
  </si>
  <si>
    <t>力量-体型</t>
  </si>
  <si>
    <t>技能雷达表</t>
  </si>
  <si>
    <t>值</t>
  </si>
  <si>
    <t>总数</t>
  </si>
  <si>
    <t>百分比</t>
  </si>
  <si>
    <t>伤害加值与体格</t>
  </si>
  <si>
    <t>shiyong</t>
  </si>
  <si>
    <t>显示</t>
  </si>
  <si>
    <t>查看之后</t>
  </si>
  <si>
    <t>是否为空</t>
  </si>
  <si>
    <t>计算</t>
  </si>
  <si>
    <t>出</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</si>
  <si>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</si>
  <si>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</si>
  <si>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</si>
  <si>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</si>
  <si>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</si>
  <si>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</si>
  <si>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</si>
  <si>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</si>
  <si>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</si>
  <si>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</si>
  <si>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</si>
  <si>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</si>
  <si>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</si>
  <si>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</si>
  <si>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</si>
  <si>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</si>
  <si>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教育+其他属性点数中的最小值</t>
  </si>
  <si>
    <t>护甲表最终减值</t>
  </si>
  <si>
    <t>属性最终值</t>
  </si>
  <si>
    <t>小于1D6的话</t>
  </si>
  <si>
    <t>超过1d6的话</t>
  </si>
  <si>
    <t>最终伤害加值出目</t>
  </si>
  <si>
    <t>最高的属性点+其他属性的最大值</t>
  </si>
  <si>
    <t>最终补正值</t>
  </si>
  <si>
    <t>最高的属性点+其他属性的最小值</t>
  </si>
  <si>
    <t>格斗射击基础成功率</t>
  </si>
  <si>
    <t>选择属性点数中的所有值相加</t>
  </si>
  <si>
    <t>格斗1</t>
  </si>
  <si>
    <t>射击1</t>
  </si>
  <si>
    <t>格斗2</t>
  </si>
  <si>
    <t>射击2</t>
  </si>
  <si>
    <t>属性雷达表</t>
  </si>
  <si>
    <t>基础属性</t>
  </si>
  <si>
    <t>出目</t>
  </si>
  <si>
    <t>格斗3</t>
  </si>
  <si>
    <t>射击3</t>
  </si>
  <si>
    <t>熟练下拉</t>
  </si>
  <si>
    <t>自定义技能剩余计算</t>
  </si>
  <si>
    <t>←请选择类型</t>
  </si>
  <si>
    <t>没有数值</t>
  </si>
  <si>
    <t>最大值</t>
  </si>
  <si>
    <t>最终出目</t>
  </si>
  <si>
    <t>本职</t>
  </si>
  <si>
    <t>随身物品下拉表</t>
  </si>
  <si>
    <t>经历包</t>
  </si>
  <si>
    <t>san值计算</t>
  </si>
  <si>
    <t>颅————</t>
  </si>
  <si>
    <t>头部</t>
  </si>
  <si>
    <t>头发</t>
  </si>
  <si>
    <t>自定义</t>
  </si>
  <si>
    <t>名称</t>
  </si>
  <si>
    <t>jineng</t>
  </si>
  <si>
    <t>最终值</t>
  </si>
  <si>
    <t>耳朵</t>
  </si>
  <si>
    <t>1d10+5</t>
  </si>
  <si>
    <t>对目击尸体和重伤员造成的理智损失免疫；   根据战争的年份和模组发生时的年份调整年龄；   背景增加一项：战争相关的伤疤 / 疤痕或恐惧症 / 躁狂症</t>
  </si>
  <si>
    <t>攀爬，格斗(斗殴)，射击(步霰)，急救，恐吓，聆听，潜行，投掷，妙手，侦查，生存；</t>
  </si>
  <si>
    <t>攀爬，格斗(斗殴)，射击(手枪)，急救，聆听，导航，(取悦，说服，恐吓)中选一项，潜行，投掷，侦查</t>
  </si>
  <si>
    <t>面部</t>
  </si>
  <si>
    <t>死亡</t>
  </si>
  <si>
    <t>任意</t>
  </si>
  <si>
    <t>特定时间</t>
  </si>
  <si>
    <t>1d10</t>
  </si>
  <si>
    <t xml:space="preserve">对目击尸体造成的理智损失免疫；   初始年龄不能低于 25 岁；   背景增加一项：警察工作相关的伤疤 / 疤痕或恐惧症 / 躁狂症
</t>
  </si>
  <si>
    <t>颈部</t>
  </si>
  <si>
    <t>是否停用</t>
  </si>
  <si>
    <t>对目击尸体、目击或亲自谋杀、目击对人类的暴力残害造成的理智损失免疫；   初始年龄不能低于 20 岁；   背景增加一项：犯罪历史相关的伤疤 / 疤痕或恐惧症 / 躁狂症</t>
  </si>
  <si>
    <t>其他(头)</t>
  </si>
  <si>
    <t>对目击尸体和重伤员造成的理智损失免疫；   初始年龄不能低于 30 岁；   背景增加一项：个人背景相关的伤疤 / 疤痕或恐惧症 / 躁狂症；</t>
  </si>
  <si>
    <t>躯————</t>
  </si>
  <si>
    <t>数</t>
  </si>
  <si>
    <t>目前值</t>
  </si>
  <si>
    <t>如果是"相信者"，减少和克苏鲁神话相同的san值</t>
  </si>
  <si>
    <t>按 KP 允许的数值增加「克苏鲁神话」技能；   背景增加两项：与神话经历相关的伤疤 /疤痕、恐惧症 / 躁狂症、遭遇的怪异存在</t>
  </si>
  <si>
    <t>肩</t>
  </si>
  <si>
    <t>分类</t>
  </si>
  <si>
    <t>胸前</t>
  </si>
  <si>
    <t>最终</t>
  </si>
  <si>
    <t>公元调整</t>
  </si>
  <si>
    <t>未出现的发明</t>
  </si>
  <si>
    <t>背后</t>
  </si>
  <si>
    <t>已出现的</t>
  </si>
  <si>
    <t>已出现的发明</t>
  </si>
  <si>
    <t>肋</t>
  </si>
  <si>
    <t>经历包剩余点</t>
  </si>
  <si>
    <t>调整出目</t>
  </si>
  <si>
    <t>本年的发明</t>
  </si>
  <si>
    <t>裆</t>
  </si>
  <si>
    <t>查找年份发明</t>
  </si>
  <si>
    <t>腰</t>
  </si>
  <si>
    <t>检测大小</t>
  </si>
  <si>
    <t>查找发明的时间</t>
  </si>
  <si>
    <t>?</t>
  </si>
  <si>
    <t>胯</t>
  </si>
  <si>
    <t>研发中...</t>
  </si>
  <si>
    <t>检查是否一致</t>
  </si>
  <si>
    <t>其他(躯)</t>
  </si>
  <si>
    <t>零</t>
  </si>
  <si>
    <t>服————</t>
  </si>
  <si>
    <t>一</t>
  </si>
  <si>
    <t>年份</t>
  </si>
  <si>
    <t>国际重大时代标志</t>
  </si>
  <si>
    <t>中国重大时代标志</t>
  </si>
  <si>
    <t>重大事件</t>
  </si>
  <si>
    <t>名人</t>
  </si>
  <si>
    <t>本年发明</t>
  </si>
  <si>
    <t>二</t>
  </si>
  <si>
    <t>梵高饮弹自尽</t>
  </si>
  <si>
    <t>发现火星“人工运河”</t>
  </si>
  <si>
    <t>十九世纪纪 九十年代</t>
  </si>
  <si>
    <t xml:space="preserve">庚寅虎年
</t>
  </si>
  <si>
    <t>清光绪16年</t>
  </si>
  <si>
    <t>芝加哥建设世纪界首座全钢结构建筑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</si>
  <si>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</si>
  <si>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</si>
  <si>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</si>
  <si>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</si>
  <si>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三</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</si>
  <si>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</si>
  <si>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</si>
  <si>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</si>
  <si>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</si>
  <si>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</si>
  <si>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</si>
  <si>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</si>
  <si>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四</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</si>
  <si>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</si>
  <si>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</si>
  <si>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</si>
  <si>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</si>
  <si>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</si>
  <si>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</si>
  <si>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</si>
  <si>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</si>
  <si>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五</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</si>
  <si>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</si>
  <si>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</si>
  <si>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</si>
  <si>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</si>
  <si>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</si>
  <si>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</si>
  <si>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</si>
  <si>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</si>
  <si>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</si>
  <si>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</si>
  <si>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</si>
  <si>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</si>
  <si>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</si>
  <si>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六</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</si>
  <si>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</si>
  <si>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</si>
  <si>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</si>
  <si>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</si>
  <si>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</si>
  <si>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</si>
  <si>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</si>
  <si>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</si>
  <si>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</si>
  <si>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</si>
  <si>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</si>
  <si>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</si>
  <si>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</si>
  <si>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</si>
  <si>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</si>
  <si>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</si>
  <si>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七</t>
  </si>
  <si>
    <t>台湾民主国成立</t>
  </si>
  <si>
    <t>台湾民主国被日军占领</t>
  </si>
  <si>
    <t>《马关条约》</t>
  </si>
  <si>
    <t>公车上书</t>
  </si>
  <si>
    <t>乙未羊年</t>
  </si>
  <si>
    <t>清光绪21年</t>
  </si>
  <si>
    <r>
      <rPr>
        <sz val="10"/>
        <color rgb="FF000000"/>
        <rFont val="微软雅黑"/>
        <charset val="134"/>
      </rPr>
      <t xml:space="preserve">伦琴发现 X 射线
卷烟机发明
卢米埃兄弟制成电影放映机并在巴黎首次放映电影
</t>
    </r>
    <r>
      <rPr>
        <b/>
        <sz val="10"/>
        <color rgb="FF000000"/>
        <rFont val="微软雅黑"/>
        <charset val="134"/>
      </rPr>
      <t xml:space="preserve">
卡尔斯滕·埃格贝尔格·博克格尔文克成为第一名在南极洲大陆登陆的人
韦廉姆·G·摩根在美国发明排球</t>
    </r>
  </si>
  <si>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</si>
  <si>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</si>
  <si>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r>
      <rPr>
        <sz val="10"/>
        <color rgb="FF000000"/>
        <rFont val="微软雅黑"/>
        <charset val="134"/>
      </rPr>
      <t xml:space="preserve">X 射线
卷烟机
电影放映机
</t>
    </r>
    <r>
      <rPr>
        <b/>
        <sz val="10"/>
        <color rgb="FF000000"/>
        <rFont val="微软雅黑"/>
        <charset val="134"/>
      </rPr>
      <t>排球</t>
    </r>
  </si>
  <si>
    <t>力量体型共-5 E-5 L*2</t>
  </si>
  <si>
    <t>砷化物</t>
  </si>
  <si>
    <t>30分钟～24小时</t>
  </si>
  <si>
    <t>灼痛、呕吐、剧烈腹泻</t>
  </si>
  <si>
    <t>4D10</t>
  </si>
  <si>
    <t>砷中毒难以确认（这使得它作为毒杀工具大受欢迎），直到1836年马氏试砷法发明为止。</t>
  </si>
  <si>
    <t>左手</t>
  </si>
  <si>
    <t>八</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</si>
  <si>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</si>
  <si>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</si>
  <si>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</si>
  <si>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</si>
  <si>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</si>
  <si>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</si>
  <si>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</si>
  <si>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</si>
  <si>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</si>
  <si>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</si>
  <si>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</si>
  <si>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</si>
  <si>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世纪界上毒性最大的植物之一，成人食用10～20颗就可能死亡。</t>
  </si>
  <si>
    <t>右手</t>
  </si>
  <si>
    <t>九</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</si>
  <si>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</si>
  <si>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</si>
  <si>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</si>
  <si>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</si>
  <si>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</si>
  <si>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</si>
  <si>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</si>
  <si>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</si>
  <si>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</si>
  <si>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</si>
  <si>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</si>
  <si>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</si>
  <si>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</si>
  <si>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</si>
  <si>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</si>
  <si>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</si>
  <si>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</si>
  <si>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</si>
  <si>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</si>
  <si>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</si>
  <si>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</si>
  <si>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</si>
  <si>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</si>
  <si>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</si>
  <si>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</si>
  <si>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</si>
  <si>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</si>
  <si>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</si>
  <si>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</si>
  <si>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</si>
  <si>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</si>
  <si>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</si>
  <si>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</si>
  <si>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</si>
  <si>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</si>
  <si>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</si>
  <si>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</si>
  <si>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</si>
  <si>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</si>
  <si>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</si>
  <si>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</si>
  <si>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</si>
  <si>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</si>
  <si>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</si>
  <si>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技艺</t>
  </si>
  <si>
    <t>巴黎奥运会</t>
  </si>
  <si>
    <t>诺贝尔奖基金会</t>
  </si>
  <si>
    <t>八国联军侵华战争</t>
  </si>
  <si>
    <t>庚子国变</t>
  </si>
  <si>
    <t>二十世纪纪初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</si>
  <si>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</si>
  <si>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</si>
  <si>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</si>
  <si>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</si>
  <si>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</si>
  <si>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</si>
  <si>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</si>
  <si>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</si>
  <si>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</si>
  <si>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</si>
  <si>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</si>
  <si>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</si>
  <si>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</si>
  <si>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</si>
  <si>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</si>
  <si>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维多利亚女王逝世纪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</si>
  <si>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</si>
  <si>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</si>
  <si>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</si>
  <si>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</si>
  <si>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</si>
  <si>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</si>
  <si>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</si>
  <si>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</si>
  <si>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</si>
  <si>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</si>
  <si>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</si>
  <si>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</si>
  <si>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</si>
  <si>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</si>
  <si>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</si>
  <si>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</si>
  <si>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</si>
  <si>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</si>
  <si>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</si>
  <si>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</si>
  <si>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</si>
  <si>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</si>
  <si>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</si>
  <si>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</si>
  <si>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</si>
  <si>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</si>
  <si>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</si>
  <si>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</si>
  <si>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</si>
  <si>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</si>
  <si>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</si>
  <si>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</si>
  <si>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</si>
  <si>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</si>
  <si>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</si>
  <si>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</si>
  <si>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</si>
  <si>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</si>
  <si>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</si>
  <si>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</si>
  <si>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</si>
  <si>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</si>
  <si>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</si>
  <si>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</si>
  <si>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</si>
  <si>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</si>
  <si>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</si>
  <si>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</si>
  <si>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</si>
  <si>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</si>
  <si>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射击①</t>
  </si>
  <si>
    <t>俄国革命</t>
  </si>
  <si>
    <t>乙巳蛇年</t>
  </si>
  <si>
    <t>清光绪31年</t>
  </si>
  <si>
    <t>库利南钻石（3000 克拉 )，当时世纪界最大的钻石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</si>
  <si>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</si>
  <si>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</si>
  <si>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</si>
  <si>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</si>
  <si>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</si>
  <si>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</si>
  <si>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</si>
  <si>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</si>
  <si>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</si>
  <si>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</si>
  <si>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</si>
  <si>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</si>
  <si>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</si>
  <si>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</si>
  <si>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</si>
  <si>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</si>
  <si>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</si>
  <si>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</si>
  <si>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</si>
  <si>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</si>
  <si>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</si>
  <si>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</si>
  <si>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</si>
  <si>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</si>
  <si>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</si>
  <si>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</si>
  <si>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</si>
  <si>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</si>
  <si>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兴趣点</t>
  </si>
  <si>
    <t>右腿</t>
  </si>
  <si>
    <t>二十世纪纪初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</si>
  <si>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</si>
  <si>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</si>
  <si>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</si>
  <si>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</si>
  <si>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</si>
  <si>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</si>
  <si>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</si>
  <si>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</si>
  <si>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</si>
  <si>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</si>
  <si>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</si>
  <si>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</si>
  <si>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</si>
  <si>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</si>
  <si>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</si>
  <si>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</si>
  <si>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经历点</t>
  </si>
  <si>
    <t>膝部</t>
  </si>
  <si>
    <t>辛亥革命</t>
  </si>
  <si>
    <t>二十世纪纪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</si>
  <si>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</si>
  <si>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</si>
  <si>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</si>
  <si>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</si>
  <si>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</si>
  <si>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</si>
  <si>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</si>
  <si>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经历包序号</t>
  </si>
  <si>
    <t>其他(下肢)</t>
  </si>
  <si>
    <t>斯德哥尔摩奥运会</t>
  </si>
  <si>
    <t>中华民国成立</t>
  </si>
  <si>
    <t>清帝退位</t>
  </si>
  <si>
    <t>二十世纪纪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</si>
  <si>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</si>
  <si>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</si>
  <si>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</si>
  <si>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</si>
  <si>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</si>
  <si>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</si>
  <si>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</si>
  <si>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射击</t>
  </si>
  <si>
    <t>巴尔干战争</t>
  </si>
  <si>
    <t>二十世纪纪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</si>
  <si>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</si>
  <si>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</si>
  <si>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</si>
  <si>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</si>
  <si>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</si>
  <si>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最后显示序号</t>
  </si>
  <si>
    <t>第一次世界大战</t>
  </si>
  <si>
    <t>甲寅虎年</t>
  </si>
  <si>
    <t>民国3年</t>
  </si>
  <si>
    <t>第一次世纪界大战爆发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</si>
  <si>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</si>
  <si>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</si>
  <si>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</si>
  <si>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</si>
  <si>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第一次世纪界大战造成史无前例的重大伤亡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</si>
  <si>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</si>
  <si>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</si>
  <si>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是否一致</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</si>
  <si>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</si>
  <si>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</si>
  <si>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</si>
  <si>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</si>
  <si>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</si>
  <si>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</si>
  <si>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</si>
  <si>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</si>
  <si>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</si>
  <si>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</si>
  <si>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</si>
  <si>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</si>
  <si>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</si>
  <si>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</si>
  <si>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</si>
  <si>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</si>
  <si>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</si>
  <si>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军</t>
  </si>
  <si>
    <t>兵</t>
  </si>
  <si>
    <t>警</t>
  </si>
  <si>
    <t>罪</t>
  </si>
  <si>
    <t>医</t>
  </si>
  <si>
    <t>神</t>
  </si>
  <si>
    <t>外语</t>
  </si>
  <si>
    <t>戊午马年</t>
  </si>
  <si>
    <t>民国7年</t>
  </si>
  <si>
    <t>第一次世纪界大战结束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</si>
  <si>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</si>
  <si>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</si>
  <si>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</si>
  <si>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</si>
  <si>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</si>
  <si>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</si>
  <si>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</si>
  <si>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</si>
  <si>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</si>
  <si>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</si>
  <si>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</si>
  <si>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</si>
  <si>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</si>
  <si>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</si>
  <si>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</si>
  <si>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</si>
  <si>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</si>
  <si>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</si>
  <si>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</si>
  <si>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</si>
  <si>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</si>
  <si>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</si>
  <si>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</si>
  <si>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</si>
  <si>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</si>
  <si>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</si>
  <si>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</si>
  <si>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赫伯特·乔治·威尔斯《世纪界史纲》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</si>
  <si>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</si>
  <si>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</si>
  <si>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</si>
  <si>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苏联建国</t>
  </si>
  <si>
    <t>壬戌狗年</t>
  </si>
  <si>
    <t>民国11年</t>
  </si>
  <si>
    <t>三K 党死灰复燃
英国飞艇AR-2 断成两段，死亡62 人
分离胰岛素
首个实用邮戳机
苏联五一口号去掉“世纪界革命”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</si>
  <si>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</si>
  <si>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</si>
  <si>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</si>
  <si>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</si>
  <si>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</si>
  <si>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</si>
  <si>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</si>
  <si>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</si>
  <si>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</si>
  <si>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</si>
  <si>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</si>
  <si>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</si>
  <si>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</si>
  <si>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</si>
  <si>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</si>
  <si>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</si>
  <si>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</si>
  <si>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</si>
  <si>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</si>
  <si>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</si>
  <si>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</si>
  <si>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</si>
  <si>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孙中山逝世纪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</si>
  <si>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威利斯·奥布莱恩制作了《失落的世纪界》，将史前生物带入人们视野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</si>
  <si>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</si>
  <si>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</si>
  <si>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</si>
  <si>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</si>
  <si>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</si>
  <si>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</si>
  <si>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</si>
  <si>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</si>
  <si>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</si>
  <si>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</si>
  <si>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</si>
  <si>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</si>
  <si>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</si>
  <si>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</si>
  <si>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</si>
  <si>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</si>
  <si>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</si>
  <si>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</si>
  <si>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</si>
  <si>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</si>
  <si>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</si>
  <si>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</si>
  <si>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</si>
  <si>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</si>
  <si>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</si>
  <si>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</si>
  <si>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</si>
  <si>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</si>
  <si>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</si>
  <si>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</si>
  <si>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</si>
  <si>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</si>
  <si>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</si>
  <si>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齐柏林伯爵号飞艇环游世纪界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</si>
  <si>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</si>
  <si>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</si>
  <si>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</si>
  <si>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</si>
  <si>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</si>
  <si>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</si>
  <si>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</si>
  <si>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</si>
  <si>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</si>
  <si>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</si>
  <si>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</si>
  <si>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</si>
  <si>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</si>
  <si>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</si>
  <si>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</si>
  <si>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</si>
  <si>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</si>
  <si>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</si>
  <si>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</si>
  <si>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</si>
  <si>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</si>
  <si>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</si>
  <si>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</si>
  <si>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</si>
  <si>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</si>
  <si>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</si>
  <si>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</si>
  <si>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</si>
  <si>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</si>
  <si>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</si>
  <si>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</si>
  <si>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</si>
  <si>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</si>
  <si>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</si>
  <si>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</si>
  <si>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</si>
  <si>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</si>
  <si>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</si>
  <si>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</si>
  <si>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</si>
  <si>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</si>
  <si>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</si>
  <si>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</si>
  <si>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</si>
  <si>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</si>
  <si>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</si>
  <si>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</si>
  <si>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</si>
  <si>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科学</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</si>
  <si>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</si>
  <si>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</si>
  <si>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</si>
  <si>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</si>
  <si>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</si>
  <si>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</si>
  <si>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</si>
  <si>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</si>
  <si>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</si>
  <si>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</si>
  <si>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</si>
  <si>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</si>
  <si>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</si>
  <si>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</si>
  <si>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</si>
  <si>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</si>
  <si>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</si>
  <si>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</si>
  <si>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</si>
  <si>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</si>
  <si>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</si>
  <si>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</si>
  <si>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</si>
  <si>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</si>
  <si>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</si>
  <si>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</si>
  <si>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</si>
  <si>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</si>
  <si>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</si>
  <si>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</si>
  <si>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</si>
  <si>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</si>
  <si>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</si>
  <si>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</si>
  <si>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</si>
  <si>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</si>
  <si>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</si>
  <si>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</si>
  <si>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</si>
  <si>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</si>
  <si>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</si>
  <si>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</si>
  <si>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</si>
  <si>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</si>
  <si>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</si>
  <si>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</si>
  <si>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</si>
  <si>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</si>
  <si>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</si>
  <si>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</si>
  <si>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</si>
  <si>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</si>
  <si>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</si>
  <si>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</si>
  <si>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</si>
  <si>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</si>
  <si>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</si>
  <si>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</si>
  <si>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</si>
  <si>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</si>
  <si>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</si>
  <si>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</si>
  <si>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</si>
  <si>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</si>
  <si>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</si>
  <si>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库尔斯克会战，世纪界最大的坦克战役，德军告负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</si>
  <si>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</si>
  <si>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</si>
  <si>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</si>
  <si>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</si>
  <si>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</si>
  <si>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</si>
  <si>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</si>
  <si>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</si>
  <si>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</si>
  <si>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</si>
  <si>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</si>
  <si>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</si>
  <si>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</si>
  <si>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</si>
  <si>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</si>
  <si>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第二次世纪界大战共造成5000 万人死亡，欧洲和日本需要15 年的时间明显恢复
美国因战争死亡405399 人
解放奥斯维辛
雅尔塔会议
硫磺岛战役
攻占雷玛根大桥
罗斯福逝世纪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</si>
  <si>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</si>
  <si>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</si>
  <si>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</si>
  <si>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</si>
  <si>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</si>
  <si>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</si>
  <si>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</si>
  <si>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</si>
  <si>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</si>
  <si>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</si>
  <si>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</si>
  <si>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</si>
  <si>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</si>
  <si>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</si>
  <si>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</si>
  <si>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</si>
  <si>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</si>
  <si>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</si>
  <si>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</si>
  <si>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</si>
  <si>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</si>
  <si>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</si>
  <si>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</si>
  <si>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</si>
  <si>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</si>
  <si>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</si>
  <si>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</si>
  <si>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</si>
  <si>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</si>
  <si>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</si>
  <si>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</si>
  <si>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</si>
  <si>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</si>
  <si>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</si>
  <si>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</si>
  <si>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</si>
  <si>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</si>
  <si>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</si>
  <si>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</si>
  <si>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</si>
  <si>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</si>
  <si>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</si>
  <si>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</si>
  <si>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</si>
  <si>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难度等级取决于</t>
  </si>
  <si>
    <t>技能注释</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</si>
  <si>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</si>
  <si>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</si>
  <si>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</si>
  <si>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</si>
  <si>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</si>
  <si>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</si>
  <si>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</si>
  <si>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</si>
  <si>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</si>
  <si>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</si>
  <si>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</si>
  <si>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</si>
  <si>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</si>
  <si>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</si>
  <si>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</si>
  <si>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</si>
  <si>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</si>
  <si>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英王伊丽莎白二世纪登基
最严重美国公交车车祸，死亡28 人
法国潜艇西比尔号在地中海失踪，舰上有49 人
美国脊髓灰质炎死亡3300 人，影响5.7 万儿童
纽约人行红绿灯
通用汽车在1953 型汽车中装入车载空调
贝隆夫人逝世纪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</si>
  <si>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</si>
  <si>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</si>
  <si>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</si>
  <si>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</si>
  <si>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</si>
  <si>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</si>
  <si>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</si>
  <si>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</si>
  <si>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</si>
  <si>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</si>
  <si>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</si>
  <si>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</si>
  <si>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</si>
  <si>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斯大林逝世纪
英国北海风暴，死亡200 人
DNA 双螺旋结构
教皇庇护十二世纪赞同心理分析和心理治疗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</si>
  <si>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</si>
  <si>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</si>
  <si>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</si>
  <si>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</si>
  <si>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</si>
  <si>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</si>
  <si>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</si>
  <si>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</si>
  <si>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</si>
  <si>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</si>
  <si>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</si>
  <si>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</si>
  <si>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</si>
  <si>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</si>
  <si>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</si>
  <si>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</si>
  <si>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</si>
  <si>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</si>
  <si>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</si>
  <si>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</si>
  <si>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</si>
  <si>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</si>
  <si>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</si>
  <si>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</si>
  <si>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</si>
  <si>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爱因斯坦逝世纪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</si>
  <si>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</si>
  <si>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</si>
  <si>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</si>
  <si>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</si>
  <si>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</si>
  <si>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</si>
  <si>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</si>
  <si>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</si>
  <si>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</si>
  <si>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</si>
  <si>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</si>
  <si>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</si>
  <si>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</si>
  <si>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</si>
  <si>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</si>
  <si>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</si>
  <si>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</si>
  <si>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</si>
  <si>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</si>
  <si>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</si>
  <si>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</si>
  <si>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</si>
  <si>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</si>
  <si>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</si>
  <si>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</si>
  <si>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</si>
  <si>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表演</t>
  </si>
  <si>
    <t>技艺的子项</t>
  </si>
  <si>
    <t>· 表演者收到过戏剧以及/或电影演技的训练（在现代，这可能也包括电视），使你能适应一个人物角色，记住剧本，以及使用舞台/电影化妆来改变他们的外貌。</t>
  </si>
  <si>
    <t>美国——————</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</si>
  <si>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</si>
  <si>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</si>
  <si>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</si>
  <si>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</si>
  <si>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</si>
  <si>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</si>
  <si>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</si>
  <si>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这项技能也代表了对艺术世纪界的熟悉，以及技术家能确定特定艺术家的作品，他们的学校，以及了解的历史。</t>
  </si>
  <si>
    <t>华盛顿特区</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</si>
  <si>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</si>
  <si>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</si>
  <si>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</si>
  <si>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</si>
  <si>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</si>
  <si>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</si>
  <si>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</si>
  <si>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摄影</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</si>
  <si>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</si>
  <si>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《华盛顿先驱报》</t>
  </si>
  <si>
    <t>罗马奥运会</t>
  </si>
  <si>
    <t>二十世纪纪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</si>
  <si>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</si>
  <si>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</si>
  <si>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</si>
  <si>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</si>
  <si>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</si>
  <si>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伪造</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</si>
  <si>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</si>
  <si>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《华盛顿新闻》</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</si>
  <si>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</si>
  <si>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</si>
  <si>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</si>
  <si>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</si>
  <si>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</si>
  <si>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</si>
  <si>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</si>
  <si>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文学</t>
  </si>
  <si>
    <t>· 作家可以通过文学来写出一篇脍炙人口的名章。
· 如果想要将一个怪物将其用文字记录下来，那么建议过一个困难以上的鉴定，否则冠以不可名状即可。</t>
  </si>
  <si>
    <t>《华盛顿邮报》</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</si>
  <si>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</si>
  <si>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</si>
  <si>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</si>
  <si>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</si>
  <si>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</si>
  <si>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</si>
  <si>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</si>
  <si>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书法</t>
  </si>
  <si>
    <t>· 使用者可以使用书法挥斥方遒，力透纸背。
· 如果了解对方的书法习惯的话，可以伪造出近乎一模一样的笔迹。
· 也可以替人写字卖钱养家糊口。书法家的名头也是赚足了眼球的。</t>
  </si>
  <si>
    <t>《华盛顿时报》</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</si>
  <si>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</si>
  <si>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</si>
  <si>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</si>
  <si>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</si>
  <si>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</si>
  <si>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</si>
  <si>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</si>
  <si>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</si>
  <si>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尼赫鲁逝世纪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</si>
  <si>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</si>
  <si>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</si>
  <si>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</si>
  <si>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</si>
  <si>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厨艺</t>
  </si>
  <si>
    <t>· 当使用者需要做饭时可以通过该鉴定决定做出的饭菜是否美观可口。
· 如果是食品雕刻则需要非常高级的刀工与设计，没有传授会十分困难。</t>
  </si>
  <si>
    <t>加利福尼亚州</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</si>
  <si>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</si>
  <si>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</si>
  <si>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</si>
  <si>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</si>
  <si>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</si>
  <si>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</si>
  <si>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</si>
  <si>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</si>
  <si>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《洛杉矶观察家报》</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</si>
  <si>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</si>
  <si>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</si>
  <si>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</si>
  <si>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</si>
  <si>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</si>
  <si>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</si>
  <si>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</si>
  <si>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</si>
  <si>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</si>
  <si>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《洛杉矶先驱报》</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</si>
  <si>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</si>
  <si>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</si>
  <si>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</si>
  <si>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</si>
  <si>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</si>
  <si>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</si>
  <si>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</si>
  <si>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《洛杉矶时报》</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</si>
  <si>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</si>
  <si>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</si>
  <si>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</si>
  <si>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</si>
  <si>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</si>
  <si>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</si>
  <si>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舞蹈</t>
  </si>
  <si>
    <t>· 使用者可以根据所学习的程度跳出相应的舞蹈。
· 越难的舞蹈鉴定遇难。比如冰上华尔兹，可能就得进行联合鉴定才能成功。</t>
  </si>
  <si>
    <t>恐惧症状表</t>
  </si>
  <si>
    <t>狂躁症状表</t>
  </si>
  <si>
    <t>《奥克兰追问者邮报》</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</si>
  <si>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</si>
  <si>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</si>
  <si>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</si>
  <si>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</si>
  <si>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</si>
  <si>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</si>
  <si>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</si>
  <si>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</si>
  <si>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</si>
  <si>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</si>
  <si>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</si>
  <si>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</si>
  <si>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《橘郡纪事报》</t>
  </si>
  <si>
    <t>东方红1号</t>
  </si>
  <si>
    <t>二十世纪纪 七十年代</t>
  </si>
  <si>
    <t>中华人民共和国21周年</t>
  </si>
  <si>
    <t>激进时尚[14]
巴勒斯坦人劫持5 架次飞机
戴高乐逝世纪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</si>
  <si>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</si>
  <si>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</si>
  <si>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</si>
  <si>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</si>
  <si>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</si>
  <si>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</si>
  <si>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</si>
  <si>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</si>
  <si>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《萨克拉门托蜜蜂报》</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</si>
  <si>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</si>
  <si>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</si>
  <si>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</si>
  <si>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</si>
  <si>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</si>
  <si>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</si>
  <si>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歌唱</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</si>
  <si>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</si>
  <si>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</si>
  <si>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</si>
  <si>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《圣迭戈太阳报》</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</si>
  <si>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</si>
  <si>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</si>
  <si>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</si>
  <si>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</si>
  <si>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</si>
  <si>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</si>
  <si>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</si>
  <si>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</si>
  <si>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</si>
  <si>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</si>
  <si>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</si>
  <si>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《旧金山呼声报》</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</si>
  <si>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</si>
  <si>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</si>
  <si>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</si>
  <si>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</si>
  <si>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</si>
  <si>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</si>
  <si>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</si>
  <si>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</si>
  <si>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</si>
  <si>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</si>
  <si>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《圣迭戈联合报》</t>
  </si>
  <si>
    <t>中华人民共和国25周年</t>
  </si>
  <si>
    <t>帕蒂·赫斯特被共生解放军绑架
美国广泛的石油短缺
尼克松辞职
美国飓风两天死亡315 人
农业技术绿色革命</t>
  </si>
  <si>
    <t>总统：
   理查德·尼克松（共和党）
   杰拉尔德·福特（共和党）</t>
  </si>
  <si>
    <t>杂技</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</si>
  <si>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</si>
  <si>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</si>
  <si>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</si>
  <si>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《旧金山纪事报》</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</si>
  <si>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</si>
  <si>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</si>
  <si>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</si>
  <si>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</si>
  <si>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</si>
  <si>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</si>
  <si>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</si>
  <si>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</si>
  <si>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</si>
  <si>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</si>
  <si>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</si>
  <si>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</si>
  <si>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《旧金山观察家报》</t>
  </si>
  <si>
    <t>蒙特利尔奥运会</t>
  </si>
  <si>
    <t>四五运动</t>
  </si>
  <si>
    <t>唐山地震</t>
  </si>
  <si>
    <t>毛主席去世</t>
  </si>
  <si>
    <t>中华人民共和国27周年</t>
  </si>
  <si>
    <t>动物灭绝成为公众话题
毛泽东逝世纪
飓风利兹在墨西哥造成2500 人死亡
CRAY-1，世纪界首台超级计算机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</si>
  <si>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</si>
  <si>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</si>
  <si>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</si>
  <si>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</si>
  <si>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</si>
  <si>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</si>
  <si>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</si>
  <si>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《旧金山新闻报》</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</si>
  <si>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</si>
  <si>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</si>
  <si>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</si>
  <si>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</si>
  <si>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</si>
  <si>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</si>
  <si>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耕作</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</si>
  <si>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</si>
  <si>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</si>
  <si>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</si>
  <si>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</si>
  <si>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</si>
  <si>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</si>
  <si>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</si>
  <si>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</si>
  <si>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</si>
  <si>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</si>
  <si>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</si>
  <si>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</si>
  <si>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</si>
  <si>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纽约州</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</si>
  <si>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</si>
  <si>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</si>
  <si>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</si>
  <si>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</si>
  <si>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</si>
  <si>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</si>
  <si>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</si>
  <si>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</si>
  <si>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</si>
  <si>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《奥尔巴尼联合时报》</t>
  </si>
  <si>
    <t>莫斯科奥运会</t>
  </si>
  <si>
    <t>二十世纪纪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</si>
  <si>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</si>
  <si>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</si>
  <si>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</si>
  <si>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</si>
  <si>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</si>
  <si>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木匠</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</si>
  <si>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</si>
  <si>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</si>
  <si>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</si>
  <si>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《布法罗新闻报》</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</si>
  <si>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</si>
  <si>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</si>
  <si>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</si>
  <si>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</si>
  <si>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t>
  </si>
  <si>
    <t>· 莫里斯舞，在英国的历史“久远”二字都不足以形容。
· 在古代凯尔特人的传统节日庆祝活动中，往往会绕着石圈或者石阵跳舞。这种舞就是最初的莫里斯舞，而随着时间的发展，莫里斯舞后来又转移到了墓地进行。</t>
  </si>
  <si>
    <t>截肢者恐惧症（Apotemnophobia）：对截肢者的恐惧。</t>
  </si>
  <si>
    <t>欣快癖（Amenomania）：不正常地感到喜悦。</t>
  </si>
  <si>
    <t>《纽约美国人报》</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</si>
  <si>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</si>
  <si>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</si>
  <si>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</si>
  <si>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</si>
  <si>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</si>
  <si>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</si>
  <si>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</si>
  <si>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《纽约每日新闻》</t>
  </si>
  <si>
    <t>李先念主席上任</t>
  </si>
  <si>
    <t>中华人民共和国34周年</t>
  </si>
  <si>
    <t>阿基诺二世纪被杀
欧洲大规模反导弹抗议
估计世纪界人口47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</si>
  <si>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</si>
  <si>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</si>
  <si>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</si>
  <si>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</si>
  <si>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《纽约新闻报》</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</si>
  <si>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</si>
  <si>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</si>
  <si>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</si>
  <si>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</si>
  <si>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</si>
  <si>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吹制玻璃管</t>
  </si>
  <si>
    <t>· 吹真空管实为吹制玻璃管。吹制玻璃管分为人工吹制和机械吹制。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</si>
  <si>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</si>
  <si>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</si>
  <si>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《纽约邮报》</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</si>
  <si>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</si>
  <si>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</si>
  <si>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</si>
  <si>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</si>
  <si>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《纽约电讯报》</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</si>
  <si>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</si>
  <si>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</si>
  <si>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</si>
  <si>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</si>
  <si>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</si>
  <si>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</si>
  <si>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</si>
  <si>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</si>
  <si>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</si>
  <si>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</si>
  <si>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</si>
  <si>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</si>
  <si>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</si>
  <si>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</si>
  <si>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</si>
  <si>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</si>
  <si>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</si>
  <si>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《纽约时报》</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</si>
  <si>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</si>
  <si>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</si>
  <si>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</si>
  <si>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</si>
  <si>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</si>
  <si>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</si>
  <si>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</si>
  <si>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</si>
  <si>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</si>
  <si>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</si>
  <si>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</si>
  <si>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</si>
  <si>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《罗彻斯特日报》</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</si>
  <si>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</si>
  <si>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</si>
  <si>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</si>
  <si>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</si>
  <si>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</si>
  <si>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</si>
  <si>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</si>
  <si>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</si>
  <si>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</si>
  <si>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</si>
  <si>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</si>
  <si>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</si>
  <si>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</si>
  <si>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</si>
  <si>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</si>
  <si>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</si>
  <si>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</si>
  <si>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</si>
  <si>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《锡拉丘兹日报》</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</si>
  <si>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</si>
  <si>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</si>
  <si>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</si>
  <si>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</si>
  <si>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</si>
  <si>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</si>
  <si>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</si>
  <si>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</si>
  <si>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charset val="134"/>
      </rPr>
      <t xml:space="preserve">· 衡量了调查员表现出来的富裕程度以及经济上的自信度
· 信用评级可以被用来取代APP来评估第一印象
※ </t>
    </r>
    <r>
      <rPr>
        <b/>
        <sz val="10"/>
        <color rgb="FF000000"/>
        <rFont val="微软雅黑"/>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</si>
  <si>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</si>
  <si>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</si>
  <si>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</si>
  <si>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</si>
  <si>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</si>
  <si>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</si>
  <si>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</si>
  <si>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《华尔街日报》</t>
  </si>
  <si>
    <t>亚运会</t>
  </si>
  <si>
    <t>二十世纪纪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</si>
  <si>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</si>
  <si>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</si>
  <si>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</si>
  <si>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</si>
  <si>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</si>
  <si>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</si>
  <si>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</si>
  <si>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</si>
  <si>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</si>
  <si>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</si>
  <si>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</si>
  <si>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苏联解体</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</si>
  <si>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</si>
  <si>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</si>
  <si>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</si>
  <si>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</si>
  <si>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</si>
  <si>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</si>
  <si>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</si>
  <si>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</si>
  <si>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</si>
  <si>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</si>
  <si>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德克萨斯州</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</si>
  <si>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</si>
  <si>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</si>
  <si>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</si>
  <si>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</si>
  <si>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</si>
  <si>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</si>
  <si>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</si>
  <si>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</si>
  <si>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</si>
  <si>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</si>
  <si>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《达拉斯晨报》</t>
  </si>
  <si>
    <t>江泽民主席上任</t>
  </si>
  <si>
    <t>中华人民共和国44周年</t>
  </si>
  <si>
    <t xml:space="preserve">1993 年世纪贸中心爆炸案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</si>
  <si>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</si>
  <si>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</si>
  <si>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</si>
  <si>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</si>
  <si>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</si>
  <si>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</si>
  <si>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</si>
  <si>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</si>
  <si>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</si>
  <si>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</si>
  <si>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《厄尔巴索邮报》</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</si>
  <si>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</si>
  <si>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</si>
  <si>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</si>
  <si>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</si>
  <si>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</si>
  <si>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</si>
  <si>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</si>
  <si>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</si>
  <si>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</si>
  <si>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</si>
  <si>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</si>
  <si>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</si>
  <si>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《沃斯堡新闻报》</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</si>
  <si>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</si>
  <si>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</si>
  <si>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</si>
  <si>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</si>
  <si>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</si>
  <si>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</si>
  <si>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</si>
  <si>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</si>
  <si>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</si>
  <si>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</si>
  <si>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</si>
  <si>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《沃斯堡明镜电讯报》</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</si>
  <si>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</si>
  <si>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</si>
  <si>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</si>
  <si>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</si>
  <si>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</si>
  <si>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</si>
  <si>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</si>
  <si>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</si>
  <si>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</si>
  <si>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《休斯敦纪事报》</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</si>
  <si>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</si>
  <si>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</si>
  <si>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</si>
  <si>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</si>
  <si>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</si>
  <si>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《休斯敦邮报》</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</si>
  <si>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</si>
  <si>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</si>
  <si>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</si>
  <si>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</si>
  <si>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</si>
  <si>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</si>
  <si>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</si>
  <si>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</si>
  <si>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《休斯敦新闻报》</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</si>
  <si>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</si>
  <si>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</si>
  <si>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</si>
  <si>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</si>
  <si>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</si>
  <si>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</si>
  <si>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</si>
  <si>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</si>
  <si>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</si>
  <si>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</si>
  <si>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《圣安东尼奥光明报》</t>
  </si>
  <si>
    <t>悉尼奥运会</t>
  </si>
  <si>
    <t>千年虫</t>
  </si>
  <si>
    <t>普及义务教育</t>
  </si>
  <si>
    <t>二十一世纪纪初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</si>
  <si>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</si>
  <si>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爱德华·戈里逝世纪，享年75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</si>
  <si>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</si>
  <si>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</si>
  <si>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</si>
  <si>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</si>
  <si>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911事件</t>
  </si>
  <si>
    <t>昆仑山大地震</t>
  </si>
  <si>
    <t>中华人民共和国52周年</t>
  </si>
  <si>
    <t>世纪界人口达到62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</si>
  <si>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</si>
  <si>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</si>
  <si>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</si>
  <si>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</si>
  <si>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</si>
  <si>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</si>
  <si>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</si>
  <si>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</si>
  <si>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</si>
  <si>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俄亥俄州</t>
  </si>
  <si>
    <t>盗版猖獗</t>
  </si>
  <si>
    <t>SARS事件</t>
  </si>
  <si>
    <t>中华人民共和国53周年</t>
  </si>
  <si>
    <t>布什认为世纪界存在邪恶轴心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</si>
  <si>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</si>
  <si>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剑</t>
  </si>
  <si>
    <t>· 当使用大型的木斧时使用这个技能
· 短柄小斧则可以用基础的斗殴技能
· 如果投掷出去，使用投掷技能</t>
  </si>
  <si>
    <t>过马路恐惧症（Dromophobia）：对于过马路的恐惧。</t>
  </si>
  <si>
    <t>魔臆症（Demonomania）：病态地坚信自己已被恶魔附身。</t>
  </si>
  <si>
    <t>《阿克伦时报》</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</si>
  <si>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</si>
  <si>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</si>
  <si>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</si>
  <si>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</si>
  <si>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</si>
  <si>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</si>
  <si>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</si>
  <si>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</si>
  <si>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《辛辛那提邮报》</t>
  </si>
  <si>
    <t>中华人民共和国55周年</t>
  </si>
  <si>
    <t>马德里311 爆炸案，恐怖分子在4 辆高峰时段列车上隐藏炸弹，死亡191 人
别斯兰人质事件，恐怖分子劫持学校中1200 余人，俄军包围学校，死亡335 人，伤700 余人
世纪界最大的远洋客轮轮玛丽皇后二号处女航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</si>
  <si>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</si>
  <si>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</si>
  <si>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</si>
  <si>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</si>
  <si>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《克利夫兰老实人报》</t>
  </si>
  <si>
    <t>中华人民共和国56周年</t>
  </si>
  <si>
    <t>飓风卡特里娜袭击美国墨西哥湾，死亡1800 人
维珍大西洋环球飞行者号打破单人不间断飞行环游世纪界纪录
年末增加闰秒</t>
  </si>
  <si>
    <t>矛</t>
  </si>
  <si>
    <t>· 索连棍，钉锤，以及相似的中世纪纪兵器</t>
  </si>
  <si>
    <t>针尖恐惧症（Enetophobia）：对针或大头针的恐惧。</t>
  </si>
  <si>
    <t>嗜酒狂（Dipsomania）：反常地渴求酒精。</t>
  </si>
  <si>
    <t>《克利夫兰日报》</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</si>
  <si>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</si>
  <si>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</si>
  <si>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</si>
  <si>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</si>
  <si>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</si>
  <si>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</si>
  <si>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《哥伦布公民杂志》</t>
  </si>
  <si>
    <t>中华人民共和国58周年</t>
  </si>
  <si>
    <t>俄罗斯恢复战略轰炸机全球例行战斗巡逻
哈利·波特和死亡圣器出版，成为出版史上销售最快的书</t>
  </si>
  <si>
    <t>恐猫症（Felinophobia）：对猫的恐惧。</t>
  </si>
  <si>
    <t>赠物癖（Doromania）：痴迷于赠送礼物。</t>
  </si>
  <si>
    <t>《哥伦布快报》</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</si>
  <si>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</si>
  <si>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</si>
  <si>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</si>
  <si>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雷曼兄弟公司破产，标示新一轮世纪界财政危机开始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</si>
  <si>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</si>
  <si>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</si>
  <si>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</si>
  <si>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</si>
  <si>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</si>
  <si>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《托莱多蜜蜂新闻》</t>
  </si>
  <si>
    <t>中华人民共和国60周年</t>
  </si>
  <si>
    <t>冰岛国家破产
甲型H1N1 流感暴发，达到世纪界大流行
亚洲和太平洋地区发生本世纪纪最壮观日全食，持续约6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</si>
  <si>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</si>
  <si>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</si>
  <si>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</si>
  <si>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</si>
  <si>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</si>
  <si>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</si>
  <si>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</si>
  <si>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《扬斯敦电讯报》</t>
  </si>
  <si>
    <t>玉树地震</t>
  </si>
  <si>
    <t>钓鱼岛事件</t>
  </si>
  <si>
    <t>二十一世纪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</si>
  <si>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</si>
  <si>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</si>
  <si>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</si>
  <si>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</si>
  <si>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</si>
  <si>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</si>
  <si>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</si>
  <si>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</si>
  <si>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</si>
  <si>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世纪界人口据信已达70 亿
基地组织头目本·拉登在巴基斯坦被美国特种部队击毙
突尼斯小贩穆罕默德·布瓦吉吉自焚引发全国动乱，政府被推翻
中东地区发生类似的革命事件</t>
  </si>
  <si>
    <t>弓</t>
  </si>
  <si>
    <t>用来使用弓以及弩，包括从中世纪纪的长弓到现代高性能的复合弓</t>
  </si>
  <si>
    <t>恐血症（Haemaphobia）：对血的恐惧。</t>
  </si>
  <si>
    <t>职业狂（Empleomania）：对于工作的无尽病态渴求。</t>
  </si>
  <si>
    <t>马萨诸塞州</t>
  </si>
  <si>
    <t>阿拉伯之春</t>
  </si>
  <si>
    <t>世界末日谣言</t>
  </si>
  <si>
    <t>神舟九号</t>
  </si>
  <si>
    <t>中华人民共和国63周年</t>
  </si>
  <si>
    <t>伊利莎白二世纪女王钻石庆
阿拉伯之春
本世纪纪第二次（也是最后一次) 金星凌日
世纪界最高的自立式电波塔东京晴空塔（634米)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</si>
  <si>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</si>
  <si>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</si>
  <si>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</si>
  <si>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</si>
  <si>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</si>
  <si>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</si>
  <si>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</si>
  <si>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《波士顿广告人报》</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</si>
  <si>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</si>
  <si>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</si>
  <si>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</si>
  <si>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</si>
  <si>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</si>
  <si>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</si>
  <si>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反种族主义者，南非前总统纳尔逊·罗利赫拉赫拉·曼德拉去世纪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</si>
  <si>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</si>
  <si>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</si>
  <si>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</si>
  <si>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</si>
  <si>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</si>
  <si>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《波士顿美国人报》</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</si>
  <si>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</si>
  <si>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</si>
  <si>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</si>
  <si>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</si>
  <si>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</si>
  <si>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</si>
  <si>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</si>
  <si>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</si>
  <si>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</si>
  <si>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</si>
  <si>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</si>
  <si>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</si>
  <si>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</si>
  <si>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《波士顿环球报》</t>
  </si>
  <si>
    <t>美联社，1848，美国</t>
  </si>
  <si>
    <t>美国——————————</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</si>
  <si>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</si>
  <si>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</si>
  <si>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</si>
  <si>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</si>
  <si>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</si>
  <si>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</si>
  <si>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</si>
  <si>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</si>
  <si>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</si>
  <si>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《波士顿先驱报》</t>
  </si>
  <si>
    <t>美国合众社，1907，美国</t>
  </si>
  <si>
    <t>阿卡姆 密斯卡托尼克大学</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</si>
  <si>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</si>
  <si>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</si>
  <si>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</si>
  <si>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</si>
  <si>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</si>
  <si>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</si>
  <si>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《基督教科学箴言报》</t>
  </si>
  <si>
    <t>路透社，1849，英国</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</si>
  <si>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</si>
  <si>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</si>
  <si>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</si>
  <si>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</si>
  <si>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</si>
  <si>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</si>
  <si>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</si>
  <si>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</si>
  <si>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</si>
  <si>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</si>
  <si>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</si>
  <si>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</si>
  <si>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</si>
  <si>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交换电讯社，1872，英国</t>
  </si>
  <si>
    <t>华盛顿 美国国家地理学会</t>
  </si>
  <si>
    <t>霍金去世</t>
  </si>
  <si>
    <t>中美贸易战</t>
  </si>
  <si>
    <t>习近平主席连任</t>
  </si>
  <si>
    <t>中华人民共和国69周年</t>
  </si>
  <si>
    <t>霍金去世纪
斯坦·李去世纪
金庸去世纪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</si>
  <si>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</si>
  <si>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</si>
  <si>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</si>
  <si>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</si>
  <si>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</si>
  <si>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</si>
  <si>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</si>
  <si>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</si>
  <si>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</si>
  <si>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伊利诺伊州</t>
  </si>
  <si>
    <t>英国国家通讯社，1868，英国</t>
  </si>
  <si>
    <t>华盛顿 史密森学会</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</si>
  <si>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</si>
  <si>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</si>
  <si>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</si>
  <si>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</si>
  <si>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</si>
  <si>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</si>
  <si>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</si>
  <si>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</si>
  <si>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</si>
  <si>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</si>
  <si>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</si>
  <si>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</si>
  <si>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《芝加哥先锋观察家报》</t>
  </si>
  <si>
    <t>法国新闻通讯社，1929，法国</t>
  </si>
  <si>
    <t>华盛顿 美国国会图书馆</t>
  </si>
  <si>
    <t>新冠病毒席卷全球</t>
  </si>
  <si>
    <t>奥运推迟</t>
  </si>
  <si>
    <t>英国脱欧</t>
  </si>
  <si>
    <t>天问火星探测计划</t>
  </si>
  <si>
    <t>成功防控新冠病毒</t>
  </si>
  <si>
    <t>港区国安法表决通过</t>
  </si>
  <si>
    <t>二十一世纪 二十年代</t>
  </si>
  <si>
    <t>中华人民共和国71周年</t>
  </si>
  <si>
    <t>新冠病毒
伊朗将军苏莱曼尼遇袭身亡
澳大利亚山火
建筑奇迹“火神山”医院
科比·布莱恩特坠机意外去世纪
英国正式脱欧
首次因非战争事件推迟奥运会
美股十天熔断四次，原油跌负
中国《港区国安法》表决通过
美国黑人“弗洛伊德”事件引起全美暴乱游行
美国退出世纪界卫生组织
美中互相关闭领事馆
中国发射“天问一号”火星探测器
黎巴嫩首都意外发生硝酸铵大爆炸
日本首相安倍晋三辞职
中印边境班公湖地区冲突
阿塞拜疆与亚美尼亚爆发军事冲突
日本福岛核电站决定向太平洋排放核污水
中国东盟日本等国家签署人类最大自贸协定：RCEP
中国完成脱贫攻坚
中国发射“嫦娥五号”火箭
新冠病毒确诊突破六千万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</si>
  <si>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如果要达成两倍距离的跳跃，则需要一个极难难度的成功，尽管应当牢记，最长跳跃的世纪界纪录为大约29英尺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</si>
  <si>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</si>
  <si>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</si>
  <si>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</si>
  <si>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</si>
  <si>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</si>
  <si>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</si>
  <si>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</si>
  <si>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《芝加哥美国人报》</t>
  </si>
  <si>
    <t>哈瓦斯通讯社，1832，法国</t>
  </si>
  <si>
    <t>华盛顿 美国国家自然历史博物馆</t>
  </si>
  <si>
    <t>阿富汗撤军</t>
  </si>
  <si>
    <t>苏伊士运河堵船</t>
  </si>
  <si>
    <t>建党百年</t>
  </si>
  <si>
    <t>民法典</t>
  </si>
  <si>
    <t>中华人民共和国72周年</t>
  </si>
  <si>
    <t>中国新冠疫苗上市，全民免费注射
美国抗议者冲入白宫
缅甸军事政变
美国停止退出世纪卫、重新加入巴黎协定
首次奇数年奥运会
（暂缺）</t>
  </si>
  <si>
    <t>总统：
   唐纳德·特朗普（共和党）
   约瑟夫·拜登（民主党）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</si>
  <si>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</si>
  <si>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</si>
  <si>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</si>
  <si>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</si>
  <si>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</si>
  <si>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</si>
  <si>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</si>
  <si>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</si>
  <si>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</si>
  <si>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《芝加哥论坛报》</t>
  </si>
  <si>
    <t>每日通讯社，阿根廷</t>
  </si>
  <si>
    <t>汤加火山爆发</t>
  </si>
  <si>
    <t>俄乌战争</t>
  </si>
  <si>
    <t>英女王去世</t>
  </si>
  <si>
    <t>冬奥会</t>
  </si>
  <si>
    <t>新冠疫情全面放开</t>
  </si>
  <si>
    <t>中华人民共和国73周年</t>
  </si>
  <si>
    <t>总统：
   约瑟夫·拜登（民主党）</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</si>
  <si>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</si>
  <si>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</si>
  <si>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</si>
  <si>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</si>
  <si>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《埃文斯维尔新闻报》</t>
  </si>
  <si>
    <t>雅典通讯社，1896，希腊雅典</t>
  </si>
  <si>
    <t>纽约 美国自然历史博物馆</t>
  </si>
  <si>
    <t>中华人民共和国74周年</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</si>
  <si>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</si>
  <si>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</si>
  <si>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</si>
  <si>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</si>
  <si>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</si>
  <si>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</si>
  <si>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</si>
  <si>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</si>
  <si>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科罗拉多州</t>
  </si>
  <si>
    <t>澳大利亚联合通讯社，1928，澳大利亚</t>
  </si>
  <si>
    <t>纽约 布法罗自然科学学会</t>
  </si>
  <si>
    <t>中华人民共和国75周年</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</si>
  <si>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</si>
  <si>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</si>
  <si>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</si>
  <si>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</si>
  <si>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</si>
  <si>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</si>
  <si>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《丹佛晚报》</t>
  </si>
  <si>
    <t>比利时通讯社，1920，比利时</t>
  </si>
  <si>
    <t>纽约 哥伦比亚大学</t>
  </si>
  <si>
    <t>中华人民共和国76周年</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</si>
  <si>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</si>
  <si>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</si>
  <si>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</si>
  <si>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</si>
  <si>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</si>
  <si>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</si>
  <si>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</si>
  <si>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</si>
  <si>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</si>
  <si>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《丹佛落基山新闻报》</t>
  </si>
  <si>
    <t>保加利亚通讯社，1898，保加利亚</t>
  </si>
  <si>
    <t>纽约 美国印第安人博物馆</t>
  </si>
  <si>
    <t>中华人民共和国77周年</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</si>
  <si>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</si>
  <si>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</si>
  <si>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</si>
  <si>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</si>
  <si>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</si>
  <si>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他们的双眼不再被迷雾所遮蔽，并且他开始以新的方式开始看待这个对他来说完全合理的世纪界，但是对于其他任何有着健全心智的人来说是完全不合理的</t>
  </si>
  <si>
    <t>机械恐惧症（Mechanophobia）：对机器或机械的恐惧。</t>
  </si>
  <si>
    <t>图标狂（Iconomania）：痴迷于图标与肖像</t>
  </si>
  <si>
    <t>中央通讯社，1924，中国</t>
  </si>
  <si>
    <t>纽约 纽约公共图书馆</t>
  </si>
  <si>
    <t>中华人民共和国78周年</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</si>
  <si>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</si>
  <si>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</si>
  <si>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</si>
  <si>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</si>
  <si>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</si>
  <si>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</si>
  <si>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</si>
  <si>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佛罗里达州</t>
  </si>
  <si>
    <t>加拿大通讯社，1917，加拿大</t>
  </si>
  <si>
    <t>纽约 纽约州立博物馆</t>
  </si>
  <si>
    <t>中华人民共和国79周年</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</si>
  <si>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</si>
  <si>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</si>
  <si>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</si>
  <si>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</si>
  <si>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</si>
  <si>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</si>
  <si>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</si>
  <si>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</si>
  <si>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《迈阿密先驱报》</t>
  </si>
  <si>
    <t>捷通社，1918，捷克斯洛伐克</t>
  </si>
  <si>
    <t>纽约州伊萨卡 康奈尔大学</t>
  </si>
  <si>
    <t>中华人民共和国80周年</t>
  </si>
  <si>
    <t>· 这项技能最开始是指对在自然环境中的植物以及动物生命的研究
· 直到19世纪纪，这门学科被分开到一系列的专业学术学科（生物学、植物学等）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</si>
  <si>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</si>
  <si>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</si>
  <si>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</si>
  <si>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</si>
  <si>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</si>
  <si>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</si>
  <si>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</si>
  <si>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《奥兰多哨兵报》</t>
  </si>
  <si>
    <t>信仰通讯社，1926，梵蒂冈</t>
  </si>
  <si>
    <t>二十一世纪 三十年代</t>
  </si>
  <si>
    <t>中华人民共和国81周年</t>
  </si>
  <si>
    <t>· 允许使用者在任何时间与任何天气中辨认行进的方向
· 拥有高领航技能的人会非常熟练的使用天文图标工具、定位工具、GPS设备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</si>
  <si>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</si>
  <si>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</si>
  <si>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</si>
  <si>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</si>
  <si>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</si>
  <si>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</si>
  <si>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</si>
  <si>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《坦帕论坛报》</t>
  </si>
  <si>
    <t>犹太通讯社，1919，巴勒斯坦</t>
  </si>
  <si>
    <t>芝加哥 芝加哥菲尔德自然博物馆</t>
  </si>
  <si>
    <t>中华人民共和国82周年</t>
  </si>
  <si>
    <t>· 使用者可以识别出神秘学道具，用语和概念，以及民间传统，并且可以辨认魔法书以及神秘学记号
· 神秘学家对于代代相传的各类神秘知识十分熟悉，包 括从埃及和苏美尔，从中世纪纪和文艺复兴时期的西方，以及也许从亚洲或者非洲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</si>
  <si>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</si>
  <si>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</si>
  <si>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</si>
  <si>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</si>
  <si>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</si>
  <si>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</si>
  <si>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</si>
  <si>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挪威通讯社，1867，挪威</t>
  </si>
  <si>
    <t>芝加哥 芝加哥大学</t>
  </si>
  <si>
    <t>中华人民共和国83周年</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</si>
  <si>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</si>
  <si>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</si>
  <si>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</si>
  <si>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</si>
  <si>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</si>
  <si>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</si>
  <si>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</si>
  <si>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</si>
  <si>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佐治亚州</t>
  </si>
  <si>
    <t>新西兰报联社，1879，新西兰</t>
  </si>
  <si>
    <t>芝加哥 克雷拉图书馆</t>
  </si>
  <si>
    <t>中华人民共和国84周年</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</si>
  <si>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</si>
  <si>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</si>
  <si>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</si>
  <si>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</si>
  <si>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</si>
  <si>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</si>
  <si>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《亚特兰大宪章报》</t>
  </si>
  <si>
    <t>丹麦通讯社，1866，丹麦</t>
  </si>
  <si>
    <t>芝加哥 纽伯利图书馆</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</si>
  <si>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</si>
  <si>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</si>
  <si>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</si>
  <si>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《亚特兰大佐治亚人报》</t>
  </si>
  <si>
    <t>瑞士通讯社，1894，瑞士</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</si>
  <si>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</si>
  <si>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</si>
  <si>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</si>
  <si>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</si>
  <si>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</si>
  <si>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</si>
  <si>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</si>
  <si>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</si>
  <si>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塔斯社，1925，苏联</t>
  </si>
  <si>
    <t>巴尔的摩 巴尔的摩美术馆</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</si>
  <si>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</si>
  <si>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</si>
  <si>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</si>
  <si>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</si>
  <si>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</si>
  <si>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</si>
  <si>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</si>
  <si>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印第安纳州</t>
  </si>
  <si>
    <t>巴尔的摩 伊诺克·普拉特自由图书馆</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</si>
  <si>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</si>
  <si>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</si>
  <si>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</si>
  <si>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</si>
  <si>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</si>
  <si>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</si>
  <si>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</si>
  <si>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</si>
  <si>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</si>
  <si>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《印第安纳波利斯时报》</t>
  </si>
  <si>
    <t>费城 费城自然科学博物馆</t>
  </si>
  <si>
    <t>恐蛇症（Ophidiophobia）：对蛇的恐惧。</t>
  </si>
  <si>
    <t>憎恨癖（Misomania）：憎恨一切事物，痴迷于憎恨某个事物或团体。</t>
  </si>
  <si>
    <t>《特雷霍特邮报》</t>
  </si>
  <si>
    <t>费城 宾夕法尼亚大学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</si>
  <si>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</si>
  <si>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</si>
  <si>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</si>
  <si>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</si>
  <si>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</si>
  <si>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</si>
  <si>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</si>
  <si>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</si>
  <si>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纽黑文 耶鲁大学</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</si>
  <si>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</si>
  <si>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</si>
  <si>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</si>
  <si>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</si>
  <si>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</si>
  <si>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亚利桑那州</t>
  </si>
  <si>
    <t>纽黑文 耶鲁大学皮博迪自然博物馆</t>
  </si>
  <si>
    <t>化学</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</si>
  <si>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</si>
  <si>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</si>
  <si>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</si>
  <si>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《菲尼克斯共和报》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</si>
  <si>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</si>
  <si>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</si>
  <si>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</si>
  <si>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</si>
  <si>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《亚利桑那共和报》</t>
  </si>
  <si>
    <t>剑桥 哈佛大学</t>
  </si>
  <si>
    <t>数学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</si>
  <si>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</si>
  <si>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</si>
  <si>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</si>
  <si>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旧金山 加利福尼亚科学院</t>
  </si>
  <si>
    <t>天文学</t>
  </si>
  <si>
    <t>· 使用者可以知道在某个特定的日子或者一天早晚某个时间时哪颗恒星或者行星位于正上方，何时彗星和流星雨会出现，以及重要的恒星的名字
· 这项技能同样会提供有关其他世纪界的生命，银河的存在和结构，以及类似的知识的现代概念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</si>
  <si>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</si>
  <si>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</si>
  <si>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马里兰州</t>
  </si>
  <si>
    <t>伯克利 加州大学伯克利分校</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</si>
  <si>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</si>
  <si>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</si>
  <si>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</si>
  <si>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</si>
  <si>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《巴尔的摩美国人报》</t>
  </si>
  <si>
    <t>匹兹堡 卡内基学院</t>
  </si>
  <si>
    <t>药学</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</si>
  <si>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</si>
  <si>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</si>
  <si>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</si>
  <si>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《巴尔的摩新闻报》</t>
  </si>
  <si>
    <t>辛辛那提 辛辛那提博物馆协会</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</si>
  <si>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</si>
  <si>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</si>
  <si>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</si>
  <si>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</si>
  <si>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《巴尔的摩邮报》</t>
  </si>
  <si>
    <t>丹佛 科罗拉多州自然历史博物馆</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</si>
  <si>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</si>
  <si>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</si>
  <si>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</si>
  <si>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</si>
  <si>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《巴尔的摩太阳报》</t>
  </si>
  <si>
    <t>厄巴纳-香槟 伊利诺伊大学</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</si>
  <si>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</si>
  <si>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</si>
  <si>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</si>
  <si>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</si>
  <si>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安娜堡 密歇根大学</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</si>
  <si>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</si>
  <si>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</si>
  <si>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</si>
  <si>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</si>
  <si>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密苏里州</t>
  </si>
  <si>
    <t>明尼阿波利斯、圣保罗 明尼苏达大学</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</si>
  <si>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</si>
  <si>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</si>
  <si>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</si>
  <si>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</si>
  <si>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《堪萨斯城市之星》</t>
  </si>
  <si>
    <t>塞勒姆 塞勒姆皮博迪航海图书馆</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</si>
  <si>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</si>
  <si>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</si>
  <si>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</si>
  <si>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</si>
  <si>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《圣路易斯快邮报》</t>
  </si>
  <si>
    <t>普林斯顿 普林斯顿大学</t>
  </si>
  <si>
    <t>火车恐惧症（Siderodromophobia）：对于乘坐火车出行的恐惧。</t>
  </si>
  <si>
    <t>求财癖（Plutomania）：对财富的强迫性的渴望。</t>
  </si>
  <si>
    <t>托莱多 托莱多美术馆</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</si>
  <si>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</si>
  <si>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</si>
  <si>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</si>
  <si>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</si>
  <si>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</si>
  <si>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</si>
  <si>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</si>
  <si>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</si>
  <si>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</si>
  <si>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密歇根州</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</si>
  <si>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</si>
  <si>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</si>
  <si>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</si>
  <si>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</si>
  <si>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</si>
  <si>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</si>
  <si>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</si>
  <si>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</si>
  <si>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</si>
  <si>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《底特律时报》</t>
  </si>
  <si>
    <t>其他——————————</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</si>
  <si>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</si>
  <si>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</si>
  <si>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</si>
  <si>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</si>
  <si>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</si>
  <si>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</si>
  <si>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</si>
  <si>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</si>
  <si>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</si>
  <si>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《底特律新闻报》</t>
  </si>
  <si>
    <t>英国伦敦 大英博物馆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</si>
  <si>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</si>
  <si>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</si>
  <si>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</si>
  <si>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</si>
  <si>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</si>
  <si>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</si>
  <si>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</si>
  <si>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</si>
  <si>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</si>
  <si>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《底特律自由报》</t>
  </si>
  <si>
    <t>法国巴黎 法国国家图书馆</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</si>
  <si>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</si>
  <si>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</si>
  <si>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</si>
  <si>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</si>
  <si>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</si>
  <si>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</si>
  <si>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</si>
  <si>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</si>
  <si>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</si>
  <si>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梵蒂冈 教皇图书馆</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</si>
  <si>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</si>
  <si>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</si>
  <si>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</si>
  <si>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</si>
  <si>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</si>
  <si>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</si>
  <si>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</si>
  <si>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</si>
  <si>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</si>
  <si>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宾夕法尼亚州</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</si>
  <si>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</si>
  <si>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</si>
  <si>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</si>
  <si>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</si>
  <si>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</si>
  <si>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</si>
  <si>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</si>
  <si>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</si>
  <si>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</si>
  <si>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《费城询问报》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</si>
  <si>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</si>
  <si>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</si>
  <si>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</si>
  <si>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</si>
  <si>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</si>
  <si>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</si>
  <si>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</si>
  <si>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</si>
  <si>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</si>
  <si>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</si>
  <si>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《匹兹堡新闻》</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</si>
  <si>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</si>
  <si>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</si>
  <si>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</si>
  <si>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</si>
  <si>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</si>
  <si>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</si>
  <si>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</si>
  <si>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</si>
  <si>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《匹兹堡太阳电讯》</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</si>
  <si>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</si>
  <si>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</si>
  <si>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</si>
  <si>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</si>
  <si>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</si>
  <si>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</si>
  <si>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</si>
  <si>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</si>
  <si>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</si>
  <si>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</si>
  <si>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</si>
  <si>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</si>
  <si>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</si>
  <si>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</si>
  <si>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</si>
  <si>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</si>
  <si>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</si>
  <si>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田纳西州</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</si>
  <si>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</si>
  <si>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</si>
  <si>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</si>
  <si>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</si>
  <si>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</si>
  <si>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</si>
  <si>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</si>
  <si>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《诺克斯尔新闻哨兵》</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</si>
  <si>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</si>
  <si>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</si>
  <si>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</si>
  <si>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</si>
  <si>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</si>
  <si>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</si>
  <si>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《孟菲斯弯刀新闻》</t>
  </si>
  <si>
    <t>非常规
专业化</t>
  </si>
  <si>
    <t>· 这项技能代表一名觉得对一个超出人类常规知识范畴的事物的专业理解。
· 学问的专业化应该具体并且不同寻常，例如：
    ·梦学问
    ·死灵之书学问（e.g.历史的）
    ·UFO学问
    ·吸血鬼学问
    ·狼人学问
    ·亚狄斯星人学问
· 当KP想要测试某位调查员归属于于这些领域学问其中之一的某物的知识时，但是调查员缺少相关的专业学问，KP可以允许一个其他的（更加通用的）技能的使用，但是需要一个更高难度等级的成功
例如，
如果KP测试一名现代调查员对于1980年代外星人诱拐的知识，他可以要求一个常规难度的UFO学问的成功检定，或者一个困难难度的历史技能的成功检定。
· 对于KP来说，学问技能也可以用作对表示一个非玩家角色知识量的简单记录。
· 在主流中，知识由教育属性（EDU）以及专门的技能来表示，例如历史或者克苏鲁神话
· KP应当决定何时应当将学问技能放入游戏中—通常只有当一块特殊领域的专业知识成为整场游戏核心的时候</t>
  </si>
  <si>
    <t>外语恐惧症（Xenoglossophobia）：对外语的恐惧。</t>
  </si>
  <si>
    <t>臆盲症（Typhlomania）：病理性的失明。</t>
  </si>
  <si>
    <t>异域恐惧症（Xenophobia）：对陌生人或外国人的恐惧。</t>
  </si>
  <si>
    <t>嗜外狂（Xenomania）：痴迷于异国的事物。</t>
  </si>
  <si>
    <t>威斯康星州</t>
  </si>
  <si>
    <t>请选择
你想了解的技能</t>
  </si>
  <si>
    <t>动物恐惧症（Zoophobia）：对动物的恐惧。</t>
  </si>
  <si>
    <t>喜兽癖（Zoomania）：对待动物的态度近乎疯狂地友好。</t>
  </si>
  <si>
    <t>《密尔沃基新闻》</t>
  </si>
  <si>
    <t>注释：①催眠恐惧症（Hypnophobia）、恐牙症（牙医恐惧症 \ Odontophobia）、魔法恐惧症（权杖恐惧症\ Rhabdophobia）和怪物恐惧症（畸形恐惧症 Teratophobia）四条疑原文理解有误，目前按原文翻出。</t>
  </si>
  <si>
    <t>《密尔沃基哨兵报》</t>
  </si>
  <si>
    <t>该症状表由  Achronidas 翻译。</t>
  </si>
  <si>
    <t>肯塔基州卡温顿</t>
  </si>
  <si>
    <t>《肯塔基邮报》</t>
  </si>
  <si>
    <t>飞行器</t>
  </si>
  <si>
    <t>路易斯安那州</t>
  </si>
  <si>
    <t>资产表</t>
  </si>
  <si>
    <t>船</t>
  </si>
  <si>
    <t>《新奥尔良平民时报》</t>
  </si>
  <si>
    <t>美元 1920/现代</t>
  </si>
  <si>
    <t>信用成功率</t>
  </si>
  <si>
    <t>亚拉巴马州</t>
  </si>
  <si>
    <t>《伯明翰邮报》</t>
  </si>
  <si>
    <t>明尼苏达州</t>
  </si>
  <si>
    <t>《明尼阿波利斯明星论坛报》</t>
  </si>
  <si>
    <t>货币单位：</t>
  </si>
  <si>
    <t>时代：</t>
  </si>
  <si>
    <t>新泽西州</t>
  </si>
  <si>
    <t>货币 计算汇率</t>
  </si>
  <si>
    <t>《纽瓦克明星纪事报》</t>
  </si>
  <si>
    <t>当前现金</t>
  </si>
  <si>
    <t>没有</t>
  </si>
  <si>
    <t>新墨西哥州阿尔伯克基</t>
  </si>
  <si>
    <t>《新墨西哥州论坛报》</t>
  </si>
  <si>
    <t>过万</t>
  </si>
  <si>
    <t>是否过万</t>
  </si>
  <si>
    <t>俄克拉荷马州</t>
  </si>
  <si>
    <t>《俄克拉荷马城新闻》</t>
  </si>
  <si>
    <t>过亿</t>
  </si>
  <si>
    <t>俄勒冈州</t>
  </si>
  <si>
    <t>结果</t>
  </si>
  <si>
    <t>《波特兰俄勒冈人报》</t>
  </si>
  <si>
    <t>主属性查询</t>
  </si>
  <si>
    <t>华盛顿州</t>
  </si>
  <si>
    <t>《西雅图邮讯报》</t>
  </si>
  <si>
    <t>主流货币换算</t>
  </si>
  <si>
    <t>信誉查询</t>
  </si>
  <si>
    <t>最大信誉</t>
  </si>
  <si>
    <t>数值</t>
  </si>
  <si>
    <t>最小信誉</t>
  </si>
  <si>
    <t>筛选显示</t>
  </si>
  <si>
    <t>结果显示</t>
  </si>
  <si>
    <t>仅显示职业序号</t>
  </si>
  <si>
    <r>
      <rPr>
        <sz val="10"/>
        <color rgb="FF000000"/>
        <rFont val="宋体"/>
        <charset val="134"/>
      </rPr>
      <t>英国</t>
    </r>
    <r>
      <rPr>
        <sz val="10"/>
        <color rgb="FF000000"/>
        <rFont val="宋体"/>
        <charset val="134"/>
      </rPr>
      <t>——————</t>
    </r>
  </si>
  <si>
    <t>★亚洲————</t>
  </si>
  <si>
    <t>仅显示职业名称</t>
  </si>
  <si>
    <t>伦敦</t>
  </si>
  <si>
    <t>人民币</t>
  </si>
  <si>
    <t>最大信誉小于</t>
  </si>
  <si>
    <t>最小信誉小于</t>
  </si>
  <si>
    <t>仅显示最大信誉</t>
  </si>
  <si>
    <t>《每日纪事报》</t>
  </si>
  <si>
    <t>港币</t>
  </si>
  <si>
    <t>仅显示最小信誉</t>
  </si>
  <si>
    <t>《每日快报》</t>
  </si>
  <si>
    <t>新台币</t>
  </si>
  <si>
    <t>职业序号和职业名称</t>
  </si>
  <si>
    <t>《每日镜报》</t>
  </si>
  <si>
    <t>日元</t>
  </si>
  <si>
    <t>《每日电讯报》</t>
  </si>
  <si>
    <t>韩元</t>
  </si>
  <si>
    <t>《金融时报》</t>
  </si>
  <si>
    <t>泰铢</t>
  </si>
  <si>
    <t>《标准晚报》</t>
  </si>
  <si>
    <t>新加坡元</t>
  </si>
  <si>
    <t>最小点数</t>
  </si>
  <si>
    <t>最大点数</t>
  </si>
  <si>
    <t>二合一</t>
  </si>
  <si>
    <t>本职技能</t>
  </si>
  <si>
    <t>合</t>
  </si>
  <si>
    <t>《卫报》</t>
  </si>
  <si>
    <t>★欧洲————</t>
  </si>
  <si>
    <t>《英国早报》</t>
  </si>
  <si>
    <t>欧元</t>
  </si>
  <si>
    <t>《世纪界新闻报》</t>
  </si>
  <si>
    <t>英镑</t>
  </si>
  <si>
    <t>《观察家报》</t>
  </si>
  <si>
    <t>卢布</t>
  </si>
  <si>
    <t>《周日时人》</t>
  </si>
  <si>
    <t>★美洲————</t>
  </si>
  <si>
    <t>《星期日快报》</t>
  </si>
  <si>
    <t>加元</t>
  </si>
  <si>
    <t>《周日新闻》</t>
  </si>
  <si>
    <t>墨西哥元</t>
  </si>
  <si>
    <t>《星期日泰晤士报》</t>
  </si>
  <si>
    <t>巴西元</t>
  </si>
  <si>
    <t>《泰晤士报》</t>
  </si>
  <si>
    <t>★其他————</t>
  </si>
  <si>
    <t>澳元</t>
  </si>
  <si>
    <t>英国其他地区</t>
  </si>
  <si>
    <t>南非兰特</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</si>
  <si>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</si>
  <si>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</si>
  <si>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</si>
  <si>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</si>
  <si>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</si>
  <si>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</si>
  <si>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</si>
  <si>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</si>
  <si>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</si>
  <si>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</si>
  <si>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</si>
  <si>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</si>
  <si>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</si>
  <si>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</si>
  <si>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</si>
  <si>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</si>
  <si>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</si>
  <si>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</si>
  <si>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</si>
  <si>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r>
      <rPr>
        <sz val="10"/>
        <color rgb="FF000000"/>
        <rFont val="宋体"/>
        <charset val="134"/>
      </rPr>
      <t>加拿大</t>
    </r>
    <r>
      <rPr>
        <sz val="10"/>
        <color rgb="FF000000"/>
        <rFont val="宋体"/>
        <charset val="134"/>
      </rPr>
      <t>——————</t>
    </r>
  </si>
  <si>
    <t>蒙特利尔</t>
  </si>
  <si>
    <t>《哈利法克斯记事报》</t>
  </si>
  <si>
    <t>《新闻报》（法）</t>
  </si>
  <si>
    <t>《曼尼托巴自由报》</t>
  </si>
  <si>
    <t>《蒙特利尔星报》</t>
  </si>
  <si>
    <t>《蒙特利尔公报》</t>
  </si>
  <si>
    <t>多伦多</t>
  </si>
  <si>
    <t>《环球报》</t>
  </si>
  <si>
    <t>《温哥华省报》</t>
  </si>
  <si>
    <r>
      <rPr>
        <sz val="10"/>
        <color rgb="FF000000"/>
        <rFont val="宋体"/>
        <charset val="134"/>
      </rPr>
      <t>墨西哥</t>
    </r>
    <r>
      <rPr>
        <sz val="10"/>
        <color rgb="FF000000"/>
        <rFont val="宋体"/>
        <charset val="134"/>
      </rPr>
      <t>——————</t>
    </r>
  </si>
  <si>
    <t>梅里达</t>
  </si>
  <si>
    <t>《尤卡坦日报》</t>
  </si>
  <si>
    <t>《马萨特兰晚邮报》</t>
  </si>
  <si>
    <t>墨西哥城</t>
  </si>
  <si>
    <t>《至上报》</t>
  </si>
  <si>
    <t>瓜达拉哈拉</t>
  </si>
  <si>
    <t>《报道者报》</t>
  </si>
  <si>
    <t>《宇宙报》</t>
  </si>
  <si>
    <t>《宇宙画报》</t>
  </si>
  <si>
    <t>瓜伊马斯</t>
  </si>
  <si>
    <t>《护民官报》</t>
  </si>
  <si>
    <r>
      <rPr>
        <sz val="10"/>
        <color rgb="FF000000"/>
        <rFont val="宋体"/>
        <charset val="134"/>
      </rPr>
      <t>阿根廷</t>
    </r>
    <r>
      <rPr>
        <sz val="10"/>
        <color rgb="FF000000"/>
        <rFont val="宋体"/>
        <charset val="134"/>
      </rPr>
      <t>——————</t>
    </r>
  </si>
  <si>
    <t>布宜诺斯艾利斯</t>
  </si>
  <si>
    <t>《布宜诺斯艾利斯日报》</t>
  </si>
  <si>
    <t>《民族报》</t>
  </si>
  <si>
    <t>《新闻报》</t>
  </si>
  <si>
    <t>《真理报》</t>
  </si>
  <si>
    <t>《布宜诺斯艾利斯先驱报》（英）</t>
  </si>
  <si>
    <t>《标准报》（英）</t>
  </si>
  <si>
    <r>
      <rPr>
        <sz val="10"/>
        <color rgb="FF000000"/>
        <rFont val="宋体"/>
        <charset val="134"/>
      </rPr>
      <t>巴西</t>
    </r>
    <r>
      <rPr>
        <sz val="10"/>
        <color rgb="FF000000"/>
        <rFont val="宋体"/>
        <charset val="134"/>
      </rPr>
      <t>——————</t>
    </r>
  </si>
  <si>
    <t>里约热内卢</t>
  </si>
  <si>
    <t>《晚报》</t>
  </si>
  <si>
    <t>《家园报》</t>
  </si>
  <si>
    <t>《晨邮报》</t>
  </si>
  <si>
    <t>《商报》</t>
  </si>
  <si>
    <t>《国内报》</t>
  </si>
  <si>
    <t>圣保罗</t>
  </si>
  <si>
    <t>《凡弗拉》（意）</t>
  </si>
  <si>
    <t>累西腓</t>
  </si>
  <si>
    <t>《伯南布哥日报》</t>
  </si>
  <si>
    <t>《圣保罗州报》</t>
  </si>
  <si>
    <r>
      <rPr>
        <sz val="10"/>
        <color rgb="FF000000"/>
        <rFont val="宋体"/>
        <charset val="134"/>
      </rPr>
      <t>智利</t>
    </r>
    <r>
      <rPr>
        <sz val="10"/>
        <color rgb="FF000000"/>
        <rFont val="宋体"/>
        <charset val="134"/>
      </rPr>
      <t>——————</t>
    </r>
  </si>
  <si>
    <t>圣地亚哥</t>
  </si>
  <si>
    <t>《每日画报》</t>
  </si>
  <si>
    <t>瓦尔帕莱索/圣地亚哥/安托法加斯塔</t>
  </si>
  <si>
    <t>《信使报》</t>
  </si>
  <si>
    <t>瓦尔帕莱索/圣地亚哥</t>
  </si>
  <si>
    <t>《联合报》</t>
  </si>
  <si>
    <r>
      <rPr>
        <sz val="10"/>
        <color rgb="FF000000"/>
        <rFont val="宋体"/>
        <charset val="134"/>
      </rPr>
      <t>秘鲁</t>
    </r>
    <r>
      <rPr>
        <sz val="10"/>
        <color rgb="FF000000"/>
        <rFont val="宋体"/>
        <charset val="134"/>
      </rPr>
      <t>——————</t>
    </r>
  </si>
  <si>
    <t>利马</t>
  </si>
  <si>
    <t>《纪事报》</t>
  </si>
  <si>
    <t>《消息报》</t>
  </si>
  <si>
    <r>
      <rPr>
        <sz val="10"/>
        <color rgb="FF000000"/>
        <rFont val="宋体"/>
        <charset val="134"/>
      </rPr>
      <t>中国</t>
    </r>
    <r>
      <rPr>
        <sz val="10"/>
        <color rgb="FF000000"/>
        <rFont val="宋体"/>
        <charset val="134"/>
      </rPr>
      <t>——————</t>
    </r>
  </si>
  <si>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</si>
  <si>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</si>
  <si>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</si>
  <si>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</si>
  <si>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</si>
  <si>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</si>
  <si>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</si>
  <si>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</si>
  <si>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</si>
  <si>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</si>
  <si>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</si>
  <si>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</si>
  <si>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</si>
  <si>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</si>
  <si>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</si>
  <si>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</si>
  <si>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</si>
  <si>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</si>
  <si>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</si>
  <si>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</si>
  <si>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r>
      <rPr>
        <sz val="10"/>
        <color rgb="FF000000"/>
        <rFont val="宋体"/>
        <charset val="134"/>
      </rPr>
      <t>印度</t>
    </r>
    <r>
      <rPr>
        <sz val="10"/>
        <color rgb="FF000000"/>
        <rFont val="宋体"/>
        <charset val="134"/>
      </rPr>
      <t>——————</t>
    </r>
  </si>
  <si>
    <t>拉合尔《军民公报》（英）</t>
  </si>
  <si>
    <t>加尔各答《英国人报》（英）</t>
  </si>
  <si>
    <t>《马德拉斯邮报》（英）</t>
  </si>
  <si>
    <t>《政治家报》（英）</t>
  </si>
  <si>
    <t>安拉阿巴德</t>
  </si>
  <si>
    <t>《先锋报》（英）</t>
  </si>
  <si>
    <t>孟买</t>
  </si>
  <si>
    <t>《印度时报》（英）</t>
  </si>
  <si>
    <r>
      <rPr>
        <sz val="10"/>
        <color rgb="FF000000"/>
        <rFont val="宋体"/>
        <charset val="134"/>
      </rPr>
      <t>日本</t>
    </r>
    <r>
      <rPr>
        <sz val="10"/>
        <color rgb="FF000000"/>
        <rFont val="宋体"/>
        <charset val="134"/>
      </rPr>
      <t>——————</t>
    </r>
  </si>
  <si>
    <t>《日本广告人报》（美）</t>
  </si>
  <si>
    <t>《日本纪事报》（英）</t>
  </si>
  <si>
    <t>《日本时报》（日，英文）</t>
  </si>
  <si>
    <t>《大阪朝日新闻》</t>
  </si>
  <si>
    <t>《大阪每日新闻》</t>
  </si>
  <si>
    <t>《东京朝日新闻》</t>
  </si>
  <si>
    <t>《东京日日新闻》</t>
  </si>
  <si>
    <r>
      <rPr>
        <sz val="10"/>
        <color rgb="FF000000"/>
        <rFont val="宋体"/>
        <charset val="134"/>
      </rPr>
      <t>苏联</t>
    </r>
    <r>
      <rPr>
        <sz val="10"/>
        <color rgb="FF000000"/>
        <rFont val="宋体"/>
        <charset val="134"/>
      </rPr>
      <t>——————</t>
    </r>
  </si>
  <si>
    <t>莫斯科</t>
  </si>
  <si>
    <t>列宁格勒</t>
  </si>
  <si>
    <t>《红色公报》</t>
  </si>
  <si>
    <r>
      <rPr>
        <sz val="10"/>
        <color rgb="FF000000"/>
        <rFont val="宋体"/>
        <charset val="134"/>
      </rPr>
      <t>南非</t>
    </r>
    <r>
      <rPr>
        <sz val="10"/>
        <color rgb="FF000000"/>
        <rFont val="宋体"/>
        <charset val="134"/>
      </rPr>
      <t>——————</t>
    </r>
  </si>
  <si>
    <t>开普敦</t>
  </si>
  <si>
    <t>《公民报》（荷）</t>
  </si>
  <si>
    <t>《国家报》（荷）</t>
  </si>
  <si>
    <t>《开普敦守卫报》</t>
  </si>
  <si>
    <t>《开普时报》</t>
  </si>
  <si>
    <t>约翰内斯堡</t>
  </si>
  <si>
    <t>《星报》</t>
  </si>
  <si>
    <t>比勒陀利亚</t>
  </si>
  <si>
    <t>《人民之声》（荷）</t>
  </si>
  <si>
    <r>
      <rPr>
        <sz val="10"/>
        <color rgb="FF000000"/>
        <rFont val="宋体"/>
        <charset val="134"/>
      </rPr>
      <t>澳大利亚</t>
    </r>
    <r>
      <rPr>
        <sz val="10"/>
        <color rgb="FF000000"/>
        <rFont val="宋体"/>
        <charset val="134"/>
      </rPr>
      <t>——————</t>
    </r>
  </si>
  <si>
    <t>《墨尔本时代报》（早报）</t>
  </si>
  <si>
    <t>《墨尔本百眼巨人报》（早报）</t>
  </si>
  <si>
    <t>《悉尼每日卫报》</t>
  </si>
  <si>
    <t>《悉尼先驱晨报》</t>
  </si>
  <si>
    <t>综合条件查询</t>
  </si>
  <si>
    <t>事务所侦探</t>
  </si>
  <si>
    <t>拳击手、摔跤手</t>
  </si>
  <si>
    <t>管家、男仆、女仆</t>
  </si>
  <si>
    <t>程序员、电子工程师（现代）</t>
  </si>
  <si>
    <t>罪犯-打手、暴徒</t>
  </si>
  <si>
    <t>绅士、淑女</t>
  </si>
  <si>
    <t>非熟练工人</t>
  </si>
  <si>
    <t>心理学家、精神分析学家</t>
  </si>
  <si>
    <t>士兵、海军陆战队士兵</t>
  </si>
  <si>
    <t>学生、实习生</t>
  </si>
  <si>
    <t>白领工人-职员、主管</t>
  </si>
  <si>
    <t>司法家</t>
  </si>
  <si>
    <t>赛车手/赛艇手</t>
  </si>
  <si>
    <t>相扑力士(SIZ&gt;80,STR&gt;70)</t>
  </si>
  <si>
    <t>占卜师、灵媒师</t>
  </si>
  <si>
    <t>军官经历包</t>
  </si>
  <si>
    <t>普通士兵经历包</t>
  </si>
  <si>
    <t>警务人员经历包</t>
  </si>
  <si>
    <t>医务人员经历包</t>
  </si>
  <si>
    <t>表演★</t>
  </si>
  <si>
    <t>制图★</t>
  </si>
  <si>
    <t>文学★</t>
  </si>
  <si>
    <t>演☆</t>
  </si>
  <si>
    <t>伪造★</t>
  </si>
  <si>
    <t>摄影★</t>
  </si>
  <si>
    <t>耕作★</t>
  </si>
  <si>
    <t>摄影☆</t>
  </si>
  <si>
    <t>乐器★</t>
  </si>
  <si>
    <t>表演☆</t>
  </si>
  <si>
    <t>驯养★</t>
  </si>
  <si>
    <t>书法★</t>
  </si>
  <si>
    <t>木匠★</t>
  </si>
  <si>
    <t>表★</t>
  </si>
  <si>
    <t>歌唱★</t>
  </si>
  <si>
    <t>厨艺★</t>
  </si>
  <si>
    <t>游戏★</t>
  </si>
  <si>
    <t>写作★</t>
  </si>
  <si>
    <t>演</t>
  </si>
  <si>
    <t>艺术☆</t>
  </si>
  <si>
    <t>字☆</t>
  </si>
  <si>
    <t>演★</t>
  </si>
  <si>
    <t>舞蹈★</t>
  </si>
  <si>
    <t>喜剧★</t>
  </si>
  <si>
    <t>焊接★</t>
  </si>
  <si>
    <t>类</t>
  </si>
  <si>
    <t>记☆</t>
  </si>
  <si>
    <t>类★</t>
  </si>
  <si>
    <t>杂技★</t>
  </si>
  <si>
    <t>管道★</t>
  </si>
  <si>
    <t>矛★</t>
  </si>
  <si>
    <t>鞭</t>
  </si>
  <si>
    <t>电锯★</t>
  </si>
  <si>
    <t>鞭★</t>
  </si>
  <si>
    <t>剑★</t>
  </si>
  <si>
    <t>任一★</t>
  </si>
  <si>
    <t>步霰★</t>
  </si>
  <si>
    <t>弓★</t>
  </si>
  <si>
    <t>霰弹★</t>
  </si>
  <si>
    <t>来复★</t>
  </si>
  <si>
    <t>步霰☆</t>
  </si>
  <si>
    <t>拉丁★</t>
  </si>
  <si>
    <t>拉丁★★</t>
  </si>
  <si>
    <t>置换★</t>
  </si>
  <si>
    <t>希伯来★</t>
  </si>
  <si>
    <t>汉语★</t>
  </si>
  <si>
    <t>欧洲★</t>
  </si>
  <si>
    <t>梵语★</t>
  </si>
  <si>
    <t>飞行★</t>
  </si>
  <si>
    <t>船★</t>
  </si>
  <si>
    <t>艇船球★</t>
  </si>
  <si>
    <t>生物★</t>
  </si>
  <si>
    <t>动物★</t>
  </si>
  <si>
    <t>数学★</t>
  </si>
  <si>
    <t>工程★</t>
  </si>
  <si>
    <t>化学★</t>
  </si>
  <si>
    <t>生物☆</t>
  </si>
  <si>
    <t>地质★</t>
  </si>
  <si>
    <t>天文★</t>
  </si>
  <si>
    <t>药学★</t>
  </si>
  <si>
    <t>物理★</t>
  </si>
  <si>
    <t>植物★</t>
  </si>
  <si>
    <t>司法★</t>
  </si>
  <si>
    <t>植物☆</t>
  </si>
  <si>
    <t>制药★</t>
  </si>
  <si>
    <t>山地★</t>
  </si>
  <si>
    <t>海上★</t>
  </si>
  <si>
    <t>海洋★</t>
  </si>
  <si>
    <t>海★</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</si>
  <si>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</si>
  <si>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</si>
  <si>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</si>
  <si>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</si>
  <si>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</si>
  <si>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</si>
  <si>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</si>
  <si>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</si>
  <si>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</si>
  <si>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</si>
  <si>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</si>
  <si>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</si>
  <si>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charset val="134"/>
      </rPr>
      <t>衰弱：没法站起来甚至端起一杯茶</t>
    </r>
    <r>
      <rPr>
        <sz val="10"/>
        <color indexed="8"/>
        <rFont val="Arial Unicode MS"/>
        <charset val="134"/>
      </rPr>
      <t>｡</t>
    </r>
  </si>
  <si>
    <t>没人知道他去了哪</t>
  </si>
  <si>
    <t>没有协助无法行动</t>
  </si>
  <si>
    <r>
      <rPr>
        <sz val="10"/>
        <color rgb="FF000000"/>
        <rFont val="微软雅黑 Light"/>
        <charset val="134"/>
      </rPr>
      <t>如此的难看</t>
    </r>
    <r>
      <rPr>
        <sz val="10"/>
        <color indexed="8"/>
        <rFont val="Arial Unicode MS"/>
        <charset val="134"/>
      </rPr>
      <t>｡</t>
    </r>
    <r>
      <rPr>
        <sz val="10"/>
        <color rgb="FF000000"/>
        <rFont val="微软雅黑 Light"/>
        <charset val="134"/>
      </rPr>
      <t>他人会对你报以恐惧</t>
    </r>
    <r>
      <rPr>
        <sz val="10"/>
        <color indexed="8"/>
        <rFont val="Arial Unicode MS"/>
        <charset val="134"/>
      </rPr>
      <t>､</t>
    </r>
    <r>
      <rPr>
        <sz val="10"/>
        <color rgb="FF000000"/>
        <rFont val="微软雅黑 Light"/>
        <charset val="134"/>
      </rPr>
      <t>厌恶和怜悯</t>
    </r>
    <r>
      <rPr>
        <sz val="10"/>
        <color indexed="8"/>
        <rFont val="Arial Unicode MS"/>
        <charset val="134"/>
      </rPr>
      <t>｡</t>
    </r>
  </si>
  <si>
    <r>
      <rPr>
        <sz val="10"/>
        <color rgb="FF000000"/>
        <rFont val="微软雅黑 Light"/>
        <charset val="134"/>
      </rPr>
      <t>没有智商,无法理解周遭的世界</t>
    </r>
    <r>
      <rPr>
        <sz val="10"/>
        <color indexed="8"/>
        <rFont val="Arial Unicode MS"/>
        <charset val="134"/>
      </rPr>
      <t>｡</t>
    </r>
  </si>
  <si>
    <r>
      <rPr>
        <sz val="10"/>
        <color rgb="FF000000"/>
        <rFont val="微软雅黑 Light"/>
        <charset val="134"/>
      </rPr>
      <t>0：弱者的心,没有意志力,没有魔法潜能</t>
    </r>
    <r>
      <rPr>
        <sz val="10"/>
        <color indexed="8"/>
        <rFont val="Arial Unicode MS"/>
        <charset val="134"/>
      </rPr>
      <t>｡</t>
    </r>
  </si>
  <si>
    <r>
      <rPr>
        <sz val="10"/>
        <color rgb="FF000000"/>
        <rFont val="微软雅黑 Light"/>
        <charset val="134"/>
      </rPr>
      <t>新生儿</t>
    </r>
    <r>
      <rPr>
        <sz val="10"/>
        <color indexed="8"/>
        <rFont val="Arial Unicode MS"/>
        <charset val="134"/>
      </rPr>
      <t>｡</t>
    </r>
  </si>
  <si>
    <r>
      <rPr>
        <sz val="10"/>
        <color rgb="FF000000"/>
        <rFont val="微软雅黑 Light"/>
        <charset val="134"/>
      </rPr>
      <t>病弱</t>
    </r>
    <r>
      <rPr>
        <sz val="10"/>
        <color indexed="8"/>
        <rFont val="Arial Unicode MS"/>
        <charset val="134"/>
      </rPr>
      <t>｡</t>
    </r>
    <r>
      <rPr>
        <sz val="10"/>
        <color rgb="FF000000"/>
        <rFont val="微软雅黑 Light"/>
        <charset val="134"/>
      </rPr>
      <t>卧床不起,没有协助就无法自已</t>
    </r>
    <r>
      <rPr>
        <sz val="10"/>
        <color indexed="8"/>
        <rFont val="Arial Unicode MS"/>
        <charset val="134"/>
      </rPr>
      <t>｡</t>
    </r>
  </si>
  <si>
    <t>婴儿(1~10斤)</t>
  </si>
  <si>
    <r>
      <rPr>
        <sz val="10"/>
        <color rgb="FF000000"/>
        <rFont val="微软雅黑 Light"/>
        <charset val="134"/>
      </rPr>
      <t>任何方面都没有受过教育</t>
    </r>
    <r>
      <rPr>
        <sz val="10"/>
        <color indexed="8"/>
        <rFont val="Arial Unicode MS"/>
        <charset val="134"/>
      </rPr>
      <t>｡</t>
    </r>
  </si>
  <si>
    <r>
      <rPr>
        <sz val="10"/>
        <color rgb="FF000000"/>
        <rFont val="微软雅黑 Light"/>
        <charset val="134"/>
      </rPr>
      <t>弱者,虚弱</t>
    </r>
    <r>
      <rPr>
        <sz val="10"/>
        <color indexed="8"/>
        <rFont val="Arial Unicode MS"/>
        <charset val="134"/>
      </rPr>
      <t>｡</t>
    </r>
  </si>
  <si>
    <t>健康堪忧。经常需要躺下休息，常年病痛缠身</t>
  </si>
  <si>
    <r>
      <rPr>
        <sz val="10"/>
        <color rgb="FF000000"/>
        <rFont val="微软雅黑 Light"/>
        <charset val="134"/>
      </rPr>
      <t>孩童,或身短体瘦(矮人)(15kg)</t>
    </r>
    <r>
      <rPr>
        <sz val="10"/>
        <color indexed="8"/>
        <rFont val="Arial Unicode MS"/>
        <charset val="134"/>
      </rPr>
      <t>｡</t>
    </r>
  </si>
  <si>
    <t>缓慢笨拙难以行动自如</t>
  </si>
  <si>
    <r>
      <rPr>
        <sz val="10"/>
        <color rgb="FF000000"/>
        <rFont val="微软雅黑 Light"/>
        <charset val="134"/>
      </rPr>
      <t>挫</t>
    </r>
    <r>
      <rPr>
        <sz val="10"/>
        <color indexed="8"/>
        <rFont val="Arial Unicode MS"/>
        <charset val="134"/>
      </rPr>
      <t>｡</t>
    </r>
    <r>
      <rPr>
        <sz val="10"/>
        <color rgb="FF000000"/>
        <rFont val="微软雅黑 Light"/>
        <charset val="134"/>
      </rPr>
      <t>估计是因为受伤事故或先天如此</t>
    </r>
    <r>
      <rPr>
        <sz val="10"/>
        <color indexed="8"/>
        <rFont val="Arial Unicode MS"/>
        <charset val="134"/>
      </rPr>
      <t>｡</t>
    </r>
  </si>
  <si>
    <t>学得很慢,只能理解最常用的数字,或阅读学前级的书</t>
  </si>
  <si>
    <t>意志力弱,经常成为高智力或高意志人士的人的玩物</t>
  </si>
  <si>
    <r>
      <rPr>
        <sz val="10"/>
        <color rgb="FF000000"/>
        <rFont val="微软雅黑 Light"/>
        <charset val="134"/>
      </rPr>
      <t>高中毕业</t>
    </r>
    <r>
      <rPr>
        <sz val="10"/>
        <color indexed="8"/>
        <rFont val="Arial Unicode MS"/>
        <charset val="134"/>
      </rPr>
      <t>｡</t>
    </r>
  </si>
  <si>
    <r>
      <rPr>
        <sz val="10"/>
        <color rgb="FF000000"/>
        <rFont val="微软雅黑 Light"/>
        <charset val="134"/>
      </rPr>
      <t>普通人水平</t>
    </r>
    <r>
      <rPr>
        <sz val="10"/>
        <color indexed="8"/>
        <rFont val="Arial Unicode MS"/>
        <charset val="134"/>
      </rPr>
      <t>｡</t>
    </r>
  </si>
  <si>
    <t>普通人水平</t>
  </si>
  <si>
    <r>
      <rPr>
        <sz val="10"/>
        <color rgb="FF000000"/>
        <rFont val="微软雅黑 Light"/>
        <charset val="134"/>
      </rPr>
      <t>普通人类体型(中等身高和体重)(75kg)</t>
    </r>
    <r>
      <rPr>
        <sz val="10"/>
        <color indexed="8"/>
        <rFont val="Arial Unicode MS"/>
        <charset val="134"/>
      </rPr>
      <t>｡</t>
    </r>
  </si>
  <si>
    <t>普通人</t>
  </si>
  <si>
    <t>大学毕业</t>
  </si>
  <si>
    <t>你见过的力气最大的人</t>
  </si>
  <si>
    <r>
      <rPr>
        <sz val="10"/>
        <color rgb="FF000000"/>
        <rFont val="微软雅黑 Light"/>
        <charset val="134"/>
      </rPr>
      <t>抖落身上的液氮,强壮而精神</t>
    </r>
    <r>
      <rPr>
        <sz val="10"/>
        <color indexed="8"/>
        <rFont val="Arial Unicode MS"/>
        <charset val="134"/>
      </rPr>
      <t>｡</t>
    </r>
  </si>
  <si>
    <r>
      <rPr>
        <sz val="10"/>
        <color rgb="FF000000"/>
        <rFont val="微软雅黑 Light"/>
        <charset val="134"/>
      </rPr>
      <t>非常高,强健的体格或非常胖(110kg)</t>
    </r>
    <r>
      <rPr>
        <sz val="10"/>
        <color indexed="8"/>
        <rFont val="Arial Unicode MS"/>
        <charset val="134"/>
      </rPr>
      <t>｡</t>
    </r>
  </si>
  <si>
    <r>
      <rPr>
        <sz val="10"/>
        <color rgb="FF000000"/>
        <rFont val="微软雅黑 Light"/>
        <charset val="134"/>
      </rPr>
      <t>高速而灵活,可以达成超凡的技艺(例如伟大的舞者)</t>
    </r>
    <r>
      <rPr>
        <sz val="10"/>
        <color indexed="8"/>
        <rFont val="Arial Unicode MS"/>
        <charset val="134"/>
      </rPr>
      <t>｡</t>
    </r>
  </si>
  <si>
    <r>
      <rPr>
        <sz val="10"/>
        <color rgb="FF000000"/>
        <rFont val="微软雅黑 Light"/>
        <charset val="134"/>
      </rPr>
      <t>你见过的最漂亮的人,有着天然的吸引力</t>
    </r>
    <r>
      <rPr>
        <sz val="10"/>
        <color indexed="8"/>
        <rFont val="Arial Unicode MS"/>
        <charset val="134"/>
      </rPr>
      <t>｡</t>
    </r>
  </si>
  <si>
    <r>
      <rPr>
        <sz val="10"/>
        <color rgb="FF000000"/>
        <rFont val="微软雅黑 Light"/>
        <charset val="134"/>
      </rPr>
      <t>超凡之脑,可以理解多门语言或法则</t>
    </r>
    <r>
      <rPr>
        <sz val="10"/>
        <color indexed="8"/>
        <rFont val="Arial Unicode MS"/>
        <charset val="134"/>
      </rPr>
      <t>｡</t>
    </r>
  </si>
  <si>
    <r>
      <rPr>
        <sz val="10"/>
        <color rgb="FF000000"/>
        <rFont val="微软雅黑 Light"/>
        <charset val="134"/>
      </rPr>
      <t>坚强的心,对沟通不可视之物和魔法有着高潜质</t>
    </r>
    <r>
      <rPr>
        <sz val="10"/>
        <color indexed="8"/>
        <rFont val="Arial Unicode MS"/>
        <charset val="134"/>
      </rPr>
      <t>｡</t>
    </r>
  </si>
  <si>
    <t>研究生毕业</t>
  </si>
  <si>
    <r>
      <rPr>
        <sz val="10"/>
        <color rgb="FF000000"/>
        <rFont val="微软雅黑 Light"/>
        <charset val="134"/>
      </rPr>
      <t>世界水平(奥赛举重冠军)</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</si>
  <si>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铁之刚体</t>
    </r>
    <r>
      <rPr>
        <sz val="10"/>
        <color indexed="8"/>
        <rFont val="Arial Unicode MS"/>
        <charset val="134"/>
      </rPr>
      <t>｡</t>
    </r>
    <r>
      <rPr>
        <sz val="10"/>
        <color rgb="FF000000"/>
        <rFont val="微软雅黑 Light"/>
        <charset val="134"/>
      </rPr>
      <t>可以承受住最强的疼痛</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</si>
  <si>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某方面已经是超大号了(150kg)</t>
    </r>
    <r>
      <rPr>
        <sz val="10"/>
        <color indexed="8"/>
        <rFont val="Arial Unicode MS"/>
        <charset val="134"/>
      </rPr>
      <t>｡</t>
    </r>
  </si>
  <si>
    <r>
      <rPr>
        <sz val="10"/>
        <color rgb="FF000000"/>
        <rFont val="微软雅黑 Light"/>
        <charset val="134"/>
      </rPr>
      <t>世界级运动员</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</si>
  <si>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魅力和酷的巅峰(超级名模或世界影星)</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</si>
  <si>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天才(爱因斯坦</t>
    </r>
    <r>
      <rPr>
        <sz val="10"/>
        <color indexed="8"/>
        <rFont val="Arial Unicode MS"/>
        <charset val="134"/>
      </rPr>
      <t>､</t>
    </r>
    <r>
      <rPr>
        <sz val="10"/>
        <color rgb="FF000000"/>
        <rFont val="微软雅黑 Light"/>
        <charset val="134"/>
      </rPr>
      <t>达芬奇</t>
    </r>
    <r>
      <rPr>
        <sz val="10"/>
        <color indexed="8"/>
        <rFont val="Arial Unicode MS"/>
        <charset val="134"/>
      </rPr>
      <t>､</t>
    </r>
    <r>
      <rPr>
        <sz val="10"/>
        <color rgb="FF000000"/>
        <rFont val="微软雅黑 Light"/>
        <charset val="134"/>
      </rPr>
      <t>特斯拉等等)</t>
    </r>
    <r>
      <rPr>
        <sz val="10"/>
        <color indexed="8"/>
        <rFont val="Arial Unicode MS"/>
        <charset val="134"/>
      </rPr>
      <t>｡</t>
    </r>
    <r>
      <rPr>
        <sz val="10"/>
        <color rgb="FF000000"/>
        <rFont val="微软雅黑 Light"/>
        <charset val="134"/>
      </rPr>
      <t>人类极限</t>
    </r>
    <r>
      <rPr>
        <sz val="10"/>
        <color indexed="8"/>
        <rFont val="Arial Unicode MS"/>
        <charset val="134"/>
      </rPr>
      <t>｡</t>
    </r>
  </si>
  <si>
    <r>
      <rPr>
        <sz val="10"/>
        <color rgb="FF000000"/>
        <rFont val="微软雅黑 Light"/>
        <charset val="134"/>
      </rPr>
      <t>钢铁之心,与灵能领域和不可视世界有着强烈的链接</t>
    </r>
    <r>
      <rPr>
        <sz val="10"/>
        <color indexed="8"/>
        <rFont val="Arial Unicode MS"/>
        <charset val="134"/>
      </rPr>
      <t>｡</t>
    </r>
  </si>
  <si>
    <r>
      <rPr>
        <sz val="10"/>
        <color rgb="FF000000"/>
        <rFont val="微软雅黑 Light"/>
        <charset val="134"/>
      </rPr>
      <t>博士学位,教授</t>
    </r>
    <r>
      <rPr>
        <sz val="10"/>
        <color indexed="8"/>
        <rFont val="Arial Unicode MS"/>
        <charset val="134"/>
      </rPr>
      <t>｡</t>
    </r>
  </si>
  <si>
    <r>
      <rPr>
        <sz val="10"/>
        <color rgb="FF000000"/>
        <rFont val="微软雅黑 Light"/>
        <charset val="134"/>
      </rPr>
      <t>超越人类之力(例如大猩猩或马)</t>
    </r>
    <r>
      <rPr>
        <sz val="10"/>
        <color indexed="8"/>
        <rFont val="Arial Unicode MS"/>
        <charset val="134"/>
      </rPr>
      <t>｡</t>
    </r>
  </si>
  <si>
    <r>
      <rPr>
        <sz val="10"/>
        <color rgb="FF000000"/>
        <rFont val="微软雅黑 Light"/>
        <charset val="134"/>
      </rPr>
      <t>超越人类之体格(大象)</t>
    </r>
    <r>
      <rPr>
        <sz val="10"/>
        <color indexed="8"/>
        <rFont val="Arial Unicode MS"/>
        <charset val="134"/>
      </rPr>
      <t>｡</t>
    </r>
  </si>
  <si>
    <r>
      <rPr>
        <sz val="10"/>
        <color rgb="FF000000"/>
        <rFont val="微软雅黑 Light"/>
        <charset val="134"/>
      </rPr>
      <t>马或牛(436kg)</t>
    </r>
    <r>
      <rPr>
        <sz val="10"/>
        <color indexed="8"/>
        <rFont val="Arial Unicode MS"/>
        <charset val="134"/>
      </rPr>
      <t>｡</t>
    </r>
  </si>
  <si>
    <t>超越人类之敏捷</t>
  </si>
  <si>
    <t>超越人类之智</t>
  </si>
  <si>
    <t>超越人类,基本上是异界存在</t>
  </si>
  <si>
    <r>
      <rPr>
        <sz val="10"/>
        <color rgb="FF000000"/>
        <rFont val="微软雅黑 Light"/>
        <charset val="134"/>
      </rPr>
      <t>某研究领域的世界级权威</t>
    </r>
    <r>
      <rPr>
        <sz val="10"/>
        <color indexed="8"/>
        <rFont val="Arial Unicode MS"/>
        <charset val="134"/>
      </rPr>
      <t>｡</t>
    </r>
  </si>
  <si>
    <t>有记录的最重的人类(634kg)</t>
  </si>
  <si>
    <r>
      <rPr>
        <sz val="10"/>
        <color rgb="FF000000"/>
        <rFont val="微软雅黑 Light"/>
        <charset val="134"/>
      </rPr>
      <t>人类极限</t>
    </r>
    <r>
      <rPr>
        <sz val="10"/>
        <color indexed="8"/>
        <rFont val="Arial Unicode MS"/>
        <charset val="134"/>
      </rPr>
      <t>｡</t>
    </r>
  </si>
  <si>
    <t>200+</t>
  </si>
  <si>
    <t>怪物之力</t>
  </si>
  <si>
    <t>怪物之体,免疫大部分地球疾病</t>
  </si>
  <si>
    <t>872kg</t>
  </si>
  <si>
    <r>
      <rPr>
        <sz val="10"/>
        <color rgb="FF000000"/>
        <rFont val="微软雅黑 Light"/>
        <charset val="134"/>
      </rPr>
      <t>闪电之速,可以在人类反应过来之前完成系列动作</t>
    </r>
    <r>
      <rPr>
        <sz val="10"/>
        <color indexed="8"/>
        <rFont val="Arial Unicode MS"/>
        <charset val="134"/>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</si>
  <si>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</si>
  <si>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</si>
  <si>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</si>
  <si>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</si>
  <si>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</si>
  <si>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</si>
  <si>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</si>
  <si>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</si>
  <si>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</si>
  <si>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</si>
  <si>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</si>
  <si>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</si>
  <si>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</si>
  <si>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</si>
  <si>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</si>
  <si>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</si>
  <si>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</si>
  <si>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</si>
  <si>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</si>
  <si>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</si>
  <si>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</si>
  <si>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</si>
  <si>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</si>
  <si>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</si>
  <si>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</si>
  <si>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</si>
  <si>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</si>
  <si>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</si>
  <si>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</si>
  <si>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</si>
  <si>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</si>
  <si>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</si>
  <si>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</si>
  <si>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</si>
  <si>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</si>
  <si>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</si>
  <si>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</si>
  <si>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</si>
  <si>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</si>
  <si>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</si>
  <si>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</si>
  <si>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</si>
  <si>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</si>
  <si>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</si>
  <si>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</si>
  <si>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r>
      <rPr>
        <sz val="12"/>
        <rFont val="微软雅黑 Light"/>
        <charset val="134"/>
      </rPr>
      <t>从</t>
    </r>
    <r>
      <rPr>
        <sz val="12"/>
        <color rgb="FFFF0000"/>
        <rFont val="微软雅黑 Light"/>
        <charset val="134"/>
      </rPr>
      <t>力量</t>
    </r>
    <r>
      <rPr>
        <sz val="12"/>
        <rFont val="微软雅黑 Light"/>
        <charset val="134"/>
      </rPr>
      <t>和</t>
    </r>
    <r>
      <rPr>
        <sz val="12"/>
        <color rgb="FF076A00"/>
        <rFont val="微软雅黑 Light"/>
        <charset val="134"/>
      </rPr>
      <t>体型</t>
    </r>
    <r>
      <rPr>
        <sz val="12"/>
        <rFont val="微软雅黑 Light"/>
        <charset val="134"/>
      </rPr>
      <t>里总共-5
之后骰 2 次幸运，取较大值</t>
    </r>
  </si>
  <si>
    <t>增加POW</t>
  </si>
  <si>
    <t>将力量与体型相加之后</t>
  </si>
  <si>
    <t>结果：</t>
  </si>
  <si>
    <t>伤害加值</t>
  </si>
  <si>
    <t>体格</t>
  </si>
  <si>
    <t>体格的作用</t>
  </si>
  <si>
    <t>2-64</t>
  </si>
  <si>
    <t>可以扔很远</t>
  </si>
  <si>
    <t>①：成功施放需要对抗POW的法术后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</si>
  <si>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</si>
  <si>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</si>
  <si>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</si>
  <si>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</si>
  <si>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</si>
  <si>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</si>
  <si>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</si>
  <si>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</si>
  <si>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</si>
  <si>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</si>
  <si>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</si>
  <si>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能被举起来</t>
  </si>
  <si>
    <t>+1</t>
  </si>
  <si>
    <t>40+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</si>
  <si>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里总共-5，</t>
    </r>
    <r>
      <rPr>
        <sz val="12"/>
        <color rgb="FFFC17FF"/>
        <rFont val="微软雅黑 Light"/>
        <charset val="134"/>
      </rPr>
      <t>APP-5</t>
    </r>
    <r>
      <rPr>
        <sz val="12"/>
        <rFont val="微软雅黑 Light"/>
        <charset val="134"/>
      </rPr>
      <t xml:space="preserve">
</t>
    </r>
    <r>
      <rPr>
        <b/>
        <sz val="12"/>
        <color rgb="FFD58B43"/>
        <rFont val="微软雅黑 Light"/>
        <charset val="134"/>
      </rPr>
      <t>之后进行 2 次教育进步</t>
    </r>
    <r>
      <rPr>
        <sz val="12"/>
        <rFont val="微软雅黑 Light"/>
        <charset val="134"/>
      </rPr>
      <t xml:space="preserve">
</t>
    </r>
    <r>
      <rPr>
        <b/>
        <sz val="12"/>
        <rFont val="微软雅黑 Light"/>
        <charset val="134"/>
      </rPr>
      <t>移动-1</t>
    </r>
  </si>
  <si>
    <t>②：在幸运检定中掷出1D100=1后
骰1D100 若大于当前POW或大于95
POW永久增加1D10点</t>
  </si>
  <si>
    <t>205-284</t>
  </si>
  <si>
    <t xml:space="preserve"> +2d6</t>
  </si>
  <si>
    <t>能被扔出去</t>
  </si>
  <si>
    <t>+2</t>
  </si>
  <si>
    <t>285-364</t>
  </si>
  <si>
    <t xml:space="preserve"> +3d6</t>
  </si>
  <si>
    <t>能被打飞</t>
  </si>
  <si>
    <t>+3</t>
  </si>
  <si>
    <t>365-444</t>
  </si>
  <si>
    <t xml:space="preserve"> +4d6</t>
  </si>
  <si>
    <t>千万别惹</t>
  </si>
  <si>
    <t>+4</t>
  </si>
  <si>
    <t>50+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</si>
  <si>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里总共-10，</t>
    </r>
    <r>
      <rPr>
        <sz val="12"/>
        <color rgb="FFFC17FF"/>
        <rFont val="微软雅黑 Light"/>
        <charset val="134"/>
      </rPr>
      <t>APP-10</t>
    </r>
    <r>
      <rPr>
        <sz val="12"/>
        <rFont val="微软雅黑 Light"/>
        <charset val="134"/>
      </rPr>
      <t xml:space="preserve">
</t>
    </r>
    <r>
      <rPr>
        <b/>
        <sz val="12"/>
        <color rgb="FFD58B43"/>
        <rFont val="微软雅黑 Light"/>
        <charset val="134"/>
      </rPr>
      <t>之后进行 3 次教育进步</t>
    </r>
    <r>
      <rPr>
        <sz val="12"/>
        <rFont val="微软雅黑 Light"/>
        <charset val="134"/>
      </rPr>
      <t xml:space="preserve">
</t>
    </r>
    <r>
      <rPr>
        <b/>
        <sz val="12"/>
        <rFont val="微软雅黑 Light"/>
        <charset val="134"/>
      </rPr>
      <t>移动-2</t>
    </r>
  </si>
  <si>
    <t>*此后合计值每超过一个80，就+1d6伤害加成与+1体型，不足80的按照80算。</t>
  </si>
  <si>
    <t>60+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</si>
  <si>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里总共-20，</t>
    </r>
    <r>
      <rPr>
        <sz val="12"/>
        <color rgb="FFFC17FF"/>
        <rFont val="微软雅黑 Light"/>
        <charset val="134"/>
      </rPr>
      <t>APP-15</t>
    </r>
    <r>
      <rPr>
        <sz val="12"/>
        <rFont val="微软雅黑 Light"/>
        <charset val="134"/>
      </rPr>
      <t xml:space="preserve">
</t>
    </r>
    <r>
      <rPr>
        <b/>
        <sz val="12"/>
        <color rgb="FFD58B43"/>
        <rFont val="微软雅黑 Light"/>
        <charset val="134"/>
      </rPr>
      <t>之后进行 4 次教育进步</t>
    </r>
    <r>
      <rPr>
        <b/>
        <sz val="12"/>
        <rFont val="微软雅黑 Light"/>
        <charset val="134"/>
      </rPr>
      <t xml:space="preserve">
移动-3</t>
    </r>
  </si>
  <si>
    <t>70+</t>
  </si>
  <si>
    <r>
      <rPr>
        <sz val="12"/>
        <rFont val="微软雅黑 Light"/>
        <charset val="134"/>
      </rPr>
      <t>从</t>
    </r>
    <r>
      <rPr>
        <sz val="12"/>
        <color rgb="FFFF0000"/>
        <rFont val="微软雅黑 Light"/>
        <charset val="134"/>
      </rPr>
      <t>力量</t>
    </r>
    <r>
      <rPr>
        <sz val="12"/>
        <rFont val="微软雅黑 Light"/>
        <charset val="134"/>
      </rPr>
      <t>、</t>
    </r>
    <r>
      <rPr>
        <sz val="12"/>
        <color rgb="FF806000"/>
        <rFont val="微软雅黑 Light"/>
        <charset val="134"/>
      </rPr>
      <t>体质</t>
    </r>
    <r>
      <rPr>
        <sz val="12"/>
        <rFont val="微软雅黑 Light"/>
        <charset val="134"/>
      </rPr>
      <t>、</t>
    </r>
    <r>
      <rPr>
        <sz val="12"/>
        <color rgb="FF2F75B5"/>
        <rFont val="微软雅黑 Light"/>
        <charset val="134"/>
      </rPr>
      <t>敏捷</t>
    </r>
    <r>
      <rPr>
        <sz val="12"/>
        <rFont val="微软雅黑 Light"/>
        <charset val="134"/>
      </rPr>
      <t>里总共-40，</t>
    </r>
    <r>
      <rPr>
        <sz val="12"/>
        <color rgb="FFFC17FF"/>
        <rFont val="微软雅黑 Light"/>
        <charset val="134"/>
      </rPr>
      <t>APP-20</t>
    </r>
    <r>
      <rPr>
        <sz val="12"/>
        <rFont val="微软雅黑 Light"/>
        <charset val="134"/>
      </rPr>
      <t xml:space="preserve">
</t>
    </r>
    <r>
      <rPr>
        <b/>
        <sz val="12"/>
        <color rgb="FFD58B43"/>
        <rFont val="微软雅黑 Light"/>
        <charset val="134"/>
      </rPr>
      <t>之后进行 4 次教育进步</t>
    </r>
    <r>
      <rPr>
        <sz val="12"/>
        <rFont val="微软雅黑 Light"/>
        <charset val="134"/>
      </rPr>
      <t xml:space="preserve">
</t>
    </r>
    <r>
      <rPr>
        <b/>
        <sz val="12"/>
        <rFont val="微软雅黑 Light"/>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</si>
  <si>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</si>
  <si>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</si>
  <si>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</si>
  <si>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</si>
  <si>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</si>
  <si>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</si>
  <si>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</si>
  <si>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</si>
  <si>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</si>
  <si>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r>
      <rPr>
        <sz val="12"/>
        <color rgb="FF000000"/>
        <rFont val="微软雅黑"/>
        <charset val="134"/>
      </rPr>
      <t>当技能检定失败的时候
PL可以</t>
    </r>
    <r>
      <rPr>
        <b/>
        <sz val="12"/>
        <color rgb="FF000000"/>
        <rFont val="微软雅黑"/>
        <charset val="134"/>
      </rPr>
      <t>选择</t>
    </r>
    <r>
      <rPr>
        <sz val="12"/>
        <color rgb="FF000000"/>
        <rFont val="微软雅黑"/>
        <charset val="134"/>
      </rPr>
      <t>孤注一骰或花费幸运值</t>
    </r>
  </si>
  <si>
    <t>孤注一骰的结果不能消耗幸运值来改变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</si>
  <si>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</si>
  <si>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</si>
  <si>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</si>
  <si>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</si>
  <si>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</si>
  <si>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</si>
  <si>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</si>
  <si>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</si>
  <si>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</si>
  <si>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</si>
  <si>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</si>
  <si>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</si>
  <si>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</si>
  <si>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</si>
  <si>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</si>
  <si>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</si>
  <si>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</si>
  <si>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</si>
  <si>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</si>
  <si>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</si>
  <si>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讲述黑山羊幼崽如何跨步走向伊诺克，而伊诺克魔法值不足，无法孤注一骰，于是掉头逃跑。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</si>
  <si>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</si>
  <si>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</si>
  <si>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</si>
  <si>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</si>
  <si>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现代 美国 美元$</t>
  </si>
  <si>
    <t>现金</t>
  </si>
  <si>
    <t>身无分文</t>
  </si>
  <si>
    <t>信誉作为一个特殊属性，本职技能点也可以分配给信用评级，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</si>
  <si>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</si>
  <si>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</si>
  <si>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</si>
  <si>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</si>
  <si>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x 20</t>
  </si>
  <si>
    <t>CR x 200</t>
  </si>
  <si>
    <t>标准</t>
  </si>
  <si>
    <t xml:space="preserve">  10-49</t>
  </si>
  <si>
    <t>CR × 2</t>
  </si>
  <si>
    <t>CR × 50</t>
  </si>
  <si>
    <t>CR × 40</t>
  </si>
  <si>
    <t>CR × 1000</t>
  </si>
  <si>
    <t>小康</t>
  </si>
  <si>
    <t>50-89</t>
  </si>
  <si>
    <t>CR × 5</t>
  </si>
  <si>
    <t>CR × 500</t>
  </si>
  <si>
    <t>CR × 100</t>
  </si>
  <si>
    <t>CR × 10000</t>
  </si>
  <si>
    <t>调查员的信用评级初始为０。每个职业都有它特定的信用评级起始点数和增长范围，而玩家在信用评级上的分配也会展现出该调查员不同的风范。</t>
  </si>
  <si>
    <t>富裕</t>
  </si>
  <si>
    <t>90-98</t>
  </si>
  <si>
    <t>CR × 20</t>
  </si>
  <si>
    <t>CR × 2000</t>
  </si>
  <si>
    <t>CR × 400</t>
  </si>
  <si>
    <t>CR × 40000</t>
  </si>
  <si>
    <t>富豪</t>
  </si>
  <si>
    <t>5万</t>
  </si>
  <si>
    <t>500万+</t>
  </si>
  <si>
    <t>100万</t>
  </si>
  <si>
    <t>1亿+</t>
  </si>
  <si>
    <t>10万</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</si>
  <si>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</si>
  <si>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</si>
  <si>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</si>
  <si>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</si>
  <si>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</si>
  <si>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</si>
  <si>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</si>
  <si>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</si>
  <si>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</si>
  <si>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</si>
  <si>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</si>
  <si>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</si>
  <si>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</si>
  <si>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</si>
  <si>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</si>
  <si>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</si>
  <si>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与富裕差不多，但钱已经只是一个代号了。你将是世纪界上最富有的人。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</si>
  <si>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</si>
  <si>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</si>
  <si>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</si>
  <si>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</si>
  <si>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</si>
  <si>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</si>
  <si>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</si>
  <si>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</si>
  <si>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</si>
  <si>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</si>
  <si>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</si>
  <si>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</si>
  <si>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</si>
  <si>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</si>
  <si>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</si>
  <si>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</si>
  <si>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</si>
  <si>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</si>
  <si>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</si>
  <si>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</si>
  <si>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</si>
  <si>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</si>
  <si>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</si>
  <si>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</si>
  <si>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</si>
  <si>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</si>
  <si>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</si>
  <si>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</si>
  <si>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</si>
  <si>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</si>
  <si>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</si>
  <si>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</si>
  <si>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</si>
  <si>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</si>
  <si>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</si>
  <si>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</si>
  <si>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</si>
  <si>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</si>
  <si>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</si>
  <si>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</si>
  <si>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</si>
  <si>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</si>
  <si>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</si>
  <si>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</si>
  <si>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</si>
  <si>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</si>
  <si>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</si>
  <si>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</si>
  <si>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</si>
  <si>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</si>
  <si>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</si>
  <si>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</si>
  <si>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</si>
  <si>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</si>
  <si>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</si>
  <si>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</si>
  <si>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</si>
  <si>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</si>
  <si>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</si>
  <si>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</si>
  <si>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</si>
  <si>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</si>
  <si>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</si>
  <si>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</si>
  <si>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</si>
  <si>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</si>
  <si>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</si>
  <si>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</si>
  <si>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</si>
  <si>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</si>
  <si>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</si>
  <si>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</si>
  <si>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</si>
  <si>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</si>
  <si>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</si>
  <si>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</si>
  <si>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</si>
  <si>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</si>
  <si>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</si>
  <si>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</si>
  <si>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</si>
  <si>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</si>
  <si>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</si>
  <si>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</si>
  <si>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</si>
  <si>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</si>
  <si>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</si>
  <si>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</si>
  <si>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</si>
  <si>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</si>
  <si>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</si>
  <si>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</si>
  <si>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</si>
  <si>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</si>
  <si>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</si>
  <si>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</si>
  <si>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</si>
  <si>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</si>
  <si>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</si>
  <si>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</si>
  <si>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</si>
  <si>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</si>
  <si>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</si>
  <si>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</si>
  <si>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</si>
  <si>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</si>
  <si>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</si>
  <si>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</si>
  <si>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</si>
  <si>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</si>
  <si>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</si>
  <si>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</si>
  <si>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</si>
  <si>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</si>
  <si>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</si>
  <si>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</si>
  <si>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</si>
  <si>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</si>
  <si>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</si>
  <si>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</si>
  <si>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</si>
  <si>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</si>
  <si>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</si>
  <si>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</si>
  <si>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</si>
  <si>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</si>
  <si>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</si>
  <si>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</si>
  <si>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</si>
  <si>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</si>
  <si>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</si>
  <si>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</si>
  <si>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</si>
  <si>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</si>
  <si>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</si>
  <si>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</si>
  <si>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</si>
  <si>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</si>
  <si>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</si>
  <si>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</si>
  <si>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</si>
  <si>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</si>
  <si>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</si>
  <si>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</si>
  <si>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</si>
  <si>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</si>
  <si>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</si>
  <si>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</si>
  <si>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</si>
  <si>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</si>
  <si>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</si>
  <si>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</si>
  <si>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</si>
  <si>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</si>
  <si>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</si>
  <si>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</si>
  <si>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</si>
  <si>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</si>
  <si>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</si>
  <si>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</si>
  <si>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</si>
  <si>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</si>
  <si>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</si>
  <si>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</si>
  <si>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</si>
  <si>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</si>
  <si>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</si>
  <si>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</si>
  <si>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</si>
  <si>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</si>
  <si>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</si>
  <si>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</si>
  <si>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</si>
  <si>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</si>
  <si>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</si>
  <si>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</si>
  <si>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</si>
  <si>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</si>
  <si>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</si>
  <si>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</si>
  <si>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</si>
  <si>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</si>
  <si>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</si>
  <si>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</si>
  <si>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</si>
  <si>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</si>
  <si>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</si>
  <si>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</si>
  <si>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</si>
  <si>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</si>
  <si>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</si>
  <si>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</si>
  <si>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</si>
  <si>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</si>
  <si>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</si>
  <si>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</si>
  <si>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</si>
  <si>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</si>
  <si>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</si>
  <si>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</si>
  <si>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</si>
  <si>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</si>
  <si>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</si>
  <si>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</si>
  <si>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</si>
  <si>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</si>
  <si>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</si>
  <si>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</si>
  <si>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</si>
  <si>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</si>
  <si>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</si>
  <si>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</si>
  <si>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</si>
  <si>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</si>
  <si>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</si>
  <si>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</si>
  <si>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</si>
  <si>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</si>
  <si>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</si>
  <si>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</si>
  <si>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</si>
  <si>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</si>
  <si>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</si>
  <si>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</si>
  <si>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</si>
  <si>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</si>
  <si>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</si>
  <si>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</si>
  <si>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</si>
  <si>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</si>
  <si>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</si>
  <si>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</si>
  <si>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</si>
  <si>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</si>
  <si>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</si>
  <si>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</si>
  <si>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</si>
  <si>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</si>
  <si>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</si>
  <si>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</si>
  <si>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</si>
  <si>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</si>
  <si>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</si>
  <si>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</si>
  <si>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</si>
  <si>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</si>
  <si>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</si>
  <si>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</si>
  <si>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</si>
  <si>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</si>
  <si>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</si>
  <si>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</si>
  <si>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</si>
  <si>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</si>
  <si>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</si>
  <si>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</si>
  <si>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</si>
  <si>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</si>
  <si>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</si>
  <si>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</si>
  <si>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</si>
  <si>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</si>
  <si>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</si>
  <si>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</si>
  <si>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</si>
  <si>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</si>
  <si>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</si>
  <si>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</si>
  <si>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</si>
  <si>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</si>
  <si>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</si>
  <si>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</si>
  <si>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</si>
  <si>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</si>
  <si>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</si>
  <si>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</si>
  <si>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</si>
  <si>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</si>
  <si>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</si>
  <si>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</si>
  <si>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</si>
  <si>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</si>
  <si>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</si>
  <si>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</si>
  <si>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</si>
  <si>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</si>
  <si>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</si>
  <si>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</si>
  <si>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</si>
  <si>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</si>
  <si>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</si>
  <si>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</si>
  <si>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</si>
  <si>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</si>
  <si>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</si>
  <si>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</si>
  <si>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</si>
  <si>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</si>
  <si>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</si>
  <si>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</si>
  <si>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</si>
  <si>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</si>
  <si>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</si>
  <si>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</si>
  <si>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</si>
  <si>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</si>
  <si>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</si>
  <si>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</si>
  <si>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</si>
  <si>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</si>
  <si>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</si>
  <si>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</si>
  <si>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</si>
  <si>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</si>
  <si>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</si>
  <si>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</si>
  <si>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</si>
  <si>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</si>
  <si>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</si>
  <si>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</si>
  <si>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</si>
  <si>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</si>
  <si>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</si>
  <si>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</si>
  <si>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</si>
  <si>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</si>
  <si>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</si>
  <si>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</si>
  <si>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</si>
  <si>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</si>
  <si>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</si>
  <si>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</si>
  <si>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</si>
  <si>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</si>
  <si>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</si>
  <si>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</si>
  <si>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</si>
  <si>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</si>
  <si>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</si>
  <si>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</si>
  <si>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</si>
  <si>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</si>
  <si>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</si>
  <si>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</si>
  <si>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</si>
  <si>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</si>
  <si>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</si>
  <si>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</si>
  <si>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</si>
  <si>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</si>
  <si>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</si>
  <si>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</si>
  <si>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</si>
  <si>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</si>
  <si>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</si>
  <si>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</si>
  <si>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</si>
  <si>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</si>
  <si>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</si>
  <si>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</si>
  <si>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</si>
  <si>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</si>
  <si>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</si>
  <si>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</si>
  <si>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</si>
  <si>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</si>
  <si>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</si>
  <si>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</si>
  <si>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</si>
  <si>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</si>
  <si>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</si>
  <si>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</si>
  <si>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</si>
  <si>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</si>
  <si>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</si>
  <si>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</si>
  <si>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</si>
  <si>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</si>
  <si>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</si>
  <si>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</si>
  <si>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</si>
  <si>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</si>
  <si>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</si>
  <si>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</si>
  <si>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</si>
  <si>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</si>
  <si>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</si>
  <si>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</si>
  <si>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</si>
  <si>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</si>
  <si>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</si>
  <si>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</si>
  <si>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</si>
  <si>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</si>
  <si>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</si>
  <si>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</si>
  <si>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</si>
  <si>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</si>
  <si>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</si>
  <si>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</si>
  <si>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</si>
  <si>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</si>
  <si>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</si>
  <si>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</si>
  <si>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</si>
  <si>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</si>
  <si>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</si>
  <si>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</si>
  <si>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</si>
  <si>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</si>
  <si>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</si>
  <si>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</si>
  <si>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</si>
  <si>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</si>
  <si>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</si>
  <si>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</si>
  <si>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</si>
  <si>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</si>
  <si>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</si>
  <si>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</si>
  <si>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</si>
  <si>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</si>
  <si>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</si>
  <si>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</si>
  <si>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</si>
  <si>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</si>
  <si>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</si>
  <si>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</si>
  <si>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</si>
  <si>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</si>
  <si>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</si>
  <si>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</si>
  <si>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</si>
  <si>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</si>
  <si>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</si>
  <si>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</si>
  <si>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</si>
  <si>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</si>
  <si>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</si>
  <si>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</si>
  <si>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</si>
  <si>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</si>
  <si>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</si>
  <si>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</si>
  <si>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</si>
  <si>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</si>
  <si>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</si>
  <si>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</si>
  <si>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</si>
  <si>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</si>
  <si>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</si>
  <si>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</si>
  <si>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</si>
  <si>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</si>
  <si>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</si>
  <si>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</si>
  <si>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</si>
  <si>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</si>
  <si>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</si>
  <si>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</si>
  <si>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</si>
  <si>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</si>
  <si>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</si>
  <si>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</si>
  <si>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</si>
  <si>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</si>
  <si>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</si>
  <si>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</si>
  <si>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</si>
  <si>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</si>
  <si>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</si>
  <si>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</si>
  <si>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</si>
  <si>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</si>
  <si>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</si>
  <si>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</si>
  <si>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</si>
  <si>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</si>
  <si>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</si>
  <si>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</si>
  <si>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</si>
  <si>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</si>
  <si>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</si>
  <si>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</si>
  <si>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</si>
  <si>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</si>
  <si>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</si>
  <si>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</si>
  <si>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</si>
  <si>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</si>
  <si>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</si>
  <si>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</si>
  <si>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</si>
  <si>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</si>
  <si>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</si>
  <si>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</si>
  <si>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</si>
  <si>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</si>
  <si>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</si>
  <si>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</si>
  <si>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</si>
  <si>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</si>
  <si>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</si>
  <si>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</si>
  <si>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</si>
  <si>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</si>
  <si>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</si>
  <si>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</si>
  <si>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</si>
  <si>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</si>
  <si>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</si>
  <si>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</si>
  <si>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</si>
  <si>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</si>
  <si>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</si>
  <si>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</si>
  <si>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</si>
  <si>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</si>
  <si>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</si>
  <si>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</si>
  <si>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</si>
  <si>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</si>
  <si>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</si>
  <si>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</si>
  <si>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</si>
  <si>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</si>
  <si>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</si>
  <si>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</si>
  <si>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</si>
  <si>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</si>
  <si>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</si>
  <si>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</si>
  <si>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</si>
  <si>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</si>
  <si>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</si>
  <si>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</si>
  <si>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</si>
  <si>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</si>
  <si>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</si>
  <si>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</si>
  <si>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</si>
  <si>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</si>
  <si>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</si>
  <si>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</si>
  <si>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</si>
  <si>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</si>
  <si>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</si>
  <si>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</si>
  <si>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</si>
  <si>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</si>
  <si>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</si>
  <si>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</si>
  <si>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</si>
  <si>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</si>
  <si>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</si>
  <si>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</si>
  <si>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</si>
  <si>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</si>
  <si>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</si>
  <si>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</si>
  <si>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</si>
  <si>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</si>
  <si>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</si>
  <si>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</si>
  <si>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</si>
  <si>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</si>
  <si>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</si>
  <si>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</si>
  <si>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</si>
  <si>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</si>
  <si>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</si>
  <si>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</si>
  <si>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</si>
  <si>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</si>
  <si>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</si>
  <si>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</si>
  <si>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</si>
  <si>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</si>
  <si>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</si>
  <si>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</si>
  <si>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</si>
  <si>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</si>
  <si>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</si>
  <si>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</si>
  <si>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</si>
  <si>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</si>
  <si>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5-20</t>
  </si>
  <si>
    <t>100-400</t>
  </si>
  <si>
    <t>摇椅</t>
  </si>
  <si>
    <t>替换汽车头灯</t>
  </si>
  <si>
    <t>修表眼镜</t>
  </si>
  <si>
    <t>台式收音机</t>
  </si>
  <si>
    <t>书桌</t>
  </si>
  <si>
    <t>便携气泵</t>
  </si>
  <si>
    <t>座机（桥式）</t>
  </si>
  <si>
    <t>东方式地毯</t>
  </si>
  <si>
    <t>20-50</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</si>
  <si>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</si>
  <si>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</si>
  <si>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</si>
  <si>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</si>
  <si>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</si>
  <si>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</si>
  <si>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</si>
  <si>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</si>
  <si>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</si>
  <si>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</si>
  <si>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</si>
  <si>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</si>
  <si>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</si>
  <si>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</si>
  <si>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</si>
  <si>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</si>
  <si>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</si>
  <si>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</si>
  <si>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</si>
  <si>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</si>
  <si>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</si>
  <si>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</si>
  <si>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</si>
  <si>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</si>
  <si>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</si>
  <si>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</si>
  <si>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</si>
  <si>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</si>
  <si>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</si>
  <si>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</si>
  <si>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</si>
  <si>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</si>
  <si>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</si>
  <si>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</si>
  <si>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</si>
  <si>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</si>
  <si>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</si>
  <si>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</si>
  <si>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</si>
  <si>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</si>
  <si>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</si>
  <si>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</si>
  <si>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</si>
  <si>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</si>
  <si>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</si>
  <si>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</si>
  <si>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</si>
  <si>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</si>
  <si>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</si>
  <si>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</si>
  <si>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</si>
  <si>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</si>
  <si>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</si>
  <si>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</si>
  <si>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</si>
  <si>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</si>
  <si>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</si>
  <si>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</si>
  <si>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</si>
  <si>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乐器</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</si>
  <si>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</si>
  <si>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</si>
  <si>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</si>
  <si>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</si>
  <si>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</si>
  <si>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</si>
  <si>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</si>
  <si>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</si>
  <si>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</si>
  <si>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</si>
  <si>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</si>
  <si>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</si>
  <si>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</si>
  <si>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</si>
  <si>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</si>
  <si>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</si>
  <si>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贯穿</t>
  </si>
  <si>
    <t>每轮</t>
  </si>
  <si>
    <t>常见时代</t>
  </si>
  <si>
    <t>价格20s/现代($)</t>
  </si>
  <si>
    <t>发明时间</t>
  </si>
  <si>
    <t>1D6+半DB</t>
  </si>
  <si>
    <t>30码</t>
  </si>
  <si>
    <t>1</t>
  </si>
  <si>
    <t>97</t>
  </si>
  <si>
    <t>1920s,现代</t>
  </si>
  <si>
    <t>7/75</t>
  </si>
  <si>
    <t>常
规
武
器</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</si>
  <si>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</si>
  <si>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弓箭</t>
  </si>
  <si>
    <t>1D3+1+DB</t>
  </si>
  <si>
    <t>接触</t>
  </si>
  <si>
    <t>1/10</t>
  </si>
  <si>
    <t>黄铜指虎</t>
  </si>
  <si>
    <t>1D3+半DB</t>
  </si>
  <si>
    <t>10英尺</t>
  </si>
  <si>
    <t>5/50</t>
  </si>
  <si>
    <t>长鞭</t>
  </si>
  <si>
    <t>1D6+燃烧</t>
  </si>
  <si>
    <t>0.05/0.5</t>
  </si>
  <si>
    <t>燃烧的火把</t>
  </si>
  <si>
    <t>2D8</t>
  </si>
  <si>
    <t>95</t>
  </si>
  <si>
    <t>现代</t>
  </si>
  <si>
    <t>——/300</t>
  </si>
  <si>
    <t>1926年</t>
  </si>
  <si>
    <t>1D8+DB</t>
  </si>
  <si>
    <t>2/15</t>
  </si>
  <si>
    <t>1940年</t>
  </si>
  <si>
    <t>包皮铁棍(甩棍、大头棍、护身棒)</t>
  </si>
  <si>
    <t>3/35</t>
  </si>
  <si>
    <t>大型棍状物(棒球棍、板球棒、拨火棍等)</t>
  </si>
  <si>
    <t>1D6+DB</t>
  </si>
  <si>
    <t>小型棍状物(警棍等)</t>
  </si>
  <si>
    <t>1D8+2</t>
  </si>
  <si>
    <t>50码</t>
  </si>
  <si>
    <t>1/2</t>
  </si>
  <si>
    <t>96</t>
  </si>
  <si>
    <t>10/100</t>
  </si>
  <si>
    <t>公元前210年</t>
  </si>
  <si>
    <t>弩</t>
  </si>
  <si>
    <t>0.5/3</t>
  </si>
  <si>
    <t>绞索：目标需要用一个战技摆脱，
否则每轮受到 1D6 点伤害。只对人类和相近的对手有效。</t>
  </si>
  <si>
    <t>1D6+1+DB</t>
  </si>
  <si>
    <t>3/9</t>
  </si>
  <si>
    <t>手斧/镰刀</t>
  </si>
  <si>
    <t>4/50</t>
  </si>
  <si>
    <t>大型刀具(甘蔗刀等)</t>
  </si>
  <si>
    <t>1D4+2+DB</t>
  </si>
  <si>
    <t>中型刀具(切肉菜刀等)</t>
  </si>
  <si>
    <t>1D4+DB</t>
  </si>
  <si>
    <t>2/6</t>
  </si>
  <si>
    <t>一般有锁链或者类似绳子部分的武器可以做到</t>
  </si>
  <si>
    <t>2D8+眩晕</t>
  </si>
  <si>
    <t>1894年</t>
  </si>
  <si>
    <t>220v通电导线</t>
  </si>
  <si>
    <t>眩晕</t>
  </si>
  <si>
    <t>6英尺</t>
  </si>
  <si>
    <t>25次</t>
  </si>
  <si>
    <t>——/10</t>
  </si>
  <si>
    <t>1912年</t>
  </si>
  <si>
    <t>催泪瓦斯</t>
  </si>
  <si>
    <t>960年</t>
  </si>
  <si>
    <t>催泪瓦斯：抵近射击规则无效；目标须通过一个极难的 敏捷 检定否则暂时目盲。只对人类和相近的对手有效。</t>
  </si>
  <si>
    <t>1D4+半DB</t>
  </si>
  <si>
    <t>STR英尺</t>
  </si>
  <si>
    <t>投石</t>
  </si>
  <si>
    <t>20码</t>
  </si>
  <si>
    <t>2</t>
  </si>
  <si>
    <t>一次性</t>
  </si>
  <si>
    <t>手里剑</t>
  </si>
  <si>
    <t>1D8+1</t>
  </si>
  <si>
    <t>25/150</t>
  </si>
  <si>
    <t>矛、骑士长枪</t>
  </si>
  <si>
    <t>1D8+半DB</t>
  </si>
  <si>
    <t>STR码</t>
  </si>
  <si>
    <t>罕见</t>
  </si>
  <si>
    <t>1/25</t>
  </si>
  <si>
    <t>电击枪：仅对体格 2 及以下的目标有效，目标在 1D6 回合内不能行动（或 KP 决定)</t>
  </si>
  <si>
    <t>*掷矛</t>
  </si>
  <si>
    <t>1D8+1+DB</t>
  </si>
  <si>
    <t>30/75</t>
  </si>
  <si>
    <t>大型剑（马刀）</t>
  </si>
  <si>
    <t>15/100</t>
  </si>
  <si>
    <t>中型剑（佩剑、重剑）</t>
  </si>
  <si>
    <t>25/100</t>
  </si>
  <si>
    <t>轻型剑（花剑、剑杖）</t>
  </si>
  <si>
    <t>1D3+眩晕</t>
  </si>
  <si>
    <t>——/200</t>
  </si>
  <si>
    <t>2006年</t>
  </si>
  <si>
    <t>电棍、电击枪(接触)</t>
  </si>
  <si>
    <t>15英尺</t>
  </si>
  <si>
    <t>3</t>
  </si>
  <si>
    <t>——/400</t>
  </si>
  <si>
    <t>1974年</t>
  </si>
  <si>
    <t>电击枪(远程)</t>
  </si>
  <si>
    <t>2/4</t>
  </si>
  <si>
    <t>*战斗回力镖</t>
  </si>
  <si>
    <t>1D8+2+DB</t>
  </si>
  <si>
    <t>5/10</t>
  </si>
  <si>
    <t>伐木斧</t>
  </si>
  <si>
    <t>1D6+1</t>
  </si>
  <si>
    <t>10</t>
  </si>
  <si>
    <t>1/4</t>
  </si>
  <si>
    <t>30/300</t>
  </si>
  <si>
    <t>1547年</t>
  </si>
  <si>
    <t>手
枪</t>
  </si>
  <si>
    <t>正常来说每回合只能击发一次，
括号内是连发最大数。</t>
  </si>
  <si>
    <t>没有特定指向的枪械发明时间以该口径子弹发明时间为准
有指定的枪械发明时间以服役时间为准
无法考据的发明时间填近似时间或划掉</t>
  </si>
  <si>
    <t>*遂发枪</t>
  </si>
  <si>
    <t>1D6</t>
  </si>
  <si>
    <t>1(3)</t>
  </si>
  <si>
    <t>6</t>
  </si>
  <si>
    <t>25/190</t>
  </si>
  <si>
    <t>1857年</t>
  </si>
  <si>
    <t>.22(5.6mm)小型自动手枪</t>
  </si>
  <si>
    <t>12/55</t>
  </si>
  <si>
    <t>1920年</t>
  </si>
  <si>
    <t>.25(6.35mm)短口手枪(单管)</t>
  </si>
  <si>
    <t>1D8</t>
  </si>
  <si>
    <t>15</t>
  </si>
  <si>
    <t>15/200</t>
  </si>
  <si>
    <t>1930年</t>
  </si>
  <si>
    <t>.32(7.65mm)左轮手枪</t>
  </si>
  <si>
    <t>8</t>
  </si>
  <si>
    <t>99</t>
  </si>
  <si>
    <t>20/350</t>
  </si>
  <si>
    <t>.32(7.65mm)自动手枪</t>
  </si>
  <si>
    <t>1D8+1D4</t>
  </si>
  <si>
    <t>——/425</t>
  </si>
  <si>
    <t>1934年</t>
  </si>
  <si>
    <t>.357 马格南左轮</t>
  </si>
  <si>
    <t>25/200</t>
  </si>
  <si>
    <t>1898年</t>
  </si>
  <si>
    <t>.38(9mm)左轮手枪</t>
  </si>
  <si>
    <t>30/375</t>
  </si>
  <si>
    <t>.38(9mm)自动手枪</t>
  </si>
  <si>
    <t>98</t>
  </si>
  <si>
    <t>——/500</t>
  </si>
  <si>
    <t>1990年</t>
  </si>
  <si>
    <t>如果连发则每次投掷都会承受一个惩罚骰</t>
  </si>
  <si>
    <t>贝瑞塔 M9</t>
  </si>
  <si>
    <t>17</t>
  </si>
  <si>
    <t>1983年</t>
  </si>
  <si>
    <t>9mm 格洛克 17</t>
  </si>
  <si>
    <t>75/600</t>
  </si>
  <si>
    <t>1902年</t>
  </si>
  <si>
    <t>9mm 鲁格 P08</t>
  </si>
  <si>
    <t>1920s,罕见</t>
  </si>
  <si>
    <t>30/——</t>
  </si>
  <si>
    <t>1860年</t>
  </si>
  <si>
    <t>*.41(10.4mm) 左轮手枪</t>
  </si>
  <si>
    <t>1D10+1D4+2</t>
  </si>
  <si>
    <t>1950年</t>
  </si>
  <si>
    <t>.44(11.2mm) 马格南左轮手枪</t>
  </si>
  <si>
    <t>1D10+2</t>
  </si>
  <si>
    <t>1904年</t>
  </si>
  <si>
    <t>.45(11.43mm) 左轮手枪</t>
  </si>
  <si>
    <t>7</t>
  </si>
  <si>
    <t>40/375</t>
  </si>
  <si>
    <t>.45(11.43mm) 自动手枪</t>
  </si>
  <si>
    <t>1D10+1D6+3</t>
  </si>
  <si>
    <t>94</t>
  </si>
  <si>
    <t>1982年</t>
  </si>
  <si>
    <t>IMI 沙漠之鹰</t>
  </si>
  <si>
    <t>1D10+4</t>
  </si>
  <si>
    <t>60</t>
  </si>
  <si>
    <t>25/350</t>
  </si>
  <si>
    <t>1885年</t>
  </si>
  <si>
    <t>步
枪</t>
  </si>
  <si>
    <t>这种步枪是不可连发的
通常一次只能发射一发
威力极大</t>
  </si>
  <si>
    <t>莫兰上校的气动步枪：靠压缩空气发射，不需要火药，因而比较安静。</t>
  </si>
  <si>
    <t>*.58 (14.7mm)1855 年式春田步枪</t>
  </si>
  <si>
    <t>30</t>
  </si>
  <si>
    <t>13/70</t>
  </si>
  <si>
    <t>.22 (5.6mm)栓式枪机步枪</t>
  </si>
  <si>
    <t>2D6</t>
  </si>
  <si>
    <t>19/150</t>
  </si>
  <si>
    <t>1952年</t>
  </si>
  <si>
    <t>.30 (7.62mm)杠杆式枪机步枪</t>
  </si>
  <si>
    <t>1D8+1D6+3</t>
  </si>
  <si>
    <t>80</t>
  </si>
  <si>
    <t>1/3</t>
  </si>
  <si>
    <t>20/200</t>
  </si>
  <si>
    <t>1871年</t>
  </si>
  <si>
    <t>.45 马提尼·亨利步枪</t>
  </si>
  <si>
    <t>2D6+1</t>
  </si>
  <si>
    <t>20</t>
  </si>
  <si>
    <t>88</t>
  </si>
  <si>
    <t>200</t>
  </si>
  <si>
    <t>莫兰上校的气动步枪</t>
  </si>
  <si>
    <t>2D6+4</t>
  </si>
  <si>
    <t>110</t>
  </si>
  <si>
    <t>400</t>
  </si>
  <si>
    <t>1936年</t>
  </si>
  <si>
    <t>加兰德M1、M2步枪</t>
  </si>
  <si>
    <t>90</t>
  </si>
  <si>
    <t>1(2)</t>
  </si>
  <si>
    <t>1945年</t>
  </si>
  <si>
    <t>SKS 半自动步枪(56 半)</t>
  </si>
  <si>
    <t>50/300</t>
  </si>
  <si>
    <t>1895年</t>
  </si>
  <si>
    <t>.303 (7.7mm) 李·恩菲尔德</t>
  </si>
  <si>
    <t>5</t>
  </si>
  <si>
    <t>75/175</t>
  </si>
  <si>
    <t>.30——06 (7.62mm) 栓式枪机步枪</t>
  </si>
  <si>
    <t>275</t>
  </si>
  <si>
    <t>1955年</t>
  </si>
  <si>
    <t>.30——06 (7.62mm) 半自动步枪</t>
  </si>
  <si>
    <t>2D8+4</t>
  </si>
  <si>
    <t>.444 (11.28mm) 马林步枪</t>
  </si>
  <si>
    <t>3D6+4</t>
  </si>
  <si>
    <t>1 or 2</t>
  </si>
  <si>
    <t>400/1000</t>
  </si>
  <si>
    <t>1890年</t>
  </si>
  <si>
    <t>霰
弹
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</si>
  <si>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</si>
  <si>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</si>
  <si>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</si>
  <si>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猎象枪(双管)</t>
  </si>
  <si>
    <t>2D6/1D6/1D3</t>
  </si>
  <si>
    <t>10/20/50</t>
  </si>
  <si>
    <t>35/稀有</t>
  </si>
  <si>
    <t>1914年</t>
  </si>
  <si>
    <t>20 号霰弹枪(双管)</t>
  </si>
  <si>
    <t>2D6+2/1D6+1/1D4</t>
  </si>
  <si>
    <t>40/稀有</t>
  </si>
  <si>
    <t>16 号霰弹枪(双管)</t>
  </si>
  <si>
    <t>4D6/2D6/1D6</t>
  </si>
  <si>
    <t>40/200</t>
  </si>
  <si>
    <t>12 号霰弹枪(双管)</t>
  </si>
  <si>
    <t>45/100</t>
  </si>
  <si>
    <t>1980年</t>
  </si>
  <si>
    <t>12 号霰弹枪(泵动)</t>
  </si>
  <si>
    <t>12 号霰弹枪(半自动)</t>
  </si>
  <si>
    <t>4D6/1D6</t>
  </si>
  <si>
    <t>N/A</t>
  </si>
  <si>
    <t>1790年</t>
  </si>
  <si>
    <t>12 号霰弹枪(双管,锯短)</t>
  </si>
  <si>
    <t>4D6+2/2D6+1/1D4</t>
  </si>
  <si>
    <t>稀有</t>
  </si>
  <si>
    <t>*10 号霰弹枪(双管)</t>
  </si>
  <si>
    <t>——/895</t>
  </si>
  <si>
    <t>1999年</t>
  </si>
  <si>
    <t>12 号贝里尼 M3(折叠式枪托)</t>
  </si>
  <si>
    <t>——/600</t>
  </si>
  <si>
    <t>1979年</t>
  </si>
  <si>
    <t>12 号 SPAS (折叠式枪托)</t>
  </si>
  <si>
    <t>1(2)or全自动</t>
  </si>
  <si>
    <t>1951年</t>
  </si>
  <si>
    <t>突
击
步
枪</t>
  </si>
  <si>
    <t>单发射击以[步枪]技能判定，
全自动射击以[冲锋枪]技能判定</t>
  </si>
  <si>
    <t>装填武器</t>
  </si>
  <si>
    <t>冲锋枪和机枪的价格为黑市价格
稀有或非法的武器可以在黑市入手。
购买流程是找到卖家，谈妥价钱，钱货交易，拿货走人。
交易可能会被警察干涉，卖家也可能试图打劫或杀死买家。</t>
  </si>
  <si>
    <t>AK-47 或 AKM</t>
  </si>
  <si>
    <t>——/1000</t>
  </si>
  <si>
    <t>为任何手枪，步枪或霰弹枪装填两发枪弹需要一个行动轮的时间。
用弹匣供弹的武器换弹匣需要一个行动轮的时间；
用弹链供弹的机枪重新装弹需要两个行动轮的时间。</t>
  </si>
  <si>
    <t>AK-74</t>
  </si>
  <si>
    <t>2D10+1D8+6</t>
  </si>
  <si>
    <t>250</t>
  </si>
  <si>
    <t>11</t>
  </si>
  <si>
    <t>——/3000</t>
  </si>
  <si>
    <t>1989年</t>
  </si>
  <si>
    <t>巴雷特M82</t>
  </si>
  <si>
    <t>1(2)or3连射</t>
  </si>
  <si>
    <t>——/1500</t>
  </si>
  <si>
    <t>1954年</t>
  </si>
  <si>
    <t>FN FAL</t>
  </si>
  <si>
    <t>1(2)or连射</t>
  </si>
  <si>
    <t>——/2000</t>
  </si>
  <si>
    <t>1972年</t>
  </si>
  <si>
    <t>加利尔突击步枪</t>
  </si>
  <si>
    <t>1964年</t>
  </si>
  <si>
    <t>M16A2</t>
  </si>
  <si>
    <t>1or3连射</t>
  </si>
  <si>
    <t>1994年</t>
  </si>
  <si>
    <t>M4</t>
  </si>
  <si>
    <t>——/1100</t>
  </si>
  <si>
    <t>1978年</t>
  </si>
  <si>
    <t>斯泰尔 AUG</t>
  </si>
  <si>
    <t>1or全自动</t>
  </si>
  <si>
    <t>——/2800</t>
  </si>
  <si>
    <t>1970年</t>
  </si>
  <si>
    <t>贝雷塔 M70/90</t>
  </si>
  <si>
    <t>20/30/32</t>
  </si>
  <si>
    <t>1000/20000</t>
  </si>
  <si>
    <t>1917年</t>
  </si>
  <si>
    <t>冲
锋
枪</t>
  </si>
  <si>
    <t>MP18I/MP28II</t>
  </si>
  <si>
    <t>15/30</t>
  </si>
  <si>
    <t>1966年</t>
  </si>
  <si>
    <t>MP5</t>
  </si>
  <si>
    <t>1(3)or全自动</t>
  </si>
  <si>
    <t>32</t>
  </si>
  <si>
    <t>——/750</t>
  </si>
  <si>
    <t>MAC-11</t>
  </si>
  <si>
    <t>1961年</t>
  </si>
  <si>
    <t>蝎式冲锋枪</t>
  </si>
  <si>
    <t>20/30/50</t>
  </si>
  <si>
    <t>200+/1600</t>
  </si>
  <si>
    <t>1938年</t>
  </si>
  <si>
    <t>乌兹微型冲锋枪</t>
  </si>
  <si>
    <t>全自动</t>
  </si>
  <si>
    <t>2000/14000</t>
  </si>
  <si>
    <t>1882年</t>
  </si>
  <si>
    <t>机
枪</t>
  </si>
  <si>
    <t>速射机枪：装在直升机上的加特林机枪。要不经过安装直接使用，使用者必须达到体格 2。</t>
  </si>
  <si>
    <t>*1882 年式加特林</t>
  </si>
  <si>
    <t>800/1500</t>
  </si>
  <si>
    <t>M1918 式勃朗宁自动步枪</t>
  </si>
  <si>
    <t>3000/30000</t>
  </si>
  <si>
    <t>1916年</t>
  </si>
  <si>
    <t>勃朗宁 M1917A1(7.62mm)</t>
  </si>
  <si>
    <t>30/100</t>
  </si>
  <si>
    <t>3000/50000</t>
  </si>
  <si>
    <t>布伦轻机枪</t>
  </si>
  <si>
    <t>27/97</t>
  </si>
  <si>
    <t>3000/20000</t>
  </si>
  <si>
    <t>路易斯Ⅰ型机枪</t>
  </si>
  <si>
    <t>4000</t>
  </si>
  <si>
    <t>1963年</t>
  </si>
  <si>
    <t>GE M134 式 7.62mm 速射机枪</t>
  </si>
  <si>
    <t>30/200</t>
  </si>
  <si>
    <t>FN 米尼米(5.56mm)，弹夹/弹带</t>
  </si>
  <si>
    <t>维克斯.303 机枪</t>
  </si>
  <si>
    <t>2D6+燃烧</t>
  </si>
  <si>
    <t>特
殊
武
器</t>
  </si>
  <si>
    <t>这些武器通常分三个距离
每超出一个距离便从右边降低一格伤害</t>
  </si>
  <si>
    <t>16D10</t>
  </si>
  <si>
    <t>如果威力不符合这里任何一个，以上更强的为标准</t>
  </si>
  <si>
    <t>莫洛托夫燃烧瓶</t>
  </si>
  <si>
    <t>1D10+1D3+燃烧</t>
  </si>
  <si>
    <t>15/75</t>
  </si>
  <si>
    <t>1975年</t>
  </si>
  <si>
    <t>8D10</t>
  </si>
  <si>
    <t>信号枪(信号弹枪)</t>
  </si>
  <si>
    <t>3D10/2码</t>
  </si>
  <si>
    <t>M79 40mm 榴弹发射器</t>
  </si>
  <si>
    <t>4D10/3码</t>
  </si>
  <si>
    <t>2/5</t>
  </si>
  <si>
    <t>808年</t>
  </si>
  <si>
    <t>炸药棒</t>
  </si>
  <si>
    <t>2D10/1码</t>
  </si>
  <si>
    <t>20/整盒</t>
  </si>
  <si>
    <t>1865年</t>
  </si>
  <si>
    <t>比如3D10算作4D10
下降之后为2D10</t>
  </si>
  <si>
    <t>雷管</t>
  </si>
  <si>
    <t>1D10/3码</t>
  </si>
  <si>
    <t>就地</t>
  </si>
  <si>
    <t>一次使用</t>
  </si>
  <si>
    <t>1899年</t>
  </si>
  <si>
    <t>伤害栏左侧是近距伤害，右侧是减伤距离</t>
  </si>
  <si>
    <t>爆破筒</t>
  </si>
  <si>
    <t>6D10/3码</t>
  </si>
  <si>
    <t>1956年</t>
  </si>
  <si>
    <t>塑胶炸弹(C4) 100克</t>
  </si>
  <si>
    <t>1232年</t>
  </si>
  <si>
    <t>1D4</t>
  </si>
  <si>
    <t>手榴弹</t>
  </si>
  <si>
    <t>6D10/6码</t>
  </si>
  <si>
    <t>500码</t>
  </si>
  <si>
    <t>独立装弹</t>
  </si>
  <si>
    <t>下降了三次之后再次下降，伤害归零，也就是安全区域</t>
  </si>
  <si>
    <t>81mm迫击炮</t>
  </si>
  <si>
    <t>10D10/2码</t>
  </si>
  <si>
    <t>1500/——</t>
  </si>
  <si>
    <t>1897年</t>
  </si>
  <si>
    <t>例：炸药筒和手雷：
每枚对 3 码之内的物体造成4D10 点伤害，
（超过 3 码且在）6 码之内的造成 2D10点伤害，
（超过 6 码且在）9 码之内的造成 1D10 点伤害。</t>
  </si>
  <si>
    <t>阔剑地雷：这种武器的弹道是密集的射束流，其杀伤范围为 120 度。</t>
  </si>
  <si>
    <t>75mm野战火炮</t>
  </si>
  <si>
    <t>2000码</t>
  </si>
  <si>
    <t>120mm坦克炮(稳定)</t>
  </si>
  <si>
    <t>15D10/4码</t>
  </si>
  <si>
    <t>3000码</t>
  </si>
  <si>
    <t>自动上弹</t>
  </si>
  <si>
    <t>1910年</t>
  </si>
  <si>
    <t>5英寸舰载炮(稳定)</t>
  </si>
  <si>
    <t>4D10/5码</t>
  </si>
  <si>
    <t>布置</t>
  </si>
  <si>
    <t>1403年</t>
  </si>
  <si>
    <t>反步兵地雷</t>
  </si>
  <si>
    <t>6D6/20码</t>
  </si>
  <si>
    <t>阔剑地雷</t>
  </si>
  <si>
    <t>25码</t>
  </si>
  <si>
    <t>至少10</t>
  </si>
  <si>
    <t>93</t>
  </si>
  <si>
    <t>1901年</t>
  </si>
  <si>
    <t>火焰喷射器</t>
  </si>
  <si>
    <t>8d10/1码</t>
  </si>
  <si>
    <t>150码</t>
  </si>
  <si>
    <t>M72 式单发轻型反坦克炮</t>
  </si>
  <si>
    <t>术语解释</t>
  </si>
  <si>
    <t>贯穿：表示这个武器能否够刺穿一个人。极难成功或大成功造成穿刺伤害：</t>
  </si>
  <si>
    <t>远程武器会造成惩罚骰或奖励骰的情况</t>
  </si>
  <si>
    <t>如果有穿刺：锋刃和弹头将穿透目标的身体，对脆弱的器官造成损伤或撕裂关键的肌肉组织。首先造成一次最高伤害，然后再额外骰一次伤害。</t>
  </si>
  <si>
    <t>奖励骰</t>
  </si>
  <si>
    <t>难度等级</t>
  </si>
  <si>
    <t>惩罚骰</t>
  </si>
  <si>
    <t>如果该武器不能造成穿刺:会击中这个人的要害，直接造成满点伤害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</si>
  <si>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</si>
  <si>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</si>
  <si>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</si>
  <si>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</si>
  <si>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</si>
  <si>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</si>
  <si>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</si>
  <si>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</si>
  <si>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</si>
  <si>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</si>
  <si>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</si>
  <si>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</si>
  <si>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</si>
  <si>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</si>
  <si>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</si>
  <si>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</si>
  <si>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</si>
  <si>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</si>
  <si>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</si>
  <si>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</si>
  <si>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</si>
  <si>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</si>
  <si>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</si>
  <si>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</si>
  <si>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</si>
  <si>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</si>
  <si>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</si>
  <si>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</si>
  <si>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</si>
  <si>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1D3</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</si>
  <si>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</si>
  <si>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</si>
  <si>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</si>
  <si>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</si>
  <si>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</si>
  <si>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</si>
  <si>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</si>
  <si>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</si>
  <si>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</si>
  <si>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</si>
  <si>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</si>
  <si>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</si>
  <si>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</si>
  <si>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</si>
  <si>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</si>
  <si>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</si>
  <si>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</si>
  <si>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</si>
  <si>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</si>
  <si>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</si>
  <si>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</si>
  <si>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</si>
  <si>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</si>
  <si>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</si>
  <si>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</si>
  <si>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</si>
  <si>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</si>
  <si>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</si>
  <si>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</si>
  <si>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</si>
  <si>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</si>
  <si>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</si>
  <si>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</si>
  <si>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</si>
  <si>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</si>
  <si>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</si>
  <si>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</si>
  <si>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</si>
  <si>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</si>
  <si>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</si>
  <si>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</si>
  <si>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</si>
  <si>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</si>
  <si>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</si>
  <si>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</si>
  <si>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</si>
  <si>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</si>
  <si>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</si>
  <si>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</si>
  <si>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</si>
  <si>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</si>
  <si>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</si>
  <si>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</si>
  <si>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</si>
  <si>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</si>
  <si>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</si>
  <si>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</si>
  <si>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</si>
  <si>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</si>
  <si>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r>
      <rPr>
        <b/>
        <strike/>
        <sz val="15"/>
        <rFont val="微软雅黑"/>
        <charset val="134"/>
      </rPr>
      <t xml:space="preserve"> 圈踢 </t>
    </r>
    <r>
      <rPr>
        <b/>
        <sz val="15"/>
        <rFont val="微软雅黑"/>
        <charset val="134"/>
      </rPr>
      <t xml:space="preserve">  </t>
    </r>
  </si>
  <si>
    <t>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</si>
  <si>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</si>
  <si>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</si>
  <si>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</si>
  <si>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</si>
  <si>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</si>
  <si>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</si>
  <si>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</si>
  <si>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</si>
  <si>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</si>
  <si>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</si>
  <si>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</si>
  <si>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</si>
  <si>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</si>
  <si>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</si>
  <si>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</si>
  <si>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</si>
  <si>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</si>
  <si>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</si>
  <si>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</si>
  <si>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</si>
  <si>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</si>
  <si>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</si>
  <si>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</si>
  <si>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r>
      <rPr>
        <b/>
        <sz val="18"/>
        <rFont val="微软雅黑"/>
        <charset val="134"/>
      </rPr>
      <t>建立攻击次序</t>
    </r>
    <r>
      <rPr>
        <sz val="14"/>
        <rFont val="微软雅黑"/>
        <charset val="134"/>
      </rPr>
      <t xml:space="preserve">
按照DEX降序：
最高的最先行动。
准备好的枪械+50敏捷。</t>
    </r>
  </si>
  <si>
    <r>
      <rPr>
        <b/>
        <sz val="18"/>
        <rFont val="微软雅黑"/>
        <charset val="134"/>
      </rPr>
      <t>突袭</t>
    </r>
    <r>
      <rPr>
        <sz val="14"/>
        <rFont val="微软雅黑"/>
        <charset val="134"/>
      </rPr>
      <t xml:space="preserve">
允许技能检定
目标意识到攻击了吗？
侦查、聆听、心理学</t>
    </r>
  </si>
  <si>
    <t>角色在单次受伤
中受到的伤害</t>
  </si>
  <si>
    <t>—————&gt;</t>
  </si>
  <si>
    <t>↓</t>
  </si>
  <si>
    <t>伤害低于角色
最大HP的一半</t>
  </si>
  <si>
    <t>伤害等于或高于
角色最大HP的一半</t>
  </si>
  <si>
    <t>伤害超过角色最大HP</t>
  </si>
  <si>
    <r>
      <rPr>
        <b/>
        <sz val="18"/>
        <rFont val="微软雅黑"/>
        <charset val="134"/>
      </rPr>
      <t>按DEX次序决定行动</t>
    </r>
    <r>
      <rPr>
        <sz val="14"/>
        <rFont val="微软雅黑"/>
        <charset val="134"/>
      </rPr>
      <t xml:space="preserve">
</t>
    </r>
    <r>
      <rPr>
        <sz val="12"/>
        <rFont val="微软雅黑"/>
        <charset val="134"/>
      </rPr>
      <t>a:发动攻击、逃跑、或战纪
b:防守方选择闪避反击或战技能
c:攻击方和防御方进行对抗</t>
    </r>
  </si>
  <si>
    <t>是：
使用正常DEX次序来战斗。</t>
  </si>
  <si>
    <t>否：
攻击自动成功或有奖励骰</t>
  </si>
  <si>
    <t>正常伤害
急救：恢复1点 
医学：恢复1D3点</t>
  </si>
  <si>
    <t>重伤（重伤标记）
1:倒地
2:CON检定
失败则失去意识</t>
  </si>
  <si>
    <r>
      <rPr>
        <b/>
        <sz val="18"/>
        <rFont val="微软雅黑"/>
        <charset val="134"/>
      </rPr>
      <t>如果是战技：</t>
    </r>
    <r>
      <rPr>
        <sz val="16"/>
        <rFont val="微软雅黑"/>
        <charset val="134"/>
      </rPr>
      <t xml:space="preserve">
</t>
    </r>
    <r>
      <rPr>
        <sz val="14"/>
        <rFont val="微软雅黑"/>
        <charset val="134"/>
      </rPr>
      <t>比较体格。
如果攻击方体格较小，每点差别一个惩罚骰。
如果差异在3以上无法发动战技。</t>
    </r>
  </si>
  <si>
    <r>
      <rPr>
        <b/>
        <sz val="12"/>
        <rFont val="微软雅黑"/>
        <charset val="134"/>
      </rPr>
      <t>闪避：</t>
    </r>
    <r>
      <rPr>
        <sz val="12"/>
        <rFont val="微软雅黑"/>
        <charset val="134"/>
      </rPr>
      <t xml:space="preserve">成功等级较高的一方胜利。平局防守方胜利。若双方均失败，没有伤害产生
</t>
    </r>
    <r>
      <rPr>
        <b/>
        <sz val="12"/>
        <rFont val="微软雅黑"/>
        <charset val="134"/>
      </rPr>
      <t>反击：</t>
    </r>
    <r>
      <rPr>
        <sz val="12"/>
        <rFont val="微软雅黑"/>
        <charset val="134"/>
      </rPr>
      <t xml:space="preserve">成功等级高的获胜，平局攻击方胜利。均失败没有伤害。
</t>
    </r>
    <r>
      <rPr>
        <b/>
        <sz val="12"/>
        <rFont val="微软雅黑"/>
        <charset val="134"/>
      </rPr>
      <t>战技：</t>
    </r>
    <r>
      <rPr>
        <sz val="12"/>
        <rFont val="微软雅黑"/>
        <charset val="134"/>
      </rPr>
      <t>和反击类似，但不造成伤害，应用战技效果</t>
    </r>
  </si>
  <si>
    <t>&lt;————</t>
  </si>
  <si>
    <t>HP归零后</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</si>
  <si>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</si>
  <si>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</si>
  <si>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</si>
  <si>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</si>
  <si>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</si>
  <si>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</si>
  <si>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</si>
  <si>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</si>
  <si>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</si>
  <si>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r>
      <rPr>
        <b/>
        <sz val="14"/>
        <rFont val="微软雅黑"/>
        <charset val="134"/>
      </rPr>
      <t>极难成功？</t>
    </r>
    <r>
      <rPr>
        <sz val="14"/>
        <rFont val="微软雅黑"/>
        <charset val="134"/>
      </rPr>
      <t xml:space="preserve">
（反击无效）
</t>
    </r>
    <r>
      <rPr>
        <b/>
        <sz val="14"/>
        <rFont val="微软雅黑"/>
        <charset val="134"/>
      </rPr>
      <t xml:space="preserve">
贯穿武器</t>
    </r>
    <r>
      <rPr>
        <sz val="14"/>
        <rFont val="微软雅黑"/>
        <charset val="134"/>
      </rPr>
      <t xml:space="preserve">=最大伤害+最大伤害加值+额外一次武器伤害
</t>
    </r>
    <r>
      <rPr>
        <b/>
        <sz val="14"/>
        <rFont val="微软雅黑"/>
        <charset val="134"/>
      </rPr>
      <t>非贯穿武器</t>
    </r>
    <r>
      <rPr>
        <sz val="14"/>
        <rFont val="微软雅黑"/>
        <charset val="134"/>
      </rPr>
      <t>=最大伤害+最大伤害加值</t>
    </r>
  </si>
  <si>
    <t>下一小时内
是否有人给予成功的医学？</t>
  </si>
  <si>
    <t>↗</t>
  </si>
  <si>
    <t>↓
否
↓</t>
  </si>
  <si>
    <t>↑
con检定成功
↑</t>
  </si>
  <si>
    <r>
      <rPr>
        <b/>
        <sz val="14"/>
        <rFont val="微软雅黑"/>
        <charset val="134"/>
      </rPr>
      <t>寡不敌众？</t>
    </r>
    <r>
      <rPr>
        <b/>
        <sz val="16"/>
        <rFont val="微软雅黑"/>
        <charset val="134"/>
      </rPr>
      <t xml:space="preserve">
</t>
    </r>
    <r>
      <rPr>
        <sz val="11"/>
        <rFont val="微软雅黑"/>
        <charset val="134"/>
      </rPr>
      <t>当角色在一轮中进行过闪避或反击后，对他们的所有(格斗)后续攻击都有一个奖励骰。
一轮多动的生物不受这个限制
（他们可以反击/闪避等于他们攻击的次数，然后才应用寡不敌众）</t>
    </r>
  </si>
  <si>
    <t>con检定失败
↑</t>
  </si>
  <si>
    <t>↓
是
↓</t>
  </si>
  <si>
    <r>
      <rPr>
        <sz val="16"/>
        <rFont val="微软雅黑"/>
        <charset val="134"/>
      </rPr>
      <t>↑</t>
    </r>
    <r>
      <rPr>
        <sz val="11"/>
        <rFont val="微软雅黑"/>
        <charset val="134"/>
      </rPr>
      <t xml:space="preserve">
</t>
    </r>
    <r>
      <rPr>
        <sz val="8"/>
        <rFont val="微软雅黑"/>
        <charset val="134"/>
      </rPr>
      <t>con检定成功</t>
    </r>
  </si>
  <si>
    <t>此后每轮结束时都必须进行con检定
失败则死亡</t>
  </si>
  <si>
    <t>每小时结束时
进行con检定</t>
  </si>
  <si>
    <r>
      <rPr>
        <b/>
        <sz val="14"/>
        <rFont val="微软雅黑"/>
        <charset val="134"/>
      </rPr>
      <t>重伤恢复</t>
    </r>
    <r>
      <rPr>
        <sz val="11"/>
        <rFont val="微软雅黑"/>
        <charset val="134"/>
      </rPr>
      <t xml:space="preserve">
每周结束时进行一次con检定
失败：无恢复
成功：恢复1D3
极难成功：恢复2D3并清除重伤标记
优良医疗可获得奖励骰(医学)
静养和环境良好可获得奖励骰
环境恶劣获得惩罚骰
</t>
    </r>
  </si>
  <si>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</si>
  <si>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</si>
  <si>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</si>
  <si>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</si>
  <si>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</si>
  <si>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</si>
  <si>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</si>
  <si>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</si>
  <si>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</si>
  <si>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</si>
  <si>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r>
      <rPr>
        <b/>
        <sz val="11"/>
        <color rgb="FFFFFFFF"/>
        <rFont val="宋体"/>
        <charset val="134"/>
      </rPr>
      <t xml:space="preserve">移动力
</t>
    </r>
    <r>
      <rPr>
        <b/>
        <sz val="8"/>
        <color rgb="FFFFFFFF"/>
        <rFont val="宋体"/>
        <charset val="134"/>
      </rPr>
      <t>MOV</t>
    </r>
  </si>
  <si>
    <r>
      <rPr>
        <b/>
        <sz val="11"/>
        <color rgb="FFFFFFFF"/>
        <rFont val="宋体"/>
        <charset val="134"/>
      </rPr>
      <t xml:space="preserve">体格
</t>
    </r>
    <r>
      <rPr>
        <b/>
        <sz val="8"/>
        <color rgb="FFFFFFFF"/>
        <rFont val="宋体"/>
        <charset val="134"/>
      </rPr>
      <t>Build</t>
    </r>
  </si>
  <si>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</si>
  <si>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</si>
  <si>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</si>
  <si>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</si>
  <si>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</si>
  <si>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</si>
  <si>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</si>
  <si>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</si>
  <si>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</si>
  <si>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</si>
  <si>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</si>
  <si>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</si>
  <si>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</si>
  <si>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</si>
  <si>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</si>
  <si>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</si>
  <si>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</si>
  <si>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</si>
  <si>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</si>
  <si>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</si>
  <si>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</si>
  <si>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</si>
  <si>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</si>
  <si>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</si>
  <si>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</si>
  <si>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</si>
  <si>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</si>
  <si>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</si>
  <si>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</si>
  <si>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</si>
  <si>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</si>
  <si>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</si>
  <si>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</si>
  <si>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</si>
  <si>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</si>
  <si>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</si>
  <si>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</si>
  <si>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</si>
  <si>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</si>
  <si>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</si>
  <si>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</si>
  <si>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</si>
  <si>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</si>
  <si>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</si>
  <si>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</si>
  <si>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</si>
  <si>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</si>
  <si>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</si>
  <si>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</si>
  <si>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</si>
  <si>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</si>
  <si>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</si>
  <si>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</si>
  <si>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</si>
  <si>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</si>
  <si>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</si>
  <si>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</si>
  <si>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</si>
  <si>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</si>
  <si>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</si>
  <si>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</si>
  <si>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</si>
  <si>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</si>
  <si>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</si>
  <si>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</si>
  <si>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</si>
  <si>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</si>
  <si>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</si>
  <si>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</si>
  <si>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</si>
  <si>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</si>
  <si>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</si>
  <si>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</si>
  <si>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</si>
  <si>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</si>
  <si>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</si>
  <si>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</si>
  <si>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</si>
  <si>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</si>
  <si>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</si>
  <si>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</si>
  <si>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</si>
  <si>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</si>
  <si>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</si>
  <si>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</si>
  <si>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</si>
  <si>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</si>
  <si>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</si>
  <si>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</si>
  <si>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</si>
  <si>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</si>
  <si>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</si>
  <si>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</si>
  <si>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</si>
  <si>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</si>
  <si>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</si>
  <si>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</si>
  <si>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</si>
  <si>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</si>
  <si>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</si>
  <si>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</si>
  <si>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</si>
  <si>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</si>
  <si>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</si>
  <si>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</si>
  <si>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</si>
  <si>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</si>
  <si>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</si>
  <si>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</si>
  <si>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</si>
  <si>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</si>
  <si>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</si>
  <si>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</si>
  <si>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</si>
  <si>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</si>
  <si>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</si>
  <si>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</si>
  <si>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</si>
  <si>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</si>
  <si>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</si>
  <si>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</si>
  <si>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</si>
  <si>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</si>
  <si>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</si>
  <si>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</si>
  <si>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</si>
  <si>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</si>
  <si>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</si>
  <si>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</si>
  <si>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</si>
  <si>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</si>
  <si>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</si>
  <si>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</si>
  <si>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</si>
  <si>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</si>
  <si>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</si>
  <si>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</si>
  <si>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</si>
  <si>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</si>
  <si>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</si>
  <si>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</si>
  <si>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</si>
  <si>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</si>
  <si>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</si>
  <si>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</si>
  <si>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</si>
  <si>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</si>
  <si>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</si>
  <si>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</si>
  <si>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</si>
  <si>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</si>
  <si>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</si>
  <si>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</si>
  <si>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</si>
  <si>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</si>
  <si>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</si>
  <si>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</si>
  <si>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</si>
  <si>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</si>
  <si>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</si>
  <si>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</si>
  <si>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</si>
  <si>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</si>
  <si>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</si>
  <si>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</si>
  <si>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</si>
  <si>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</si>
  <si>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</si>
  <si>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</si>
  <si>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</si>
  <si>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</si>
  <si>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</si>
  <si>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</si>
  <si>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</si>
  <si>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中世纪纪全防护头盔</t>
  </si>
  <si>
    <t>中世纪纪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</si>
  <si>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</si>
  <si>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</si>
  <si>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</si>
  <si>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</si>
  <si>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</si>
  <si>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</si>
  <si>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</si>
  <si>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</si>
  <si>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</si>
  <si>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</si>
  <si>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</si>
  <si>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</si>
  <si>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</si>
  <si>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</si>
  <si>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</si>
  <si>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</si>
  <si>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</si>
  <si>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</si>
  <si>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</si>
  <si>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</si>
  <si>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</si>
  <si>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</si>
  <si>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</si>
  <si>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</si>
  <si>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</si>
  <si>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</si>
  <si>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</si>
  <si>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</si>
  <si>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</si>
  <si>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</si>
  <si>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</si>
  <si>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</si>
  <si>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</si>
  <si>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</si>
  <si>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</si>
  <si>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</si>
  <si>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</si>
  <si>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</si>
  <si>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</si>
  <si>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</si>
  <si>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</si>
  <si>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</si>
  <si>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</si>
  <si>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</si>
  <si>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</si>
  <si>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</si>
  <si>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</si>
  <si>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</si>
  <si>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</si>
  <si>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</si>
  <si>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</si>
  <si>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</si>
  <si>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</si>
  <si>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</si>
  <si>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</si>
  <si>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</si>
  <si>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</si>
  <si>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</si>
  <si>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</si>
  <si>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</si>
  <si>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防化服</t>
  </si>
  <si>
    <t>耐毒性 氧气瓶</t>
  </si>
  <si>
    <t>海上移动钻井平台</t>
  </si>
  <si>
    <t>重型机械操作</t>
  </si>
  <si>
    <t>50左右</t>
  </si>
  <si>
    <t>≤5</t>
  </si>
  <si>
    <t>工作手套</t>
  </si>
  <si>
    <t>拥有五指型手掌的生物</t>
  </si>
  <si>
    <t>0.1/3</t>
  </si>
  <si>
    <t>手脚四肢</t>
  </si>
  <si>
    <t>地铁</t>
  </si>
  <si>
    <t>固定路线载具</t>
  </si>
  <si>
    <t>防刺手套</t>
  </si>
  <si>
    <t>有轨电车</t>
  </si>
  <si>
    <t>冰球手套</t>
  </si>
  <si>
    <t xml:space="preserve">空中轨道列车 </t>
  </si>
  <si>
    <t>MOV与速度对照值</t>
  </si>
  <si>
    <t>军用特种手套</t>
  </si>
  <si>
    <t>观光缆车</t>
  </si>
  <si>
    <t>2或4</t>
  </si>
  <si>
    <t>电焊手套</t>
  </si>
  <si>
    <t>高速铁路</t>
  </si>
  <si>
    <t>MPH</t>
  </si>
  <si>
    <t>铁手甲</t>
  </si>
  <si>
    <t>磁悬浮列车</t>
  </si>
  <si>
    <t>16</t>
  </si>
  <si>
    <t>雨靴</t>
  </si>
  <si>
    <t>拥有站立功能的双腿的生物</t>
  </si>
  <si>
    <t>0.5/10</t>
  </si>
  <si>
    <t>轨道公交车</t>
  </si>
  <si>
    <t>13</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</si>
  <si>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</si>
  <si>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</si>
  <si>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</si>
  <si>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</si>
  <si>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</si>
  <si>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</si>
  <si>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</si>
  <si>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</si>
  <si>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</si>
  <si>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防弹钢盾</t>
  </si>
  <si>
    <t>MPH：英里每小时</t>
  </si>
  <si>
    <t>格斗盾</t>
  </si>
  <si>
    <t>拳前</t>
  </si>
  <si>
    <t>人类、有手的生物</t>
  </si>
  <si>
    <t>术语解释/规则（凡例）</t>
  </si>
  <si>
    <t>圆木盾</t>
  </si>
  <si>
    <t>剑柄与剑身间相隔的突出部分，欧洲剑通常拥有剑格，通常来说都是用来格挡攻击的，也有用于装饰的。
虽然不是盾但是和盾的作用类似所以归在盾类型内。</t>
  </si>
  <si>
    <r>
      <rPr>
        <b/>
        <sz val="11"/>
        <rFont val="微软雅黑"/>
        <charset val="134"/>
      </rPr>
      <t>MOV（移动速度）：</t>
    </r>
    <r>
      <rPr>
        <sz val="11"/>
        <rFont val="微软雅黑"/>
        <charset val="134"/>
      </rPr>
      <t>在追逐中载具的速度和可操作性（maneuverability）的衡量等级。这些等级是为了现代载具
设定的，1920s 的载具需要减少大约 20%（尽管在 1920s 有能够超过 100MPH 的车）。</t>
    </r>
  </si>
  <si>
    <t>筝形盾</t>
  </si>
  <si>
    <t>圆铁盾</t>
  </si>
  <si>
    <t>剑格、护手</t>
  </si>
  <si>
    <r>
      <rPr>
        <b/>
        <sz val="11"/>
        <rFont val="微软雅黑"/>
        <charset val="134"/>
      </rPr>
      <t>Build（体格）：</t>
    </r>
    <r>
      <rPr>
        <sz val="11"/>
        <rFont val="微软雅黑"/>
        <charset val="134"/>
      </rPr>
      <t>对于载具的力量和尺寸的衡量等级。当降低到 0 时，载具就会无法运转。每满 10 点伤害降低载具
1 点体格（小数点后舍去）；任何 10 以下的伤害会被无视。</t>
    </r>
    <r>
      <rPr>
        <i/>
        <sz val="8"/>
        <rFont val="微软雅黑"/>
        <charset val="134"/>
      </rPr>
      <t>（或许也可以用于防具的护甲值）</t>
    </r>
  </si>
  <si>
    <r>
      <rPr>
        <b/>
        <sz val="9"/>
        <rFont val="微软雅黑"/>
        <charset val="134"/>
      </rPr>
      <t>如果载具的体格降低到开始的一半</t>
    </r>
    <r>
      <rPr>
        <sz val="9"/>
        <rFont val="微软雅黑"/>
        <charset val="134"/>
      </rPr>
      <t>（小数点后舍去）或更低，它就受到损伤。所有的汽车驾驶技能（或其他合适的技能）都要应用一个惩罚骰。</t>
    </r>
  </si>
  <si>
    <r>
      <rPr>
        <b/>
        <sz val="10"/>
        <rFont val="微软雅黑"/>
        <charset val="134"/>
      </rPr>
      <t>如果在一次事故中载具承受了等同于它所有体格的伤害（小数点后舍去）</t>
    </r>
    <r>
      <rPr>
        <sz val="10"/>
        <rFont val="微软雅黑"/>
        <charset val="134"/>
      </rPr>
      <t>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r>
  </si>
  <si>
    <r>
      <rPr>
        <b/>
        <sz val="10"/>
        <rFont val="微软雅黑"/>
        <charset val="134"/>
      </rPr>
      <t>如果载具的体格累积的受到损伤</t>
    </r>
    <r>
      <rPr>
        <sz val="10"/>
        <rFont val="微软雅黑"/>
        <charset val="134"/>
      </rPr>
      <t>（例如：比载具初始体格值低的较小值（in increments of less than the vehicle’s starting build value））减到了 0，
它便无法驾驶、慢慢停下来。根据情况（或许是幸运骰）这可能会导致异常交通事故，对驾驶员和每个乘客造成 1d10 损伤。</t>
    </r>
  </si>
  <si>
    <r>
      <rPr>
        <b/>
        <sz val="10"/>
        <rFont val="微软雅黑"/>
        <charset val="134"/>
      </rPr>
      <t>Armor for people（乘客护甲）：</t>
    </r>
    <r>
      <rPr>
        <sz val="10"/>
        <rFont val="微软雅黑"/>
        <charset val="134"/>
      </rPr>
      <t>这个护甲等级是为了乘客和驾驶员提供的，表明载具提供的对外界攻击的护甲值</t>
    </r>
  </si>
  <si>
    <r>
      <rPr>
        <b/>
        <sz val="11"/>
        <rFont val="微软雅黑"/>
        <charset val="134"/>
      </rPr>
      <t>护甲 ：</t>
    </r>
    <r>
      <rPr>
        <sz val="11"/>
        <rFont val="微软雅黑"/>
        <charset val="134"/>
      </rPr>
      <t>护甲可以降低角色受到的伤害，从伤害中减去护甲数值。</t>
    </r>
  </si>
  <si>
    <r>
      <rPr>
        <b/>
        <sz val="11"/>
        <rFont val="微软雅黑"/>
        <charset val="134"/>
      </rPr>
      <t xml:space="preserve"> 躯干：</t>
    </r>
    <r>
      <rPr>
        <sz val="11"/>
        <rFont val="微软雅黑"/>
        <charset val="134"/>
      </rPr>
      <t>是指大腿以上，锁骨以下以内的身体部位</t>
    </r>
  </si>
  <si>
    <r>
      <rPr>
        <b/>
        <sz val="10"/>
        <rFont val="微软雅黑"/>
        <charset val="134"/>
      </rPr>
      <t>Passengers and crew（乘客和工作人员）：</t>
    </r>
    <r>
      <rPr>
        <sz val="10"/>
        <rFont val="微软雅黑"/>
        <charset val="134"/>
      </rPr>
      <t>可以住宿的在在居上的人数。</t>
    </r>
  </si>
  <si>
    <r>
      <rPr>
        <b/>
        <sz val="11"/>
        <rFont val="微软雅黑"/>
        <charset val="134"/>
      </rPr>
      <t>防利器穿刺：</t>
    </r>
    <r>
      <rPr>
        <sz val="11"/>
        <rFont val="微软雅黑"/>
        <charset val="134"/>
      </rPr>
      <t>指的是带有利刃的冷兵器无法直接穿透该物体伤害到本体，并不是代表冷兵器不可破坏该物体</t>
    </r>
  </si>
  <si>
    <r>
      <rPr>
        <b/>
        <sz val="11"/>
        <rFont val="微软雅黑"/>
        <charset val="134"/>
      </rPr>
      <t>网状：</t>
    </r>
    <r>
      <rPr>
        <sz val="11"/>
        <rFont val="微软雅黑"/>
        <charset val="134"/>
      </rPr>
      <t>这种物品都有较大的空隙，最小足以将手指伸出去但头不能伸出去。</t>
    </r>
  </si>
  <si>
    <r>
      <rPr>
        <b/>
        <sz val="10"/>
        <rFont val="微软雅黑"/>
        <charset val="134"/>
      </rPr>
      <t>√：</t>
    </r>
    <r>
      <rPr>
        <sz val="10"/>
        <rFont val="微软雅黑"/>
        <charset val="134"/>
      </rPr>
      <t>表示肯定</t>
    </r>
    <r>
      <rPr>
        <b/>
        <sz val="10"/>
        <rFont val="微软雅黑"/>
        <charset val="134"/>
      </rPr>
      <t xml:space="preserve"> ×：</t>
    </r>
    <r>
      <rPr>
        <sz val="10"/>
        <rFont val="微软雅黑"/>
        <charset val="134"/>
      </rPr>
      <t>表示否定</t>
    </r>
    <r>
      <rPr>
        <b/>
        <sz val="10"/>
        <rFont val="微软雅黑"/>
        <charset val="134"/>
      </rPr>
      <t xml:space="preserve"> ?：</t>
    </r>
    <r>
      <rPr>
        <sz val="10"/>
        <rFont val="微软雅黑"/>
        <charset val="134"/>
      </rPr>
      <t>表示该物品在这方面的数据完全未知，或因情况有异</t>
    </r>
  </si>
  <si>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</si>
  <si>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</si>
  <si>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</si>
  <si>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</si>
  <si>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</si>
  <si>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</si>
  <si>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</si>
  <si>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</si>
  <si>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</si>
  <si>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</si>
  <si>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</si>
  <si>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</si>
  <si>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</si>
  <si>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</si>
  <si>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</si>
  <si>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</si>
  <si>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</si>
  <si>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</si>
  <si>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一个地方一时安全不代表一世纪安全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</si>
  <si>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</si>
  <si>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</si>
  <si>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</si>
  <si>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</si>
  <si>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</si>
  <si>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</si>
  <si>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</si>
  <si>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</si>
  <si>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</si>
  <si>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</si>
  <si>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</si>
  <si>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</si>
  <si>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加速前，KP应该骰骰子决定调查员能看见多远的距离，这是判断加速是否安全最基本的办法。 具体骰子见左下角。</t>
  </si>
  <si>
    <t>当调查员要求了突发事件之后，直到kp要求突发事件之前都不能再次要求，反之亦然。
当追逐轮持续时间过长kp可以提升突发时间的难度。</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</si>
  <si>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</si>
  <si>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</si>
  <si>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</si>
  <si>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</si>
  <si>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</si>
  <si>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</si>
  <si>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</si>
  <si>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</si>
  <si>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</si>
  <si>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</si>
  <si>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</si>
  <si>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</si>
  <si>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</si>
  <si>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</si>
  <si>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</si>
  <si>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</si>
  <si>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</si>
  <si>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</si>
  <si>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</si>
  <si>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</si>
  <si>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</si>
  <si>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</si>
  <si>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</si>
  <si>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</si>
  <si>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</si>
  <si>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</si>
  <si>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</si>
  <si>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</si>
  <si>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</si>
  <si>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</si>
  <si>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</si>
  <si>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charset val="134"/>
      </rPr>
      <t>失忆：</t>
    </r>
    <r>
      <rPr>
        <sz val="12"/>
        <color rgb="FF000000"/>
        <rFont val="微软雅黑"/>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</si>
  <si>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charset val="134"/>
      </rPr>
      <t>失忆：</t>
    </r>
    <r>
      <rPr>
        <sz val="12"/>
        <color rgb="FF000000"/>
        <rFont val="微软雅黑"/>
        <charset val="134"/>
      </rPr>
      <t>回过神来，调查员们发现自己身处一个陌生的地方，
并忘记了自己是谁。记忆会随时间恢复。</t>
    </r>
  </si>
  <si>
    <r>
      <rPr>
        <b/>
        <sz val="12"/>
        <color rgb="FF000000"/>
        <rFont val="微软雅黑"/>
        <charset val="134"/>
      </rPr>
      <t>假性残疾：</t>
    </r>
    <r>
      <rPr>
        <sz val="12"/>
        <color rgb="FF000000"/>
        <rFont val="微软雅黑"/>
        <charset val="134"/>
      </rPr>
      <t>调查员陷入了心理性的失明，
失聪以及躯体缺失感中，持续 1D10 轮。</t>
    </r>
  </si>
  <si>
    <r>
      <rPr>
        <b/>
        <sz val="12"/>
        <color rgb="FF000000"/>
        <rFont val="微软雅黑"/>
        <charset val="134"/>
      </rPr>
      <t>被窃：</t>
    </r>
    <r>
      <rPr>
        <sz val="12"/>
        <color rgb="FF000000"/>
        <rFont val="微软雅黑"/>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</si>
  <si>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charset val="134"/>
      </rPr>
      <t>暴力倾向：</t>
    </r>
    <r>
      <rPr>
        <sz val="12"/>
        <color rgb="FF000000"/>
        <rFont val="微软雅黑"/>
        <charset val="134"/>
      </rPr>
      <t>调查员陷入了六亲不认的暴力行为中，
对周围的敌人与友方进行着无差别的攻击，持续 1D10 轮。</t>
    </r>
  </si>
  <si>
    <r>
      <rPr>
        <b/>
        <sz val="12"/>
        <color rgb="FF000000"/>
        <rFont val="微软雅黑"/>
        <charset val="134"/>
      </rPr>
      <t>遍体鳞伤：</t>
    </r>
    <r>
      <rPr>
        <sz val="12"/>
        <color rgb="FF000000"/>
        <rFont val="微软雅黑"/>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</si>
  <si>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charset val="134"/>
      </rPr>
      <t>偏执：</t>
    </r>
    <r>
      <rPr>
        <sz val="12"/>
        <color rgb="FF000000"/>
        <rFont val="微软雅黑"/>
        <charset val="134"/>
      </rPr>
      <t>调查员陷入了严重的偏执妄想之中，持续１Ｄ１０轮。有人在
暗中窥视着他们，同伴中有人背叛了他们，没有人可以信任，万事皆虚。</t>
    </r>
  </si>
  <si>
    <r>
      <rPr>
        <b/>
        <sz val="12"/>
        <color rgb="FF000000"/>
        <rFont val="微软雅黑"/>
        <charset val="134"/>
      </rPr>
      <t>暴力倾向：</t>
    </r>
    <r>
      <rPr>
        <sz val="12"/>
        <color rgb="FF000000"/>
        <rFont val="微软雅黑"/>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</si>
  <si>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charset val="134"/>
      </rPr>
      <t>人际依赖：</t>
    </r>
    <r>
      <rPr>
        <sz val="12"/>
        <color rgb="FF000000"/>
        <rFont val="微软雅黑"/>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</si>
  <si>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charset val="134"/>
      </rPr>
      <t>极端信念：</t>
    </r>
    <r>
      <rPr>
        <sz val="12"/>
        <color rgb="FF000000"/>
        <rFont val="微软雅黑"/>
        <charset val="134"/>
      </rPr>
      <t>查看调查员背景中的思想信念，调查员会采取极端和疯狂的表现手段展示他们的思想信念之一。比如一个信教者会在地铁上高声布道。</t>
    </r>
  </si>
  <si>
    <r>
      <rPr>
        <b/>
        <sz val="12"/>
        <color rgb="FF000000"/>
        <rFont val="微软雅黑"/>
        <charset val="134"/>
      </rPr>
      <t>昏厥：</t>
    </r>
    <r>
      <rPr>
        <sz val="12"/>
        <color rgb="FF000000"/>
        <rFont val="微软雅黑"/>
        <charset val="134"/>
      </rPr>
      <t>调查员当场昏倒，并需要 1D10 轮才能苏醒。</t>
    </r>
  </si>
  <si>
    <r>
      <rPr>
        <b/>
        <sz val="12"/>
        <color rgb="FF000000"/>
        <rFont val="微软雅黑"/>
        <charset val="134"/>
      </rPr>
      <t>重要之人：</t>
    </r>
    <r>
      <rPr>
        <sz val="12"/>
        <color rgb="FF000000"/>
        <rFont val="微软雅黑"/>
        <charset val="134"/>
      </rPr>
      <t>考虑调查员背景中的重要之人，及其重要的原因。在 1D10 小时或更久的时间中，
调查员将不顾一切地接近那个人，并为他们之间的关系做出行动。</t>
    </r>
  </si>
  <si>
    <r>
      <rPr>
        <b/>
        <sz val="12"/>
        <color rgb="FF000000"/>
        <rFont val="微软雅黑"/>
        <charset val="134"/>
      </rPr>
      <t>逃避行为：</t>
    </r>
    <r>
      <rPr>
        <sz val="12"/>
        <color rgb="FF000000"/>
        <rFont val="微软雅黑"/>
        <charset val="134"/>
      </rPr>
      <t>调查员会用任何的手段试图逃离现在所处的位置，即使这意味着开走
唯一一辆交通工具并将其它人抛诸脑后，调查员会试图逃离 1D10轮。</t>
    </r>
  </si>
  <si>
    <r>
      <rPr>
        <b/>
        <sz val="12"/>
        <color rgb="FF000000"/>
        <rFont val="微软雅黑"/>
        <charset val="134"/>
      </rPr>
      <t>被收容：</t>
    </r>
    <r>
      <rPr>
        <sz val="12"/>
        <color rgb="FF000000"/>
        <rFont val="微软雅黑"/>
        <charset val="134"/>
      </rPr>
      <t>调查员在精神病院病房或警察局牢房中回过神来，
他们可能会慢慢回想起导致自己被关在这里的事情。</t>
    </r>
  </si>
  <si>
    <r>
      <rPr>
        <b/>
        <sz val="12"/>
        <color rgb="FF000000"/>
        <rFont val="微软雅黑"/>
        <charset val="134"/>
      </rPr>
      <t>竭嘶底里：</t>
    </r>
    <r>
      <rPr>
        <sz val="12"/>
        <color rgb="FF000000"/>
        <rFont val="微软雅黑"/>
        <charset val="134"/>
      </rPr>
      <t>调查员表现出大笑，哭泣，嘶吼，害怕等的极端情绪表现，持续 1D10 轮。</t>
    </r>
  </si>
  <si>
    <r>
      <rPr>
        <b/>
        <sz val="12"/>
        <color rgb="FF000000"/>
        <rFont val="微软雅黑"/>
        <charset val="134"/>
      </rPr>
      <t>逃避行为：</t>
    </r>
    <r>
      <rPr>
        <sz val="12"/>
        <color rgb="FF000000"/>
        <rFont val="微软雅黑"/>
        <charset val="134"/>
      </rPr>
      <t>调查员恢复清醒时发现自己在很远的地方，
也许迷失在荒郊野岭，或是在驶向远方的列车或长途汽车上。</t>
    </r>
  </si>
  <si>
    <r>
      <rPr>
        <b/>
        <sz val="12"/>
        <color rgb="FF000000"/>
        <rFont val="微软雅黑"/>
        <charset val="134"/>
      </rPr>
      <t>恐惧：</t>
    </r>
    <r>
      <rPr>
        <sz val="12"/>
        <color rgb="FF000000"/>
        <rFont val="微软雅黑"/>
        <charset val="134"/>
      </rPr>
      <t>调查员通过一次 D100 或者由守秘人选择，来从恐惧症状表中选择一个恐惧源，
就算这一恐惧的事物是并不存在的，调查员的症状会持续1D10 轮。</t>
    </r>
  </si>
  <si>
    <r>
      <rPr>
        <b/>
        <sz val="12"/>
        <color rgb="FF000000"/>
        <rFont val="微软雅黑"/>
        <charset val="134"/>
      </rPr>
      <t>恐惧：</t>
    </r>
    <r>
      <rPr>
        <sz val="12"/>
        <color rgb="FF000000"/>
        <rFont val="微软雅黑"/>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</si>
  <si>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charset val="134"/>
      </rPr>
      <t>躁狂：</t>
    </r>
    <r>
      <rPr>
        <sz val="12"/>
        <color rgb="FF000000"/>
        <rFont val="微软雅黑"/>
        <charset val="134"/>
      </rPr>
      <t>调查员通过一次 D100 或者由守秘人选择，来从躁狂症状表中选择一个躁狂的诱因，
这个症状将会持续 1D10 轮。</t>
    </r>
  </si>
  <si>
    <r>
      <rPr>
        <b/>
        <sz val="11"/>
        <color rgb="FF000000"/>
        <rFont val="微软雅黑"/>
        <charset val="134"/>
      </rPr>
      <t>狂躁：</t>
    </r>
    <r>
      <rPr>
        <sz val="11"/>
        <color rgb="FF000000"/>
        <rFont val="微软雅黑"/>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</si>
  <si>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</si>
  <si>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</si>
  <si>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</si>
  <si>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</si>
  <si>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</si>
  <si>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charset val="134"/>
      </rPr>
      <t>遇到了多数的神话生物时，
KP可以要求玩家对每一个神话生物单独各自进行理智损失检定，
并对其中</t>
    </r>
    <r>
      <rPr>
        <b/>
        <sz val="14"/>
        <color rgb="FF000000"/>
        <rFont val="微软雅黑"/>
        <charset val="134"/>
      </rPr>
      <t>损失量最高的</t>
    </r>
    <r>
      <rPr>
        <sz val="14"/>
        <color rgb="FF000000"/>
        <rFont val="微软雅黑"/>
        <charset val="134"/>
      </rPr>
      <t>那</t>
    </r>
    <r>
      <rPr>
        <b/>
        <sz val="14"/>
        <color rgb="FF000000"/>
        <rFont val="微软雅黑"/>
        <charset val="134"/>
      </rPr>
      <t>一次</t>
    </r>
    <r>
      <rPr>
        <sz val="14"/>
        <color rgb="FF000000"/>
        <rFont val="微软雅黑"/>
        <charset val="134"/>
      </rPr>
      <t xml:space="preserve">作为损失结果。
</t>
    </r>
    <r>
      <rPr>
        <i/>
        <sz val="9"/>
        <color rgb="FF000000"/>
        <rFont val="微软雅黑"/>
        <charset val="134"/>
      </rPr>
      <t>这在调查员遇到多个神话生物的时候非常实用。</t>
    </r>
    <r>
      <rPr>
        <sz val="14"/>
        <color rgb="FF000000"/>
        <rFont val="微软雅黑"/>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</si>
  <si>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</si>
  <si>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</si>
  <si>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</si>
  <si>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charset val="134"/>
      </rPr>
      <t>无论对现实怎么想          从这一刻起调查员</t>
    </r>
    <r>
      <rPr>
        <b/>
        <sz val="12"/>
        <color rgb="FF000000"/>
        <rFont val="微软雅黑"/>
        <charset val="134"/>
      </rPr>
      <t>所有的理智损失都会减半</t>
    </r>
    <r>
      <rPr>
        <sz val="12"/>
        <color rgb="FF000000"/>
        <rFont val="微软雅黑"/>
        <charset val="134"/>
      </rPr>
      <t>。
                                这种转变将会是</t>
    </r>
    <r>
      <rPr>
        <b/>
        <sz val="12"/>
        <color rgb="FF000000"/>
        <rFont val="微软雅黑"/>
        <charset val="134"/>
      </rPr>
      <t>永久性</t>
    </r>
    <r>
      <rPr>
        <sz val="12"/>
        <color rgb="FF000000"/>
        <rFont val="微软雅黑"/>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</si>
  <si>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</si>
  <si>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</si>
  <si>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</si>
  <si>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</si>
  <si>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</si>
  <si>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</si>
  <si>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charset val="134"/>
      </rPr>
      <t>任何理智损失都会导致调查员再次陷入疯狂发作
调查员很容易</t>
    </r>
    <r>
      <rPr>
        <b/>
        <sz val="11"/>
        <color rgb="FF000000"/>
        <rFont val="微软雅黑"/>
        <charset val="134"/>
      </rPr>
      <t>产生幻觉</t>
    </r>
  </si>
  <si>
    <t>从疯狂中恢复</t>
  </si>
  <si>
    <r>
      <rPr>
        <b/>
        <sz val="11"/>
        <color rgb="FF000000"/>
        <rFont val="微软雅黑"/>
        <charset val="134"/>
      </rPr>
      <t>从临时性疯狂中恢复：</t>
    </r>
    <r>
      <rPr>
        <sz val="11"/>
        <color rgb="FF000000"/>
        <rFont val="微软雅黑"/>
        <charset val="134"/>
      </rPr>
      <t>1D10 小时，或经过良好的休息之后。</t>
    </r>
  </si>
  <si>
    <r>
      <rPr>
        <b/>
        <sz val="11"/>
        <color rgb="FF000000"/>
        <rFont val="微软雅黑"/>
        <charset val="134"/>
      </rPr>
      <t>从不定性疯狂中恢复：</t>
    </r>
    <r>
      <rPr>
        <sz val="11"/>
        <color rgb="FF000000"/>
        <rFont val="微软雅黑"/>
        <charset val="134"/>
      </rPr>
      <t>每月治疗结束时的检定通过后；
守秘人也可以允许在下一个幕间成长时自动恢复。</t>
    </r>
  </si>
  <si>
    <t>疯狂的
副作用</t>
  </si>
  <si>
    <t>恐惧症：潜在疯狂中，必须战斗或逃跑，否则技能检定承受1个惩罚骰。</t>
  </si>
  <si>
    <t>狂躁症：潜在疯狂中，必须沉浸于狂躁症中，否则技能检定承受1个惩罚骰。</t>
  </si>
  <si>
    <r>
      <rPr>
        <b/>
        <sz val="11"/>
        <color rgb="FF000000"/>
        <rFont val="微软雅黑"/>
        <charset val="134"/>
      </rPr>
      <t xml:space="preserve">私人/家庭护理治疗(每月投 1D100)： </t>
    </r>
    <r>
      <rPr>
        <sz val="11"/>
        <color rgb="FF000000"/>
        <rFont val="微软雅黑"/>
        <charset val="134"/>
      </rPr>
      <t xml:space="preserve">
01-95：成功(或小于精神分析技能)；回复 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</si>
  <si>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</si>
  <si>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</si>
  <si>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charset val="134"/>
      </rPr>
      <t xml:space="preserve">收容机构治疗(每月投 1D100)： </t>
    </r>
    <r>
      <rPr>
        <sz val="11"/>
        <color rgb="FF000000"/>
        <rFont val="微软雅黑"/>
        <charset val="134"/>
      </rPr>
      <t xml:space="preserve">
01-50：成功(或小于精神分析技能)；回复 1D3 点理智，进行一个理智检定，若成功则脱离疯狂
51-95：没有疗效。
96-00：失败；失去 1D6 点理智。</t>
    </r>
  </si>
  <si>
    <t>2023.1.15更新 版本号：23.1.1</t>
  </si>
  <si>
    <t>版本号解释：年份 . 月份 . 本月第x次更新 . 该次更新下的小更新</t>
  </si>
  <si>
    <t>2020年的版本都在这里啦</t>
  </si>
  <si>
    <t>2019年的版本都在这里啦</t>
  </si>
  <si>
    <t>2018年的版本都在这里啦</t>
  </si>
  <si>
    <t>史前版本都在这里啦</t>
  </si>
  <si>
    <t>人物卡更新</t>
  </si>
  <si>
    <t>“时代”：其他时代将不会再熄灭现代技能
其他时代的资产将按现代计算</t>
  </si>
  <si>
    <t>本卡无偿使用
允许改造
允许传播
允许上传至网站
允许改造后传播</t>
  </si>
  <si>
    <t>记事本（之后可能会做的更新）</t>
  </si>
  <si>
    <t>2020.9.24更新 版本号：20.9.1</t>
  </si>
  <si>
    <t>2019.12.13更新 版本号：19.12.1</t>
  </si>
  <si>
    <t>2018.12.12更新 版本号：18.12.1</t>
  </si>
  <si>
    <t>声明</t>
  </si>
  <si>
    <t>修复了一些“技能表”技能名称会换行的问题
为自定义职业的多选技能添加了各种符号提示（大号加粗强调这个功能 这个功能可难做了累死我了）</t>
  </si>
  <si>
    <r>
      <rPr>
        <sz val="11"/>
        <color rgb="FF000000"/>
        <rFont val="微软雅黑"/>
        <charset val="134"/>
      </rPr>
      <t xml:space="preserve">有任何希望加入的功能，不方便的东西，不美观的问题，bug，独特的想法等等，都可以联系我
贝尔（QQ：1686891632）
</t>
    </r>
    <r>
      <rPr>
        <sz val="11"/>
        <color rgb="FFFF0000"/>
        <rFont val="微软雅黑"/>
        <charset val="134"/>
      </rPr>
      <t>会在这个群里进行普通空白卡的更新~：（870097334）</t>
    </r>
  </si>
  <si>
    <t>人物表更新</t>
  </si>
  <si>
    <r>
      <rPr>
        <sz val="11"/>
        <color rgb="FF000000"/>
        <rFont val="微软雅黑"/>
        <charset val="134"/>
      </rPr>
      <t xml:space="preserve">技能查找放到技能栏右下角的位置
恢复职业介绍  </t>
    </r>
    <r>
      <rPr>
        <sz val="11"/>
        <color rgb="FF808080"/>
        <rFont val="微软雅黑"/>
        <charset val="134"/>
      </rPr>
      <t xml:space="preserve"> 他 又 改 回 去 了</t>
    </r>
  </si>
  <si>
    <t>修复人物卡页不能插入图片的bug</t>
  </si>
  <si>
    <t>修复：
91号职业没有任意特长的问题
229号职业 聆听，机械维修没有本职标记
75号职业没有社交技能数</t>
  </si>
  <si>
    <t>声
明</t>
  </si>
  <si>
    <r>
      <rPr>
        <sz val="14"/>
        <color rgb="FFFF0000"/>
        <rFont val="微软雅黑"/>
        <charset val="134"/>
      </rPr>
      <t>原卡由秋叶EXODUS制作</t>
    </r>
    <r>
      <rPr>
        <sz val="11"/>
        <color rgb="FFFF0000"/>
        <rFont val="微软雅黑"/>
        <charset val="134"/>
      </rPr>
      <t xml:space="preserve">
</t>
    </r>
    <r>
      <rPr>
        <sz val="18"/>
        <color rgb="FFFF0000"/>
        <rFont val="微软雅黑"/>
        <charset val="134"/>
      </rPr>
      <t>原卡由秋叶EXODUS制作</t>
    </r>
    <r>
      <rPr>
        <sz val="11"/>
        <color rgb="FFFF0000"/>
        <rFont val="微软雅黑"/>
        <charset val="134"/>
      </rPr>
      <t xml:space="preserve">
</t>
    </r>
    <r>
      <rPr>
        <sz val="22"/>
        <color rgb="FFFF0000"/>
        <rFont val="微软雅黑"/>
        <charset val="134"/>
      </rPr>
      <t>原卡由秋叶EXODUS制作</t>
    </r>
    <r>
      <rPr>
        <sz val="11"/>
        <color rgb="FF000000"/>
        <rFont val="微软雅黑"/>
        <charset val="134"/>
      </rPr>
      <t xml:space="preserve">
重要的事情说三遍，这个卡不是我原创的！
此卡最开始改于咕咕改COC七版人物卡1.8.1最终版
期间经过多次更新，此次更新脱离咕咕改版版本。
贝尔sama喵QQ：1686891632</t>
    </r>
  </si>
  <si>
    <t>更新汇率
将“雷亚尔”更名为“巴西元”</t>
  </si>
  <si>
    <t>修复了“资产”1920s年代货币换算错误问题
修复日元汇率错误问题
更改了一些货币的名称
修复了换算后小数点后位数过多的问题
更新汇率</t>
  </si>
  <si>
    <t>更新汇率</t>
  </si>
  <si>
    <t>请帮我安利本卡给别人，求你了呜呜呜呜呜</t>
  </si>
  <si>
    <t>2020.7.23更新 版本号：20.7.1</t>
  </si>
  <si>
    <t>属性注释更新</t>
  </si>
  <si>
    <t>修复一个叫“被被”的错误</t>
  </si>
  <si>
    <t>更新汇率
更新货币单位提示</t>
  </si>
  <si>
    <t>请你提出意见也求你了呜呜呜</t>
  </si>
  <si>
    <r>
      <rPr>
        <sz val="11"/>
        <color rgb="FF000000"/>
        <rFont val="微软雅黑"/>
        <charset val="134"/>
      </rPr>
      <t xml:space="preserve">将技能表与属性表间的职业介绍更改为技能查找
</t>
    </r>
    <r>
      <rPr>
        <i/>
        <sz val="11"/>
        <color rgb="FF808080"/>
        <rFont val="微软雅黑"/>
        <charset val="134"/>
      </rPr>
      <t>主要是因为很多人反映因为英文排序但是中文照搬，确实不好找技能，然后是这个地方的职业介绍总是出格，在右侧也有职业介绍所以没有意义就替换掉了</t>
    </r>
  </si>
  <si>
    <t>更改</t>
  </si>
  <si>
    <r>
      <rPr>
        <sz val="11"/>
        <color rgb="FF000000"/>
        <rFont val="微软雅黑"/>
        <charset val="134"/>
      </rPr>
      <t xml:space="preserve">将所有工作表中的“魅惑”更名为“取悦”
</t>
    </r>
    <r>
      <rPr>
        <sz val="11"/>
        <color rgb="FFFF0000"/>
        <rFont val="微软雅黑"/>
        <charset val="134"/>
      </rPr>
      <t>因为是直接替换所以如果出现了确实应该用魅惑而不是取悦、或者相反的地方请告诉我qwq</t>
    </r>
  </si>
  <si>
    <t>取消格斗②与格斗①绑定标记
取消射击②与射击①绑定标记</t>
  </si>
  <si>
    <t>更改“随身物品”中的“部位”为“位置”</t>
  </si>
  <si>
    <t>2019.11.7更新 版本号：19.11.1</t>
  </si>
  <si>
    <r>
      <rPr>
        <sz val="11"/>
        <color rgb="FF000000"/>
        <rFont val="微软雅黑"/>
        <charset val="134"/>
      </rPr>
      <t xml:space="preserve">更新了“时代介绍”的范围为1890~2023
更新了“国际重大历史进程”“中国重大历史进程”“年代”
</t>
    </r>
    <r>
      <rPr>
        <i/>
        <sz val="11"/>
        <color rgb="FFBFBFBF"/>
        <rFont val="微软雅黑"/>
        <charset val="134"/>
      </rPr>
      <t>（新闻就不更了、我不是专业的很难确定什么是大新闻什么是小新闻也很难找到以前的新闻，所以总是会漏加的（我甚至漏了911 和苏联建国解体），2021年离我们又那么近 kp也不怎么刻意的开当下的前两年的团都是要么开模组时代背景的团要么开现在的团，所以这部分就先不更了 也许会和下一个小修bug的更新一起放出来吧 反正这次更新我很累没有精力继续添加了）</t>
    </r>
  </si>
  <si>
    <t>七版规则书</t>
  </si>
  <si>
    <t>应版权方要求已不再提供下载</t>
  </si>
  <si>
    <t>武器列表更新</t>
  </si>
  <si>
    <t>根据人物表的“时代”，来改变武器名称以提示玩家不可选</t>
  </si>
  <si>
    <t>修复武器表第三行不显示成功率与技能的问题</t>
  </si>
  <si>
    <t>在“调查员经历”增加：有故事的调查员
并在“剩余职业点”“剩余兴趣点”之后增加了“剩余经历包点”</t>
  </si>
  <si>
    <t>补全部分武器发明时间</t>
  </si>
  <si>
    <t>增加“其他资产表”“剩余资产”
修复其他资产表总值计算</t>
  </si>
  <si>
    <t>玩家手册</t>
  </si>
  <si>
    <t>http://www.goddessfantasy.net/bbs/index.php?topic=89719.0</t>
  </si>
  <si>
    <t>2020.6.2更新 版本号：20.6.1</t>
  </si>
  <si>
    <t>删除现时间的下拉列表，合并为一个格，并改名为“当前时间”</t>
  </si>
  <si>
    <t>在“调查员信息”中增加“国籍”一栏</t>
  </si>
  <si>
    <t>将“本职属性”移动到“剩余点数”前
更改雷达图位置
删除其余装饰性介绍</t>
  </si>
  <si>
    <t>将属性的困难极难成功率设置为“如果普通成功率没有数值则变为隐藏”</t>
  </si>
  <si>
    <t>怪物之锤</t>
  </si>
  <si>
    <t>https://share.weiyun.com/57lcF4S</t>
  </si>
  <si>
    <t>密码：iz0u0q</t>
  </si>
  <si>
    <t>没有找到原帖地址，望告知</t>
  </si>
  <si>
    <t>更新汇率（2020.6.2）</t>
  </si>
  <si>
    <t>将“今日损失”改为“不定疯狂值”</t>
  </si>
  <si>
    <t>从咕咕1.8.1到现在的更新</t>
  </si>
  <si>
    <r>
      <rPr>
        <sz val="11"/>
        <color rgb="FF000000"/>
        <rFont val="微软雅黑"/>
        <charset val="134"/>
      </rPr>
      <t>恢复了“背景故事”的“难言之隐”</t>
    </r>
    <r>
      <rPr>
        <i/>
        <sz val="11"/>
        <color rgb="FFBFBFBF"/>
        <rFont val="微软雅黑"/>
        <charset val="134"/>
      </rPr>
      <t>（反正一群人跟我说有这个挺好，我也觉得挺好就加回来了）</t>
    </r>
  </si>
  <si>
    <t>补充“时代介绍”2012年之后的内容</t>
  </si>
  <si>
    <t>将“移动力调整值”分为“属性调整值”“年龄调整值”“护甲调整值”</t>
  </si>
  <si>
    <t>人
物
表
更
改</t>
  </si>
  <si>
    <t>为体力（Hit Points）增加当前体力/2的“目前重伤伤害”附表
为理智（Sanity）增加“今日损失”附表
为幸运（Luck）增加“幸运消耗可选规则是否启用”附表
为魔法（Magic Points）增加“使用过的魔法编号”附表
移动“格斗”中的“护甲”至属性表
为护甲（Armor）增加“覆盖位置”附表
移动“状态”“状态（State）”、“精神状态”的位置</t>
  </si>
  <si>
    <r>
      <rPr>
        <sz val="11"/>
        <color rgb="FF000000"/>
        <rFont val="微软雅黑"/>
        <charset val="134"/>
      </rPr>
      <t>为“经历包描述”添加了“可选技能见【简化卡】下方”
修复了经历包在下拉时会出现0的问题</t>
    </r>
    <r>
      <rPr>
        <i/>
        <strike/>
        <sz val="9"/>
        <color rgb="FFBFBFBF"/>
        <rFont val="微软雅黑"/>
        <charset val="134"/>
      </rPr>
      <t>(有1吗x</t>
    </r>
  </si>
  <si>
    <t>法术大典</t>
  </si>
  <si>
    <t>http://www.goddessfantasy.net/bbs/index.php?topic=93999.0&amp;tdsourcetag=s_pcqq_aiomsg</t>
  </si>
  <si>
    <t>怎么办，突然发现没什么功能好更新的了，求建议</t>
  </si>
  <si>
    <t>职业列表更新</t>
  </si>
  <si>
    <t>更改自定义职业点数的计算方式
允许自定义职业自定义属性倍数和计算方式
允许自定义职业选择或取消教育与幸运</t>
  </si>
  <si>
    <t>删除“您的角色可能”
删除“←这个职业 要这样获得技能点→”
删除“将力量与体型相加之后”“体格的作用”（曾在【属性和掷骰】里复制，未删除）</t>
  </si>
  <si>
    <t>2020.5.24更新 版本号：20.5.1</t>
  </si>
  <si>
    <t>简化表更新</t>
  </si>
  <si>
    <t>纠错了军官经历包的技能错误问题</t>
  </si>
  <si>
    <t>coc跑团群</t>
  </si>
  <si>
    <t>https://share.weiyun.com/5whZ9aW</t>
  </si>
  <si>
    <t>密码：od8xi8</t>
  </si>
  <si>
    <t>更新汇率（2020.5.24）</t>
  </si>
  <si>
    <t>更改了【自定义X选X技能】的选用方式（再次强调这个功能真的很难做）
更改【自定义X选X技能】括号内的逗号为顿号</t>
  </si>
  <si>
    <r>
      <rPr>
        <sz val="11"/>
        <color rgb="FF000000"/>
        <rFont val="微软雅黑"/>
        <charset val="134"/>
      </rPr>
      <t xml:space="preserve">为“时代介绍”添加2012年之后的内容
</t>
    </r>
    <r>
      <rPr>
        <sz val="11"/>
        <color rgb="FFFF0000"/>
        <rFont val="微软雅黑"/>
        <charset val="134"/>
      </rPr>
      <t>除1890~2012以外均为玩家手册内没有的内容，也接受批评建议，也希望知道更多信息的人联系我</t>
    </r>
  </si>
  <si>
    <t>修复部分bug</t>
  </si>
  <si>
    <t>将“.st指令快捷输入”从【人物卡】中移动到【简化卡】</t>
  </si>
  <si>
    <t>阿卡姆精神病院 关注您的调查员的精神健康 联系方式：870097334</t>
  </si>
  <si>
    <t>更改催泪瓦斯的注释</t>
  </si>
  <si>
    <t>更
改</t>
  </si>
  <si>
    <t>分离【分支技能】与【资产】，并将资产改名为【资产参考】</t>
  </si>
  <si>
    <t>移除了根据时代熄灭职业的功能</t>
  </si>
  <si>
    <t>FAQ：</t>
  </si>
  <si>
    <r>
      <rPr>
        <sz val="11"/>
        <color rgb="FF000000"/>
        <rFont val="微软雅黑"/>
        <charset val="134"/>
      </rPr>
      <t xml:space="preserve">添加“时代介绍”底端的“报社/报纸”“博物馆/大学”
</t>
    </r>
    <r>
      <rPr>
        <sz val="11"/>
        <color rgb="FFFF0000"/>
        <rFont val="微软雅黑"/>
        <charset val="134"/>
      </rPr>
      <t>你可以在玩家手册中找到详细内容，内容时代为咆哮的二十年代</t>
    </r>
  </si>
  <si>
    <t>更新说明更新</t>
  </si>
  <si>
    <t>更新“跑团群”</t>
  </si>
  <si>
    <t>将所有表格的行列表隐藏</t>
  </si>
  <si>
    <t>增强“信用范围”“剩余职业点”“剩余兴趣点”存在感</t>
  </si>
  <si>
    <t>修复了“职业查询”最后会多一个顿号的问题
修复了根据信誉查找职业错误的功能</t>
  </si>
  <si>
    <t>Q：本卡是无偿使用的嘛
A：是哒，虽然觉得不太可能但是如果你是花了钱才得到这份人物卡的话，您可能是盗版软件的受害者uwu</t>
  </si>
  <si>
    <t>修复一些观赏性bug</t>
  </si>
  <si>
    <t>将横轴滚轮所占空间缩小（为了给选项卡分出空间）</t>
  </si>
  <si>
    <t>删除“资产表”“初始现金”，增加“货币单位”，为“资产说明”分格</t>
  </si>
  <si>
    <t>另外说明：个人认为玩家手册中的报纸是当时美国社会能够得知的著名报纸，而不是当时只有这些报纸，尤其是中国部分，当时中国的报社可以说是百花齐放，但是西方人他们看不懂hhh、再加上这些报纸确实没有那些西报知名度高，自然就没有记录这些报纸</t>
  </si>
  <si>
    <t>注：最近特别特别忙于是没怎么更新抱歉哇quq</t>
  </si>
  <si>
    <t>美化人物卡，灵感来源于DND5E角色卡</t>
  </si>
  <si>
    <t>将“随身物品”“神话相关”“调查员精力”位置变更
增加“主流货币换算”
增加“法术一览”</t>
  </si>
  <si>
    <t>纠错：工匠最大信誉为40</t>
  </si>
  <si>
    <t>Q：本卡可以丢到群里或者上传到网站上之类的吗
A：请你一定要这样做呜呜呜</t>
  </si>
  <si>
    <t>另注：格斗/射击①②的串联显示是我为了很多职业技能的特殊性设计的，并不是bug。
emmm不过现在看起来有点多余，下一个版本会修改成互相独立的技能</t>
  </si>
  <si>
    <t>更改版本号格式</t>
  </si>
  <si>
    <t>武器表更新</t>
  </si>
  <si>
    <r>
      <rPr>
        <sz val="11"/>
        <rFont val="微软雅黑"/>
        <charset val="134"/>
      </rPr>
      <t>修复了李恩菲尔德的弹药数量错误
更改不合时代的武器前缀为"-"
更改罕见武器前缀为"*"</t>
    </r>
    <r>
      <rPr>
        <sz val="11"/>
        <color rgb="FFFF0000"/>
        <rFont val="微软雅黑"/>
        <charset val="134"/>
      </rPr>
      <t xml:space="preserve">
</t>
    </r>
    <r>
      <rPr>
        <sz val="11"/>
        <rFont val="微软雅黑"/>
        <charset val="134"/>
      </rPr>
      <t>其他时代将不再会熄灭武器、罕见武器将不再会被熄灭</t>
    </r>
  </si>
  <si>
    <t>2018.11.05更新 版本号：18.11.1</t>
  </si>
  <si>
    <t>Q：本卡是采用了什么规则
A：是七版coc守秘人规则书与玩家手册，因为贝尔的英文能力几乎为0所以还是要看汉化，所以可能出现规则书汉化版本不同翻译不同的现象，如果发现请指出qwq</t>
  </si>
  <si>
    <t>为“教育”添加别名：“知识”、并加入.st</t>
  </si>
  <si>
    <t>再注：因为最近破解我的卡的人越来越多~ 再加上想改我的卡的人越来越多~ 于是解除了密码，耶</t>
  </si>
  <si>
    <t>修复武器表“弓”“电器维修”“炮术”“投掷”技能#REF!问题</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</si>
  <si>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</si>
  <si>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将所有工作表中的“领航”更名为“导航”</t>
  </si>
  <si>
    <r>
      <rPr>
        <sz val="11"/>
        <color rgb="FFFF0000"/>
        <rFont val="微软雅黑"/>
        <charset val="134"/>
      </rPr>
      <t>最后一注：用爱发电不代表有权利道德绑架</t>
    </r>
    <r>
      <rPr>
        <sz val="11"/>
        <color rgb="FFFF0000"/>
        <rFont val="宋体"/>
        <charset val="134"/>
      </rPr>
      <t>❤</t>
    </r>
  </si>
  <si>
    <t>让“本职标志”跟随“任意特长”变化
为“任意特长数”随已选特长变动，若选择过多则显示“过多！”</t>
  </si>
  <si>
    <r>
      <rPr>
        <sz val="11"/>
        <color rgb="FF000000"/>
        <rFont val="微软雅黑"/>
        <charset val="134"/>
      </rPr>
      <t xml:space="preserve">更改了配色、修改了部分描述
</t>
    </r>
    <r>
      <rPr>
        <i/>
        <sz val="9"/>
        <color rgb="FFBFBFBF"/>
        <rFont val="微软雅黑"/>
        <charset val="134"/>
      </rPr>
      <t>（我不理解我怎么会用那么杀马特的配色hhhh可能随手选了个颜色伤害了你们的眼睛好几年，对不起hhhh</t>
    </r>
  </si>
  <si>
    <t>2020.2.16更新 版本号：20.2.2</t>
  </si>
  <si>
    <t>2019.8.25更新 版本号：19.8.3</t>
  </si>
  <si>
    <t xml:space="preserve">Q：本卡多长时间更新一次
A：之后有好的想法还是会加入卡中的 也会偶尔修修bug什么的 但目前来说这个版本基本就算稳定了~ </t>
  </si>
  <si>
    <t>修复刺客职业的本职技能问题</t>
  </si>
  <si>
    <t>添加自选护甲移动力减值是否开启</t>
  </si>
  <si>
    <t>让自定义职业的本职技能显示本职标志</t>
  </si>
  <si>
    <t>修复了俯卧规则的删除线错误问题</t>
  </si>
  <si>
    <t>疯狂表更新</t>
  </si>
  <si>
    <t>修复“从疯狂中恢复”的错误</t>
  </si>
  <si>
    <t>修复武器栏bug</t>
  </si>
  <si>
    <t>将其他资产表五项设置为顶端左侧对齐</t>
  </si>
  <si>
    <t>【战斗伤害流程图】中的“HP归零”改为“HP归零后”</t>
  </si>
  <si>
    <t>Q：我有建议要去哪里找你
A：欢迎加我的QQ群~（870097334）我叫贝尔w</t>
  </si>
  <si>
    <t>修复“职业查询”的错误</t>
  </si>
  <si>
    <t>修复移动力年龄减值bug</t>
  </si>
  <si>
    <t>资产及物价参考更新</t>
  </si>
  <si>
    <t>删掉了除了美元外的生活质量参考</t>
  </si>
  <si>
    <t>2020.2.2更新 版本号：20.2.1</t>
  </si>
  <si>
    <t>修复“自定义经历包”“技能增长”无法输入非数值的bug</t>
  </si>
  <si>
    <t>修复“自定义职业”的“属性点”非最大值的问题</t>
  </si>
  <si>
    <t>更改了一些FAQ的内容</t>
  </si>
  <si>
    <r>
      <rPr>
        <sz val="11"/>
        <color rgb="FF000000"/>
        <rFont val="微软雅黑"/>
        <charset val="134"/>
      </rPr>
      <t xml:space="preserve">Q：为什么不丢到魔都或者苹果园
A：这张卡最早其实就是我自己写自己用自己玩的卡 没想到大家会用我的卡就没传 </t>
    </r>
    <r>
      <rPr>
        <sz val="11"/>
        <color rgb="FFFF0000"/>
        <rFont val="微软雅黑"/>
        <charset val="134"/>
      </rPr>
      <t>感谢你使用我的卡uwu</t>
    </r>
  </si>
  <si>
    <t>将属性右侧的“已用点数”改为“总点数”</t>
  </si>
  <si>
    <t>修复“自定义年龄补正”无效的bug</t>
  </si>
  <si>
    <t>简化卡更新</t>
  </si>
  <si>
    <t>将.st输出移动至【人物卡】</t>
  </si>
  <si>
    <t>修复了没修改卡的时候也会弹出是否保存窗口的问题（终于修复啦！！！这个可难修啦！！！我是天才！）</t>
  </si>
  <si>
    <t>更改“取悦”的介绍</t>
  </si>
  <si>
    <t>修复.stbug</t>
  </si>
  <si>
    <t>分支技能与资产更新</t>
  </si>
  <si>
    <t>将“火焰喷射器”改为“喷射器”</t>
  </si>
  <si>
    <r>
      <rPr>
        <sz val="11"/>
        <color rgb="FF000000"/>
        <rFont val="微软雅黑"/>
        <charset val="134"/>
      </rPr>
      <t>Q：货币的汇率数据来源是哪里，数值是怎么计算的
A：</t>
    </r>
    <r>
      <rPr>
        <sz val="11"/>
        <rFont val="微软雅黑"/>
        <charset val="134"/>
      </rPr>
      <t>货币数据从和讯外汇取得。
美元使用规则书计算；
英镑、欧元、加元、新加坡元、澳元、人民币取小数点后2位；
其余货币取整数位(每种货币进位都以四舍五入计算)</t>
    </r>
  </si>
  <si>
    <t>将“职业信用范围”分为“最大信誉”和“最小信誉”</t>
  </si>
  <si>
    <t>抱歉又出了一堆bug。。半夜肝卡脑子不清醒而且最近出了很多大事所以出现了很多bug qwq</t>
  </si>
  <si>
    <t>更新汇率（2020.2.2）</t>
  </si>
  <si>
    <t>2019.8.21更新 版本号：19.8.2</t>
  </si>
  <si>
    <t>将“机关枪”改为“机枪”</t>
  </si>
  <si>
    <t>分
支
技
能
更
改</t>
  </si>
  <si>
    <t>增加“技能成功等级阶段介绍”图</t>
  </si>
  <si>
    <t>取消使用独立计算，人民币与日币也使用汇率计算</t>
  </si>
  <si>
    <t>合并“自定义艺术”“自定义技能”
将“自定义其他技能”改为“自定义子技能”（包括艺术与手艺、格斗、射击、科学、驾驶）
解锁技能初始值（如果不是要自定义技能请不要动好嘛w）</t>
  </si>
  <si>
    <t>2018.10.28更新 版本号：18.10.6</t>
  </si>
  <si>
    <t>增加“技能可选规则”：
-“专业技能：可以转移的技能优势”
-“可选规则：给技能等级按个保险”
-“语系地图”（来自维基百科）</t>
  </si>
  <si>
    <t>将“信誉”分为“最大信誉”和“最小信誉”</t>
  </si>
  <si>
    <t>将临时体力值的数值字体设置为黑色</t>
  </si>
  <si>
    <t>添加“职业查询”
-按职业属性查询
-按本职技能查询
-按最大信誉查询
-按最小信誉查询</t>
  </si>
  <si>
    <t>为“调查员信息”添加“当前时间”</t>
  </si>
  <si>
    <t>印斯茅斯旅行团 吃最大海鲜 坐最美轮船 火热好评报名中… 联系热线：870097334</t>
  </si>
  <si>
    <t>修复“年龄补正：”bug
将年龄的出错“警告”改为“提示”</t>
  </si>
  <si>
    <t>为“护甲值”与“覆盖部位”设置保护</t>
  </si>
  <si>
    <t>2021.9.28更新 版本号：21.9.1</t>
  </si>
  <si>
    <t>将“护甲类型”设置为“请看护甲表”
将“护甲类型”的字体颜色设置为黑色</t>
  </si>
  <si>
    <t>职
业
列
表
更
改</t>
  </si>
  <si>
    <t>增强“自定义职业”、“自定义职业本职技能”的存在感
增加“推荐关系人”列表
增加“职业介绍”列表</t>
  </si>
  <si>
    <t>为属性总点数添加了“总点数(含运):”和“总点数(不含运):”的下拉框</t>
  </si>
  <si>
    <t>交换“魔法”、“幸运”与“移动力”的位置
删除“幸运”最大值
删除“大成功”“大失败”计数
删除“消耗规则”
添加“幸运困难成功率”“幸运极难成功率”
添加“移动方式”</t>
  </si>
  <si>
    <t>添加"简化.st指令快捷输入"</t>
  </si>
  <si>
    <t>将人物表设置为即使锁定也可以插入头像</t>
  </si>
  <si>
    <t>对不起这次更新的好少uwu</t>
  </si>
  <si>
    <t>更改“美元现代富豪”的“其他资产”的错误</t>
  </si>
  <si>
    <t>将“.st指令快捷输入”设置为即使属性为0也可以使用</t>
  </si>
  <si>
    <t>增加《克苏鲁的呼唤调查员伴侣》职业
增加《日本秘史》职业
增加日系特定规则《克苏鲁2010》职业
增加日系特定规则《克苏鲁与帝国》职业
增加日系特定规则《克苏鲁2015》职业</t>
  </si>
  <si>
    <t>2021.8.5更新 版本号：21.8.1</t>
  </si>
  <si>
    <t>将母语设置为常亮
将信用评级设置为常亮
将闪避设置为常亮</t>
  </si>
  <si>
    <t>增加了自定义职业添加X选X技能的功能</t>
  </si>
  <si>
    <t>更新部分输入错误</t>
  </si>
  <si>
    <t>技能注释更新</t>
  </si>
  <si>
    <r>
      <rPr>
        <sz val="11"/>
        <color rgb="FF000000"/>
        <rFont val="微软雅黑"/>
        <charset val="134"/>
      </rPr>
      <t>更改了“技能成功等级与注释”的部分语序</t>
    </r>
    <r>
      <rPr>
        <i/>
        <sz val="8"/>
        <color rgb="FF808080"/>
        <rFont val="微软雅黑"/>
        <charset val="134"/>
      </rPr>
      <t>（别去查了，真的很细微~）</t>
    </r>
    <r>
      <rPr>
        <sz val="11"/>
        <color rgb="FF000000"/>
        <rFont val="微软雅黑"/>
        <charset val="134"/>
      </rPr>
      <t xml:space="preserve">
修复了“游戏系统少见规则”中的“超越人体极限：多调查员协作检定”显示不全和数字错误的问题</t>
    </r>
  </si>
  <si>
    <t>添加“自定义经历包”</t>
  </si>
  <si>
    <t>在调查员信息中增加职业</t>
  </si>
  <si>
    <t>防具表 载具表更新</t>
  </si>
  <si>
    <t>修复了“追逐轮可选规则”中的“突发险境”显示不全的问题</t>
  </si>
  <si>
    <t>锁定自定义经历包编辑</t>
  </si>
  <si>
    <t>增加“当前时间”
增加“调查员伙伴”
-自写框
增加“神话相关”
-自写框</t>
  </si>
  <si>
    <t>属
性
和
掷
骰
更
新</t>
  </si>
  <si>
    <t>增加“各个属性的数字意味着什么？”、“每个属性的骰点骰子”</t>
  </si>
  <si>
    <t>更改“资产参考表”中的“豪富”断句问题。</t>
  </si>
  <si>
    <t>取消更新介绍保护</t>
  </si>
  <si>
    <t>增加“属性可选规则”
-“花费幸运值”
-“回复幸运值”
-“看透疯狂”增加沼跃鱼
-“精神固化”
-“多重理智检定”
增加“追逐轮可选规则”
-“选择一条道路”
-“随机的险境和障碍”
-“突发险境”
-“猛踩油门”</t>
  </si>
  <si>
    <t>2021.3.22更新 版本号：21.3.2</t>
  </si>
  <si>
    <t>更新“coc跑团群”</t>
  </si>
  <si>
    <t>修复自定义职业技能点无效的问题
增加自定义职业点计算方式</t>
  </si>
  <si>
    <t>添加FAQ（是常见问题的意思，不是花Q233333）</t>
  </si>
  <si>
    <t>抱歉更新的有点频繁，这次主要是因为出现了重大bug，这个版本主要是为了修复的w</t>
  </si>
  <si>
    <t>纯修bug的更新qwq</t>
  </si>
  <si>
    <t>2019.8.20更新 版本号：19.8.1</t>
  </si>
  <si>
    <t>改变“.st指令快捷输入”</t>
  </si>
  <si>
    <t>2021.3.11更新 版本号：21.3.1</t>
  </si>
  <si>
    <t>更新了排版</t>
  </si>
  <si>
    <t>将简化表设置为即使锁定也可以插入头像</t>
  </si>
  <si>
    <t>想到了吧，俺又更新了汇率！awa</t>
  </si>
  <si>
    <t>将“艺术与手艺”注释框移至【技能注释】</t>
  </si>
  <si>
    <t>增加“自定义职业属性”</t>
  </si>
  <si>
    <r>
      <rPr>
        <sz val="11"/>
        <color rgb="FF000000"/>
        <rFont val="微软雅黑"/>
        <charset val="134"/>
      </rPr>
      <t>将“技能表”中的“成长”改为“成长/经历”
修复了“本职”中许多不带底色的问题，优化了一些内容
为社交技能四项添加底色
合并“最大信誉值”与“最小信誉值”为“信誉范围”
添加“成长值”</t>
    </r>
    <r>
      <rPr>
        <i/>
        <sz val="10"/>
        <color rgb="FF000000"/>
        <rFont val="微软雅黑"/>
        <charset val="134"/>
      </rPr>
      <t xml:space="preserve">大概解决了底部因幕间成长导致的经历包一直显示负数的尴尬局面
</t>
    </r>
    <r>
      <rPr>
        <sz val="11"/>
        <color rgb="FF000000"/>
        <rFont val="微软雅黑"/>
        <charset val="134"/>
      </rPr>
      <t xml:space="preserve">
修复底部点完了职业点和兴趣点之后，经历包点没点完也会消失的bug
更改了查询技能位置的颜色（为了区分本职中二选一的颜色）</t>
    </r>
  </si>
  <si>
    <t>添加“自定义身体/精神状态”
更新“体力”的“状态”下拉框
更新“理智”的“状态”下拉框</t>
  </si>
  <si>
    <t>为“自定义职业”增加“职业属性”自动计算
为“自定义职业”增加“技能点”自动计算</t>
  </si>
  <si>
    <t>删除自定义栏</t>
  </si>
  <si>
    <t>移除基础属性：“体力”“理智”“幸运”“魔法”上限栏保护
移除“魔法”“每小时恢复”栏位保护
移除“伤害加值”、“体格”数值栏位保护</t>
  </si>
  <si>
    <t>增加“注意事项”</t>
  </si>
  <si>
    <t>武
器
列
表
更
新</t>
  </si>
  <si>
    <t>为武器列表增加“类型”</t>
  </si>
  <si>
    <t>为“盾”类型增加“注释”
为“格斗盾”增加“注释”
为“盾”类型增加“剑格、护手”和其“注释”</t>
  </si>
  <si>
    <t>将特殊武器介绍改为“注释”
为“术语解释”排版</t>
  </si>
  <si>
    <t>增加“会造成惩罚骰的情况”
增加“特殊伤害解读”
增加受伤程度列表</t>
  </si>
  <si>
    <t>添加货币：
      雷亚尔（巴西）
      墨西哥元（墨西哥）
      泰铢（泰国）
      新加坡元（新加坡）
      南非兰特（南非）</t>
  </si>
  <si>
    <t>将规则书内物品设置为仿宋深蓝字体</t>
  </si>
  <si>
    <t>把109号职业的“关系人推荐”的“没有什么关系”改成“没有什么关系人”
更改70号职业[工人-伐木工人]“格斗：链锯”为“格斗：电锯”
修复4号职业自选技能错误的问题</t>
  </si>
  <si>
    <t>2018.10.25更新 版本号：18.10.5</t>
  </si>
  <si>
    <t>将职业范围和剩余点数在职业序号为0的时候设置为隐藏</t>
  </si>
  <si>
    <t>增加“战斗轮可选规则”
-“先攻检定”
-“击晕”、“消耗幸运值来维持意识”
-“相杀”
-“无法得知伤害”
-“火力压制”
-“护甲调整”、“部位瞄准”
-“瞄准具”、“支架”
-“在战斗中移动”
-“全隐蔽”、“击穿掩体”
-“倒地”
-“毒性”
增加“毒剂示例”</t>
  </si>
  <si>
    <t>将“信用评级”的“成功标志”禁用
将“克苏鲁神话”的“成功标志”禁用</t>
  </si>
  <si>
    <t>将技能显示栏左侧做成下拉栏，连带切换看本职和经历包的技能</t>
  </si>
  <si>
    <t>更改“调查员经历”的“有故事的调查员”排版，并改名为“经历包(玩家手册)”
添加“经历包名称”和“经历包职业”
将“备注”在无经历包的时候显示为空（强迫症玩家狂喜x）
优化“备注”显示</t>
  </si>
  <si>
    <t>更新资产单位下拉列表，更新资产算法(这个功能研究了好久。。。excel大于小于的bug真要命)</t>
  </si>
  <si>
    <t>修改了几乎所有技能的注释</t>
  </si>
  <si>
    <t>更改雷达图位置</t>
  </si>
  <si>
    <t>大量修正技能的注释与名称
-“驯兽”没有改为“动物驯养”
-将“作画”改为“美术”
-将“弓术”改为“弓”
-将“机关枪”改为“机枪”
-将“自然学”改为“博物学”
并添加“也译作‘自然学’”</t>
  </si>
  <si>
    <t>删除“不算幸运：”
将“算幸运：”改为“已用点数：”
添加“年龄补正：”</t>
  </si>
  <si>
    <t>给“剩余自选技能数”改了个色，现在他正常时候是白色，有剩余时候是蓝色，选多了是红色
修复部分空位选择技能没有作用的BUG
添加了可以关闭提示的开关，用于避免那种在幕间改了职业却显示“过多！”的尴尬</t>
  </si>
  <si>
    <t>添加
“规则书”“玩家手册”“怪物之锤”“法术大典”“跑团群”
 文件链接</t>
  </si>
  <si>
    <t>修复理智表没有办法查看不同即使症状的问题
修复“移动力”下表护甲减值会被误选的问题</t>
  </si>
  <si>
    <t>修复“技能”会显示“0”的情况（简化卡）</t>
  </si>
  <si>
    <t>为“可选规则：有故事的调查员”添加别名：“可选技能”
更改“备注”排版</t>
  </si>
  <si>
    <t>修复一些bug</t>
  </si>
  <si>
    <t>增加“.st指令快捷输入”
-“.st指令快捷输入”
-“技能名的改变”
-“注意”
-文本化用“txt框”
（这条函数超长的qwq）</t>
  </si>
  <si>
    <t>2019.7.18更新 版本号：19.7.1</t>
  </si>
  <si>
    <t xml:space="preserve">增加“魔法可选规则”
-“克苏鲁神话技能的自发用法”
-“对单一目标造成物理伤害”
-“追逐怪物”
-“和死者交流”
</t>
  </si>
  <si>
    <t>职业表
更新</t>
  </si>
  <si>
    <t>修复敏捷属性无法被选中的问题
为“自定义职业属性”下方添加了一个更直观的职业属性
优化自定义职业属性的显示
将官方加点法的除教育属性之间的关系显示为“或”</t>
  </si>
  <si>
    <t>将“技能表”的科学①②③的“数学”基础值改为10</t>
  </si>
  <si>
    <t>修复初始理智值不自动计算的问题</t>
  </si>
  <si>
    <t>修复“理智参考规则”与“快速参考规则”的错误</t>
  </si>
  <si>
    <t>合并普通版和mac版，优化了一点显示</t>
  </si>
  <si>
    <t>重新保护部分单元格</t>
  </si>
  <si>
    <t>将“资产参考表”上移</t>
  </si>
  <si>
    <t>如果你发现了有职业的本职点有问题请务必反馈给我qwq</t>
  </si>
  <si>
    <t>各位提出问题的小可爱抱歉嗷，因为电脑出了些问题所以你们提出的问题都丢了QAQ！！！请重新联系我再喊我一次，对不起嗷</t>
  </si>
  <si>
    <t>增加“驾驶”
-船
-飞行器</t>
  </si>
  <si>
    <t>2021.2.9更新 版本号：21.2.1</t>
  </si>
  <si>
    <t>日常更新汇率</t>
  </si>
  <si>
    <t>2019.6.22更新 版本号：19.6.1</t>
  </si>
  <si>
    <t>日常补全了“时代介绍”的2020、2021年的内容
将“新闻”的“报社/报纸”改为“报社/报纸（1920）”</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</si>
  <si>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</si>
  <si>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增加“学问：”
增加“自定义技能”</t>
  </si>
  <si>
    <t>删除了“背景故事”中的“难言之隐”</t>
  </si>
  <si>
    <t>取消了“技能表”的“格斗①”“格斗②”，“射击①”“射击②”的关联（可能有bug请务必反馈~~）</t>
  </si>
  <si>
    <t>为“艺术与手艺”增加：
理发
莫里斯舞
歌剧歌唱
粉刷匠和油漆工
吹制玻璃管</t>
  </si>
  <si>
    <t>简化卡</t>
  </si>
  <si>
    <t>更改了txt框提示内容</t>
  </si>
  <si>
    <r>
      <rPr>
        <sz val="11"/>
        <color rgb="FF000000"/>
        <rFont val="微软雅黑"/>
        <charset val="134"/>
      </rPr>
      <t xml:space="preserve">将【人物卡】【职业列表】【武器列表】附表，根据时代将不可使用的内容自动显示变灰。
</t>
    </r>
    <r>
      <rPr>
        <i/>
        <sz val="10"/>
        <color rgb="FF000000"/>
        <rFont val="微软雅黑"/>
        <charset val="134"/>
      </rPr>
      <t>注：武器列表只根据时代变灰，如果想精确到年则需要自己对照（“其他”默认为更古老的时间、“罕见”不会变灰）</t>
    </r>
  </si>
  <si>
    <t>修复“克苏鲁神话”的“本职标记”不显示问题
修复分配自由本职技能下拉选框无法选择“格斗③”“射击③”“外语③”“自定义”技能的问题</t>
  </si>
  <si>
    <t>更改最顶端注释</t>
  </si>
  <si>
    <t>属性和掷骰更新</t>
  </si>
  <si>
    <t>将“各个属性的数字意味着什么？”重新对照规则书。</t>
  </si>
  <si>
    <t>添加“时代介绍”</t>
  </si>
  <si>
    <t>增加了99-克苏鲁神话的结果：精神分析最大恢复值</t>
  </si>
  <si>
    <t>重新排版</t>
  </si>
  <si>
    <t>2018.10.23更新 版本号：18.10.4.1</t>
  </si>
  <si>
    <t>删除“将力量与体型相加之后”、“体格的作用”</t>
  </si>
  <si>
    <t>格林：修复人物表职业剩余点数、兴趣剩余点数的bug</t>
  </si>
  <si>
    <t>取消职业信用范围的自动隐藏</t>
  </si>
  <si>
    <t>为武器表的武器类型下拉框添加空白框格</t>
  </si>
  <si>
    <t>更改“资产”“单位”的排列</t>
  </si>
  <si>
    <t>修复9号职业“文物学家（原作向）”没有“估价”本职标记问题</t>
  </si>
  <si>
    <t>修复部分电脑出现的bug</t>
  </si>
  <si>
    <t>将“性别”改为“性别/性取向”</t>
  </si>
  <si>
    <t>职业列表更改</t>
  </si>
  <si>
    <t>隐藏“推荐关系人”与“职业介绍”
修复职业点数计算错误问题并简化算法</t>
  </si>
  <si>
    <t>修改san初始值可能超过最大值的bug</t>
  </si>
  <si>
    <r>
      <rPr>
        <sz val="11"/>
        <color rgb="FF000000"/>
        <rFont val="微软雅黑"/>
        <charset val="134"/>
      </rPr>
      <t>修复"☆ 二选一""⊙ 二选一""</t>
    </r>
    <r>
      <rPr>
        <sz val="11"/>
        <color rgb="FF000000"/>
        <rFont val="宋体"/>
        <charset val="134"/>
      </rPr>
      <t>☯</t>
    </r>
    <r>
      <rPr>
        <sz val="11"/>
        <color rgb="FF000000"/>
        <rFont val="微软雅黑"/>
        <charset val="134"/>
      </rPr>
      <t xml:space="preserve"> 社交技能""※ 多选，或X选一"不显示问题</t>
    </r>
    <r>
      <rPr>
        <sz val="9"/>
        <color rgb="FF000000"/>
        <rFont val="微软雅黑"/>
        <charset val="134"/>
      </rPr>
      <t>（这么明显的bug都半年了居然才发现。。）</t>
    </r>
  </si>
  <si>
    <t>2018.10.18更新 版本号：18.10.4</t>
  </si>
  <si>
    <t>添加新功能“技能查询”</t>
  </si>
  <si>
    <t>将“属性”的“不算幸运”和“算幸运”如果是0的话设置为隐藏</t>
  </si>
  <si>
    <t>删除“艺术与手艺”“科学”“射击”“驾驶”“格斗”</t>
  </si>
  <si>
    <t>将“自定义艺术/手艺”的“用法/备注”设置为自动换行
将“自定义科学或其他技能”的“用法/备注”设置为自动换行</t>
  </si>
  <si>
    <t>更改理发，酿酒，捕鱼，打字，技术制图的解释</t>
  </si>
  <si>
    <t>修复“自定义职业本职技能”技能下拉选框无法选择“格斗③”“射击③”“外语③”“自定义”技能的问题</t>
  </si>
  <si>
    <t>将“随身物品”的“状态”和“部位”最后三格取消下拉框</t>
  </si>
  <si>
    <t>为额外的职业表添加注释</t>
  </si>
  <si>
    <t>修复“重伤值”的计算错误，并移动到左侧
增加“临时体力值”</t>
  </si>
  <si>
    <t>删除自动掷骰部分</t>
  </si>
  <si>
    <t>更改“将力量与体型相加之后”的色块</t>
  </si>
  <si>
    <t>将“神话相关”的输入框设置为文本格式
将“法术一览”的输入框设置为文本格式
将“调查员伙伴”的输入框设置为文本格式
将“调查员经历”的输入框设置为文本格式</t>
  </si>
  <si>
    <t>修正唯二可以超过99的错误（可以超过100）</t>
  </si>
  <si>
    <t>将“特殊伤害解读”的注释格式改为向左对其</t>
  </si>
  <si>
    <t>更改“战斗轮可选规则”的“先攻检定”“击晕”“相杀”“火力压制”“瞄准具”“支架”“在战斗中移动”“完全隐蔽”“击穿掩体”“俯卧”“毒性”“毒性示例”可选规则的注释 / 增加“抵近射击调整”</t>
  </si>
  <si>
    <t>将“技能”的拥有分支技能的技能表现出来。</t>
  </si>
  <si>
    <t>添加：发明时间</t>
  </si>
  <si>
    <t>修复“多面骰”的“D2”无效问题</t>
  </si>
  <si>
    <t>删除“防护等级”</t>
  </si>
  <si>
    <t>将技能成功等级文字化并命名为“技能成功等级与注释”</t>
  </si>
  <si>
    <t>更改“术语解释/规则”的名称与排版</t>
  </si>
  <si>
    <t>2018.10.13更新 版本号：18.10.3</t>
  </si>
  <si>
    <t>添加“MOV与速度对照值”</t>
  </si>
  <si>
    <t>增加“简化卡”</t>
  </si>
  <si>
    <t>修改载具表的大量问题</t>
  </si>
  <si>
    <t>修复大量BUG</t>
  </si>
  <si>
    <t>将【分支技能】改为【技能注释】</t>
  </si>
  <si>
    <t>为“技能表”的“信用评级”的“兴趣点”增加提示</t>
  </si>
  <si>
    <t>将【属性和掷骰】改为【属性注释】</t>
  </si>
  <si>
    <t>为其他资产表增加“资产总和”</t>
  </si>
  <si>
    <t>反正我在这随 "便写点" 啥再加几个括号引号你们:也不会发现，完全没得人看更新说明我好伤心</t>
  </si>
  <si>
    <t>将“您的角色可能”在无属性的情况下设置为隐藏状态</t>
  </si>
  <si>
    <t>取消除【更新说明】外所有页面的锁定</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</si>
  <si>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</si>
  <si>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2019.5.9更新 版本号：19.5.1</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</si>
  <si>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</si>
  <si>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</si>
  <si>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</si>
  <si>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这是一张展示世纪界语系的地图（来自维基百科2018）</t>
  </si>
  <si>
    <t>将【资金参考】合并入【分支技能】、并改名为【分至技能与资产】</t>
  </si>
  <si>
    <t>2018.10.9更新 版本号：18.10.2</t>
  </si>
  <si>
    <t>汉化语系地图</t>
  </si>
  <si>
    <t>人
物
表
更
新</t>
  </si>
  <si>
    <t>将“幸运”附表的“消耗规则”改为“大成功”“大失败”次数记录，并将其放置在右侧</t>
  </si>
  <si>
    <t>更新定义：
专业技能：可以转移的技能优势   语言解释
超越人体极限：多调查员协作检定</t>
  </si>
  <si>
    <t>将“护甲”附表的“覆盖位置”改为“护甲类型”，并将其放置在右侧
为“护甲类型”增加下拉框
为护甲值、覆盖位置增加自动算法
将护甲的mov惩罚算进移动力中</t>
  </si>
  <si>
    <t>将【资产参考】更名为【资产及物价参考】</t>
  </si>
  <si>
    <t>增加“简单易懂英制的长度单位教学~~~”</t>
  </si>
  <si>
    <t xml:space="preserve">将其他资产表设置为自动换行
</t>
  </si>
  <si>
    <t>增加“现代物价参考表”</t>
  </si>
  <si>
    <t>将背景故事全部设置为自动换行</t>
  </si>
  <si>
    <t>增加“1920年代物价参考表”</t>
  </si>
  <si>
    <t>将雷达图背景色设置为透明</t>
  </si>
  <si>
    <t>纠正射程单位
更新武器名称
将“布置”改为“就地”
将武器名称和规则书同步</t>
  </si>
  <si>
    <t>修复“武器表”次数问题</t>
  </si>
  <si>
    <t>简化随身物品
为随身物品的位置标注增加注释</t>
  </si>
  <si>
    <t>更新“伤害加值”、“体格”算法</t>
  </si>
  <si>
    <t>将“术语解释”中的：
“+db注释”更改为“英制单位的简易理解方式”
更改“罕见”的注释</t>
  </si>
  <si>
    <t>更新“年龄移动力”算法</t>
  </si>
  <si>
    <t>将“调查员伙伴”和“调查员经历”的位置调换</t>
  </si>
  <si>
    <t>为“神话相关”增加和“疯狂与克苏鲁神话”规则、“相信者”规则、“幕间成长”规则的例子
为“神话相关”增加和“累计”，详见习惯恐惧规则</t>
  </si>
  <si>
    <t>在“特殊伤害解读”中增加“晕（眩）”</t>
  </si>
  <si>
    <t>将“会造成惩罚骰或奖励骰的情况”改为“远程武器会造成惩罚骰或奖励骰的情况”</t>
  </si>
  <si>
    <t>更新并纠错“会造成惩罚骰或奖励骰的情况”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</si>
  <si>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</si>
  <si>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</si>
  <si>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</si>
  <si>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</si>
  <si>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</si>
  <si>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</si>
  <si>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</si>
  <si>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</si>
  <si>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更改以下载具乘客数值
地铁                                 缆车
空轨                                 高铁
客船                                 独木舟
木筏                                 货轮
热气球</t>
  </si>
  <si>
    <t>疯
狂
表
更
新</t>
  </si>
  <si>
    <t>增加“疯狂与理智少见规则”
-“失败的理智检定”
-“习惯恐惧”
-“潜在疯狂”
-“疯狂的副作用”
-“幻觉与现实认知检定”
-“从疯狂中恢复”</t>
  </si>
  <si>
    <t>更改四马马车的技能，和常见时代</t>
  </si>
  <si>
    <t>将载具表下的“术语解释”重命名为“术语解释/规则”</t>
  </si>
  <si>
    <t>将2018版本更新放置右侧</t>
  </si>
  <si>
    <t>2018.10.2更新 版本号：18.10.1</t>
  </si>
  <si>
    <t>删除“debug组成员”改为“我要把你的名字写在这里！”</t>
  </si>
  <si>
    <t>合并【防具表】与【载具表】</t>
  </si>
  <si>
    <t>2018.4.1更新 版本号：19.4.1</t>
  </si>
  <si>
    <r>
      <rPr>
        <sz val="11"/>
        <color rgb="FF000000"/>
        <rFont val="微软雅黑"/>
        <charset val="134"/>
      </rPr>
      <t xml:space="preserve">修复大量错误的职业标记  </t>
    </r>
    <r>
      <rPr>
        <sz val="11"/>
        <color rgb="FFFF0000"/>
        <rFont val="微软雅黑"/>
        <charset val="134"/>
      </rPr>
      <t>（协助者：战神瓜皮）</t>
    </r>
  </si>
  <si>
    <t>修复“剩余经历包点数”bug</t>
  </si>
  <si>
    <t>修复多选项与任意项不显示或不隐藏的问题</t>
  </si>
  <si>
    <t>降低“战斗流程图”的文件大小</t>
  </si>
  <si>
    <t>修复并更新雷达图</t>
  </si>
  <si>
    <t>2019.3.?更新 版本号：19.3.1</t>
  </si>
  <si>
    <t>将“状态”和“精神状态”放置在“耐久”和“理智”的右侧
为人物卡重新排版
为人物卡增加“笔记本”和“浮动笔记本”</t>
  </si>
  <si>
    <r>
      <rPr>
        <sz val="11"/>
        <color rgb="FFFF0000"/>
        <rFont val="微软雅黑"/>
        <charset val="134"/>
      </rPr>
      <t>看下面，</t>
    </r>
    <r>
      <rPr>
        <sz val="8"/>
        <color rgb="FFFF0000"/>
        <rFont val="微软雅黑"/>
        <charset val="134"/>
      </rPr>
      <t>这个只是为了照顾非1920*1080屏幕的玩家做的改动</t>
    </r>
    <r>
      <rPr>
        <sz val="11"/>
        <color rgb="FFFF0000"/>
        <rFont val="微软雅黑"/>
        <charset val="134"/>
      </rPr>
      <t>（简化）</t>
    </r>
  </si>
  <si>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</si>
  <si>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</si>
  <si>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</si>
  <si>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</si>
  <si>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</si>
  <si>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</si>
  <si>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</si>
  <si>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</si>
  <si>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</si>
  <si>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</si>
  <si>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</si>
  <si>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</si>
  <si>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</si>
  <si>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</si>
  <si>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</si>
  <si>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</si>
  <si>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</si>
  <si>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</si>
  <si>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</si>
  <si>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</si>
  <si>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</si>
  <si>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</si>
  <si>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删除“蒸汽朋克世纪界观”武器，改为“自定义”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</si>
  <si>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</si>
  <si>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</si>
  <si>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</si>
  <si>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</si>
  <si>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</si>
  <si>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</si>
  <si>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</si>
  <si>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</si>
  <si>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</si>
  <si>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</si>
  <si>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</si>
  <si>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</si>
  <si>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</si>
  <si>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为武器列表增加“蒸汽朋克世纪界观模组”</t>
  </si>
  <si>
    <t>增
加</t>
  </si>
  <si>
    <t>增加【增加防具表】</t>
  </si>
  <si>
    <t>增加【载具表】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</si>
</sst>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25">
    <numFmt numFmtId="41" formatCode="_-* #,##0_-;\-* #,##0_-;_-* &quot;-&quot;_-;_-@_-"/>
    <numFmt numFmtId="43" formatCode="_-* #,##0.00_-;\-* #,##0.00_-;_-* &quot;-&quot;??_-;_-@_-"/>
    <numFmt numFmtId="176" formatCode="_-&quot;NT$&quot;* #,##0.00_-;\-&quot;NT$&quot;* #,##0.00_-;_-&quot;NT$&quot;* &quot;-&quot;??_-;_-@_-"/>
    <numFmt numFmtId="177" formatCode="_-&quot;NT$&quot;* #,##0_-;\-&quot;NT$&quot;* #,##0_-;_-&quot;NT$&quot;* &quot;-&quot;_-;_-@_-"/>
    <numFmt numFmtId="178" formatCode="m&quot;月&quot;d&quot;日&quot;"/>
    <numFmt numFmtId="179" formatCode="[=0]General;&quot;1920s,罕见&quot;"/>
    <numFmt numFmtId="180" formatCode="&quot;$&quot;#,##0_);[Red]\(&quot;$&quot;#,##0\)"/>
    <numFmt numFmtId="181" formatCode="&quot;$&quot;0"/>
    <numFmt numFmtId="182" formatCode="&quot;[&quot;0&quot;]&quot;"/>
    <numFmt numFmtId="183" formatCode="0_);[Red]\(0\)"/>
    <numFmt numFmtId="184" formatCode="0.00_);[Red]\(0.00\)"/>
    <numFmt numFmtId="185" formatCode="[=0]&quot;&quot;;General"/>
    <numFmt numFmtId="186" formatCode="0\-"/>
    <numFmt numFmtId="187" formatCode="General&quot;项&quot;"/>
    <numFmt numFmtId="188" formatCode="&quot;/&quot;0"/>
    <numFmt numFmtId="189" formatCode="[=0]&quot;&quot;;&quot;/&quot;0"/>
    <numFmt numFmtId="190" formatCode="[=32767]&quot;&quot;;General"/>
    <numFmt numFmtId="191" formatCode="h:mm"/>
    <numFmt numFmtId="192" formatCode="0&quot;年&quot;"/>
    <numFmt numFmtId="193" formatCode="\/0_ "/>
    <numFmt numFmtId="194" formatCode="[=1]&quot;☆ 二选一&quot;;[=0]&quot;&quot;"/>
    <numFmt numFmtId="195" formatCode="[=1]&quot;⊙ 二选一&quot;;[=0]&quot;&quot;"/>
    <numFmt numFmtId="196" formatCode="[=0]&quot;&quot;;&quot;☯ 社交技能（&quot;0&quot;项）&quot;"/>
    <numFmt numFmtId="197" formatCode="\+0;\-0;&quot;±&quot;0"/>
    <numFmt numFmtId="198" formatCode="[=1]&quot;※ 多选，或X选一&quot;;[=0]&quot;&quot;"/>
  </numFmts>
  <fonts count="242">
    <font>
      <sz val="11"/>
      <name val="宋体"/>
      <charset val="134"/>
    </font>
    <font>
      <sz val="11"/>
      <color rgb="FF000000"/>
      <name val="微软雅黑"/>
      <charset val="134"/>
    </font>
    <font>
      <sz val="11"/>
      <color rgb="FFFFFFFF"/>
      <name val="微软雅黑"/>
      <charset val="134"/>
    </font>
    <font>
      <sz val="16"/>
      <name val="微软雅黑"/>
      <charset val="134"/>
    </font>
    <font>
      <sz val="8"/>
      <name val="微软雅黑"/>
      <charset val="134"/>
    </font>
    <font>
      <sz val="14"/>
      <name val="微软雅黑"/>
      <charset val="134"/>
    </font>
    <font>
      <sz val="11"/>
      <name val="微软雅黑"/>
      <charset val="134"/>
    </font>
    <font>
      <sz val="11"/>
      <color rgb="FFFF0000"/>
      <name val="微软雅黑"/>
      <charset val="134"/>
    </font>
    <font>
      <sz val="6"/>
      <name val="微软雅黑"/>
      <charset val="134"/>
    </font>
    <font>
      <b/>
      <sz val="11"/>
      <color rgb="FFFF0000"/>
      <name val="微软雅黑"/>
      <charset val="134"/>
    </font>
    <font>
      <sz val="16"/>
      <color rgb="FF65A3D7"/>
      <name val="微软雅黑"/>
      <charset val="134"/>
    </font>
    <font>
      <sz val="12"/>
      <color rgb="FF000000"/>
      <name val="微软雅黑"/>
      <charset val="134"/>
    </font>
    <font>
      <u/>
      <sz val="11"/>
      <color rgb="FF0000FF"/>
      <name val="微软雅黑"/>
      <charset val="134"/>
    </font>
    <font>
      <sz val="11"/>
      <color rgb="FF808080"/>
      <name val="微软雅黑"/>
      <charset val="134"/>
    </font>
    <font>
      <sz val="10"/>
      <name val="微软雅黑"/>
      <charset val="134"/>
    </font>
    <font>
      <i/>
      <sz val="11"/>
      <color rgb="FF808080"/>
      <name val="宋体"/>
      <charset val="134"/>
    </font>
    <font>
      <sz val="11"/>
      <color rgb="FFD9D9D9"/>
      <name val="微软雅黑"/>
      <charset val="134"/>
    </font>
    <font>
      <sz val="20"/>
      <color rgb="FF000000"/>
      <name val="微软雅黑"/>
      <charset val="134"/>
    </font>
    <font>
      <sz val="8"/>
      <color rgb="FF000000"/>
      <name val="微软雅黑"/>
      <charset val="134"/>
    </font>
    <font>
      <sz val="12"/>
      <name val="微软雅黑"/>
      <charset val="134"/>
    </font>
    <font>
      <strike/>
      <sz val="11"/>
      <color rgb="FF000000"/>
      <name val="微软雅黑"/>
      <charset val="134"/>
    </font>
    <font>
      <sz val="14"/>
      <color rgb="FFFF0000"/>
      <name val="微软雅黑"/>
      <charset val="134"/>
    </font>
    <font>
      <b/>
      <sz val="11"/>
      <color rgb="FF000000"/>
      <name val="微软雅黑"/>
      <charset val="134"/>
    </font>
    <font>
      <sz val="9"/>
      <name val="微软雅黑"/>
      <charset val="134"/>
    </font>
    <font>
      <sz val="10"/>
      <color rgb="FF000000"/>
      <name val="微软雅黑"/>
      <charset val="134"/>
    </font>
    <font>
      <sz val="7"/>
      <name val="微软雅黑"/>
      <charset val="134"/>
    </font>
    <font>
      <sz val="14"/>
      <color rgb="FF000000"/>
      <name val="微软雅黑"/>
      <charset val="134"/>
    </font>
    <font>
      <b/>
      <sz val="12"/>
      <color rgb="FF000000"/>
      <name val="微软雅黑"/>
      <charset val="134"/>
    </font>
    <font>
      <sz val="28"/>
      <color rgb="FF000000"/>
      <name val="微软雅黑"/>
      <charset val="134"/>
    </font>
    <font>
      <sz val="22"/>
      <color rgb="FF000000"/>
      <name val="微软雅黑"/>
      <charset val="134"/>
    </font>
    <font>
      <sz val="6"/>
      <color rgb="FF000000"/>
      <name val="微软雅黑"/>
      <charset val="134"/>
    </font>
    <font>
      <sz val="10"/>
      <name val="等线"/>
      <charset val="134"/>
    </font>
    <font>
      <sz val="11"/>
      <name val="等线"/>
      <charset val="134"/>
    </font>
    <font>
      <sz val="11"/>
      <color rgb="FF000000"/>
      <name val="宋体"/>
      <charset val="134"/>
    </font>
    <font>
      <b/>
      <sz val="10"/>
      <color rgb="FFFFFFFF"/>
      <name val="微软雅黑"/>
      <charset val="134"/>
    </font>
    <font>
      <b/>
      <sz val="8"/>
      <color rgb="FFFFFFFF"/>
      <name val="微软雅黑"/>
      <charset val="134"/>
    </font>
    <font>
      <sz val="10"/>
      <color rgb="FF203764"/>
      <name val="微软雅黑"/>
      <charset val="134"/>
    </font>
    <font>
      <sz val="10"/>
      <color rgb="FF000000"/>
      <name val="等线"/>
      <charset val="134"/>
    </font>
    <font>
      <b/>
      <sz val="12"/>
      <color rgb="FF203764"/>
      <name val="微软雅黑"/>
      <charset val="134"/>
    </font>
    <font>
      <sz val="9"/>
      <color rgb="FF203764"/>
      <name val="微软雅黑"/>
      <charset val="134"/>
    </font>
    <font>
      <sz val="36"/>
      <name val="等线"/>
      <charset val="134"/>
    </font>
    <font>
      <sz val="12"/>
      <color rgb="FFFF0000"/>
      <name val="等线"/>
      <charset val="134"/>
    </font>
    <font>
      <sz val="14"/>
      <color rgb="FFFF0000"/>
      <name val="等线"/>
      <charset val="134"/>
    </font>
    <font>
      <sz val="24"/>
      <name val="等线"/>
      <charset val="134"/>
    </font>
    <font>
      <b/>
      <sz val="11"/>
      <color rgb="FFFFFFFF"/>
      <name val="宋体"/>
      <charset val="134"/>
    </font>
    <font>
      <sz val="9"/>
      <name val="等线"/>
      <charset val="134"/>
    </font>
    <font>
      <sz val="8"/>
      <color rgb="FF000000"/>
      <name val="等线"/>
      <charset val="134"/>
    </font>
    <font>
      <sz val="28"/>
      <color rgb="FF203764"/>
      <name val="微软雅黑"/>
      <charset val="134"/>
    </font>
    <font>
      <sz val="24"/>
      <color rgb="FF203764"/>
      <name val="微软雅黑"/>
      <charset val="134"/>
    </font>
    <font>
      <sz val="11"/>
      <color rgb="FF203764"/>
      <name val="微软雅黑"/>
      <charset val="134"/>
    </font>
    <font>
      <sz val="12"/>
      <color rgb="FF203764"/>
      <name val="微软雅黑"/>
      <charset val="134"/>
    </font>
    <font>
      <sz val="16"/>
      <color rgb="FF203764"/>
      <name val="微软雅黑"/>
      <charset val="134"/>
    </font>
    <font>
      <sz val="28"/>
      <name val="等线"/>
      <charset val="134"/>
    </font>
    <font>
      <sz val="18"/>
      <name val="等线"/>
      <charset val="134"/>
    </font>
    <font>
      <sz val="11"/>
      <color rgb="FFFFFFFF"/>
      <name val="等线"/>
      <charset val="134"/>
    </font>
    <font>
      <sz val="10"/>
      <name val="宋体"/>
      <charset val="134"/>
    </font>
    <font>
      <b/>
      <sz val="11"/>
      <name val="宋体"/>
      <charset val="134"/>
    </font>
    <font>
      <sz val="10"/>
      <color rgb="FFFFFFFF"/>
      <name val="微软雅黑"/>
      <charset val="134"/>
    </font>
    <font>
      <b/>
      <sz val="11"/>
      <name val="微软雅黑"/>
      <charset val="134"/>
    </font>
    <font>
      <b/>
      <sz val="10"/>
      <name val="微软雅黑"/>
      <charset val="134"/>
    </font>
    <font>
      <b/>
      <sz val="9"/>
      <name val="微软雅黑"/>
      <charset val="134"/>
    </font>
    <font>
      <sz val="16"/>
      <name val="等线"/>
      <charset val="134"/>
    </font>
    <font>
      <sz val="10"/>
      <color rgb="FF000000"/>
      <name val="宋体"/>
      <charset val="134"/>
    </font>
    <font>
      <sz val="20"/>
      <name val="微软雅黑"/>
      <charset val="134"/>
    </font>
    <font>
      <sz val="16"/>
      <name val="宋体"/>
      <charset val="134"/>
    </font>
    <font>
      <sz val="28"/>
      <name val="微软雅黑"/>
      <charset val="134"/>
    </font>
    <font>
      <b/>
      <sz val="15"/>
      <name val="微软雅黑"/>
      <charset val="134"/>
    </font>
    <font>
      <b/>
      <sz val="18"/>
      <name val="微软雅黑"/>
      <charset val="134"/>
    </font>
    <font>
      <b/>
      <sz val="12"/>
      <name val="等线"/>
      <charset val="134"/>
    </font>
    <font>
      <i/>
      <sz val="9"/>
      <name val="微软雅黑"/>
      <charset val="134"/>
    </font>
    <font>
      <b/>
      <sz val="9"/>
      <color rgb="FFFFFFFF"/>
      <name val="宋体"/>
      <charset val="134"/>
    </font>
    <font>
      <b/>
      <sz val="9"/>
      <name val="宋体"/>
      <charset val="134"/>
    </font>
    <font>
      <sz val="26"/>
      <name val="等线"/>
      <charset val="134"/>
    </font>
    <font>
      <sz val="12"/>
      <name val="等线"/>
      <charset val="134"/>
    </font>
    <font>
      <i/>
      <sz val="10"/>
      <name val="等线"/>
      <charset val="134"/>
    </font>
    <font>
      <i/>
      <sz val="10"/>
      <name val="微软雅黑"/>
      <charset val="134"/>
    </font>
    <font>
      <sz val="22"/>
      <name val="等线"/>
      <charset val="134"/>
    </font>
    <font>
      <b/>
      <sz val="11"/>
      <color rgb="FFFFFFFF"/>
      <name val="微软雅黑"/>
      <charset val="134"/>
    </font>
    <font>
      <sz val="11"/>
      <color rgb="FFC00000"/>
      <name val="微软雅黑"/>
      <charset val="134"/>
    </font>
    <font>
      <sz val="11"/>
      <color rgb="FF806000"/>
      <name val="微软雅黑"/>
      <charset val="134"/>
    </font>
    <font>
      <sz val="11"/>
      <color rgb="FF1F4E78"/>
      <name val="微软雅黑"/>
      <charset val="134"/>
    </font>
    <font>
      <sz val="10"/>
      <color rgb="FFDDEBF7"/>
      <name val="微软雅黑"/>
      <charset val="134"/>
    </font>
    <font>
      <b/>
      <strike/>
      <sz val="15"/>
      <name val="微软雅黑"/>
      <charset val="134"/>
    </font>
    <font>
      <sz val="11"/>
      <color rgb="FF375623"/>
      <name val="微软雅黑"/>
      <charset val="134"/>
    </font>
    <font>
      <b/>
      <sz val="16"/>
      <name val="微软雅黑"/>
      <charset val="134"/>
    </font>
    <font>
      <sz val="24"/>
      <name val="微软雅黑"/>
      <charset val="134"/>
    </font>
    <font>
      <sz val="18"/>
      <name val="微软雅黑"/>
      <charset val="134"/>
    </font>
    <font>
      <b/>
      <sz val="12"/>
      <name val="微软雅黑"/>
      <charset val="134"/>
    </font>
    <font>
      <b/>
      <sz val="14"/>
      <name val="微软雅黑"/>
      <charset val="134"/>
    </font>
    <font>
      <sz val="22"/>
      <name val="微软雅黑"/>
      <charset val="134"/>
    </font>
    <font>
      <sz val="26"/>
      <name val="微软雅黑"/>
      <charset val="134"/>
    </font>
    <font>
      <b/>
      <sz val="20"/>
      <name val="微软雅黑"/>
      <charset val="134"/>
    </font>
    <font>
      <b/>
      <sz val="11"/>
      <color rgb="FFFF0000"/>
      <name val="等线"/>
      <charset val="134"/>
    </font>
    <font>
      <sz val="11"/>
      <color rgb="FFFF0000"/>
      <name val="等线"/>
      <charset val="134"/>
    </font>
    <font>
      <sz val="12"/>
      <color rgb="FF000000"/>
      <name val="等线"/>
      <charset val="134"/>
    </font>
    <font>
      <sz val="11"/>
      <color rgb="FF000000"/>
      <name val="等线"/>
      <charset val="134"/>
    </font>
    <font>
      <sz val="9"/>
      <color rgb="FF000000"/>
      <name val="微软雅黑"/>
      <charset val="134"/>
    </font>
    <font>
      <sz val="9"/>
      <color rgb="FF000000"/>
      <name val="等线"/>
      <charset val="134"/>
    </font>
    <font>
      <sz val="8"/>
      <name val="等线"/>
      <charset val="134"/>
    </font>
    <font>
      <sz val="7"/>
      <color rgb="FF000000"/>
      <name val="等线"/>
      <charset val="134"/>
    </font>
    <font>
      <sz val="12"/>
      <color rgb="FFFFFFFF"/>
      <name val="微软雅黑 Light"/>
      <charset val="134"/>
    </font>
    <font>
      <sz val="12"/>
      <color rgb="FF000000"/>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2"/>
      <name val="微软雅黑 Light"/>
      <charset val="134"/>
    </font>
    <font>
      <b/>
      <sz val="18"/>
      <name val="微软雅黑 Light"/>
      <charset val="134"/>
    </font>
    <font>
      <sz val="12"/>
      <color rgb="FFFFFFFF"/>
      <name val="微软雅黑"/>
      <charset val="134"/>
    </font>
    <font>
      <sz val="9"/>
      <color rgb="FF000000"/>
      <name val="微软雅黑 Light"/>
      <charset val="134"/>
    </font>
    <font>
      <sz val="9"/>
      <color rgb="FF000000"/>
      <name val="宋体"/>
      <charset val="134"/>
    </font>
    <font>
      <b/>
      <sz val="9"/>
      <color rgb="FF000000"/>
      <name val="宋体"/>
      <charset val="134"/>
    </font>
    <font>
      <i/>
      <sz val="9"/>
      <color rgb="FF000000"/>
      <name val="微软雅黑"/>
      <charset val="134"/>
    </font>
    <font>
      <b/>
      <sz val="12"/>
      <color rgb="FFD58B43"/>
      <name val="微软雅黑 Light"/>
      <charset val="134"/>
    </font>
    <font>
      <sz val="12"/>
      <color rgb="FFD58B43"/>
      <name val="微软雅黑 Light"/>
      <charset val="134"/>
    </font>
    <font>
      <sz val="12"/>
      <color rgb="FF2F75B5"/>
      <name val="微软雅黑 Light"/>
      <charset val="134"/>
    </font>
    <font>
      <sz val="14"/>
      <name val="等线"/>
      <charset val="134"/>
    </font>
    <font>
      <sz val="14"/>
      <color rgb="FF000000"/>
      <name val="宋体"/>
      <charset val="134"/>
    </font>
    <font>
      <sz val="14"/>
      <color rgb="FF000000"/>
      <name val="Calibri"/>
      <charset val="134"/>
    </font>
    <font>
      <sz val="14"/>
      <color indexed="8"/>
      <name val="Calibri"/>
      <charset val="134"/>
    </font>
    <font>
      <sz val="10"/>
      <color indexed="8"/>
      <name val="Calibri"/>
      <charset val="134"/>
    </font>
    <font>
      <sz val="10"/>
      <color indexed="8"/>
      <name val="宋体"/>
      <charset val="134"/>
    </font>
    <font>
      <sz val="8"/>
      <color rgb="FF000000"/>
      <name val="宋体"/>
      <charset val="134"/>
    </font>
    <font>
      <sz val="8"/>
      <color indexed="8"/>
      <name val="Calibri"/>
      <charset val="134"/>
    </font>
    <font>
      <sz val="10"/>
      <color rgb="FF000000"/>
      <name val="Times New Roman"/>
      <charset val="134"/>
    </font>
    <font>
      <sz val="8"/>
      <color indexed="8"/>
      <name val="宋体"/>
      <charset val="134"/>
    </font>
    <font>
      <sz val="10"/>
      <color rgb="FF000000"/>
      <name val="Calibri"/>
      <charset val="134"/>
    </font>
    <font>
      <sz val="10"/>
      <color rgb="FF808080"/>
      <name val="微软雅黑"/>
      <charset val="134"/>
    </font>
    <font>
      <sz val="10"/>
      <name val="微软雅黑 Light"/>
      <charset val="134"/>
    </font>
    <font>
      <b/>
      <sz val="10"/>
      <color rgb="FF000000"/>
      <name val="微软雅黑 Light"/>
      <charset val="134"/>
    </font>
    <font>
      <sz val="9"/>
      <color rgb="FFFFFFFF"/>
      <name val="微软雅黑"/>
      <charset val="134"/>
    </font>
    <font>
      <sz val="10"/>
      <color rgb="FF808080"/>
      <name val="等线"/>
      <charset val="134"/>
    </font>
    <font>
      <sz val="10"/>
      <color rgb="FFFF0000"/>
      <name val="微软雅黑"/>
      <charset val="134"/>
    </font>
    <font>
      <b/>
      <sz val="9"/>
      <color rgb="FF000000"/>
      <name val="微软雅黑 Light"/>
      <charset val="134"/>
    </font>
    <font>
      <sz val="11"/>
      <name val="微软雅黑 Light"/>
      <charset val="134"/>
    </font>
    <font>
      <b/>
      <sz val="11"/>
      <color rgb="FF000000"/>
      <name val="微软雅黑 Light"/>
      <charset val="134"/>
    </font>
    <font>
      <sz val="11"/>
      <color rgb="FFFFFFFF"/>
      <name val="宋体"/>
      <charset val="134"/>
    </font>
    <font>
      <sz val="10"/>
      <color rgb="FF222222"/>
      <name val="宋体"/>
      <charset val="134"/>
    </font>
    <font>
      <b/>
      <sz val="12"/>
      <color rgb="FF000000"/>
      <name val="微软雅黑 Light"/>
      <charset val="134"/>
    </font>
    <font>
      <sz val="10"/>
      <color rgb="FF333333"/>
      <name val="微软雅黑"/>
      <charset val="134"/>
    </font>
    <font>
      <sz val="10"/>
      <color rgb="FF000000"/>
      <name val="FZBIAOYSK--GBK1-0"/>
      <charset val="134"/>
    </font>
    <font>
      <sz val="20"/>
      <color rgb="FF000000"/>
      <name val="等线"/>
      <charset val="134"/>
    </font>
    <font>
      <sz val="18"/>
      <color rgb="FF000000"/>
      <name val="等线"/>
      <charset val="134"/>
    </font>
    <font>
      <sz val="11"/>
      <color rgb="FFFF0000"/>
      <name val="宋体"/>
      <charset val="134"/>
    </font>
    <font>
      <sz val="18"/>
      <color rgb="FF000000"/>
      <name val="微软雅黑"/>
      <charset val="134"/>
    </font>
    <font>
      <sz val="15"/>
      <name val="微软雅黑"/>
      <charset val="134"/>
    </font>
    <font>
      <sz val="11"/>
      <color rgb="FF32D3F6"/>
      <name val="微软雅黑"/>
      <charset val="134"/>
    </font>
    <font>
      <sz val="11"/>
      <color rgb="FF32D3F6"/>
      <name val="宋体"/>
      <charset val="134"/>
    </font>
    <font>
      <b/>
      <sz val="11"/>
      <color rgb="FFFFFFFF"/>
      <name val="微软雅黑 Light"/>
      <charset val="134"/>
    </font>
    <font>
      <b/>
      <sz val="9"/>
      <color rgb="FFFFFFFF"/>
      <name val="微软雅黑 Light"/>
      <charset val="134"/>
    </font>
    <font>
      <sz val="11"/>
      <color rgb="FFC00000"/>
      <name val="微软雅黑 Light"/>
      <charset val="134"/>
    </font>
    <font>
      <sz val="11"/>
      <color rgb="FFFFFFFF"/>
      <name val="微软雅黑 Light"/>
      <charset val="134"/>
    </font>
    <font>
      <b/>
      <sz val="11"/>
      <color rgb="FFFFFFFF"/>
      <name val="等线"/>
      <charset val="134"/>
    </font>
    <font>
      <i/>
      <sz val="10"/>
      <color rgb="FF000000"/>
      <name val="微软雅黑 Light"/>
      <charset val="134"/>
    </font>
    <font>
      <sz val="14"/>
      <color rgb="FF000000"/>
      <name val="微软雅黑 Light"/>
      <charset val="134"/>
    </font>
    <font>
      <sz val="11"/>
      <color rgb="FFFF0000"/>
      <name val="微软雅黑 Light"/>
      <charset val="134"/>
    </font>
    <font>
      <sz val="10"/>
      <color rgb="FFC00000"/>
      <name val="微软雅黑"/>
      <charset val="134"/>
    </font>
    <font>
      <b/>
      <sz val="10"/>
      <color rgb="FF000000"/>
      <name val="微软雅黑"/>
      <charset val="134"/>
    </font>
    <font>
      <b/>
      <sz val="9"/>
      <color rgb="FF000000"/>
      <name val="微软雅黑"/>
      <charset val="134"/>
    </font>
    <font>
      <sz val="10"/>
      <color rgb="FF000000"/>
      <name val="幼圆"/>
      <charset val="134"/>
    </font>
    <font>
      <sz val="10"/>
      <color rgb="FFD9D9D9"/>
      <name val="幼圆"/>
      <charset val="134"/>
    </font>
    <font>
      <sz val="10"/>
      <color rgb="FFFFFFFF"/>
      <name val="幼圆"/>
      <charset val="134"/>
    </font>
    <font>
      <sz val="10"/>
      <color rgb="FFFF0000"/>
      <name val="幼圆"/>
      <charset val="134"/>
    </font>
    <font>
      <sz val="9"/>
      <color rgb="FF595959"/>
      <name val="幼圆"/>
      <charset val="134"/>
    </font>
    <font>
      <sz val="10"/>
      <color rgb="FF595959"/>
      <name val="幼圆"/>
      <charset val="134"/>
    </font>
    <font>
      <sz val="8"/>
      <color rgb="FF808080"/>
      <name val="幼圆"/>
      <charset val="134"/>
    </font>
    <font>
      <sz val="9"/>
      <color rgb="FF000000"/>
      <name val="幼圆"/>
      <charset val="134"/>
    </font>
    <font>
      <sz val="9"/>
      <color rgb="FF5D0705"/>
      <name val="幼圆"/>
      <charset val="134"/>
    </font>
    <font>
      <sz val="11"/>
      <color rgb="FF000000"/>
      <name val="幼圆"/>
      <charset val="134"/>
    </font>
    <font>
      <sz val="10"/>
      <name val="幼圆"/>
      <charset val="134"/>
    </font>
    <font>
      <sz val="9"/>
      <name val="幼圆"/>
      <charset val="134"/>
    </font>
    <font>
      <sz val="10"/>
      <color rgb="FF808080"/>
      <name val="幼圆"/>
      <charset val="134"/>
    </font>
    <font>
      <sz val="8"/>
      <color rgb="FF000000"/>
      <name val="幼圆"/>
      <charset val="134"/>
    </font>
    <font>
      <sz val="8"/>
      <color rgb="FF5D0705"/>
      <name val="幼圆"/>
      <charset val="134"/>
    </font>
    <font>
      <sz val="9"/>
      <color rgb="FFF2F2F2"/>
      <name val="幼圆"/>
      <charset val="134"/>
    </font>
    <font>
      <sz val="12"/>
      <color rgb="FFFFFFFF"/>
      <name val="幼圆"/>
      <charset val="134"/>
    </font>
    <font>
      <sz val="8"/>
      <color rgb="FF404040"/>
      <name val="幼圆"/>
      <charset val="134"/>
    </font>
    <font>
      <sz val="10"/>
      <color rgb="FF404040"/>
      <name val="幼圆"/>
      <charset val="134"/>
    </font>
    <font>
      <sz val="10"/>
      <color rgb="FF5D0705"/>
      <name val="幼圆"/>
      <charset val="134"/>
    </font>
    <font>
      <sz val="10"/>
      <color rgb="FF2F75B5"/>
      <name val="幼圆"/>
      <charset val="134"/>
    </font>
    <font>
      <sz val="10"/>
      <color rgb="FFF2F2F2"/>
      <name val="幼圆"/>
      <charset val="134"/>
    </font>
    <font>
      <sz val="6"/>
      <color rgb="FF595959"/>
      <name val="幼圆"/>
      <charset val="134"/>
    </font>
    <font>
      <sz val="10"/>
      <color rgb="FF548235"/>
      <name val="幼圆"/>
      <charset val="134"/>
    </font>
    <font>
      <sz val="11"/>
      <name val="幼圆"/>
      <charset val="134"/>
    </font>
    <font>
      <sz val="12"/>
      <color rgb="FF000000"/>
      <name val="幼圆"/>
      <charset val="134"/>
    </font>
    <font>
      <sz val="11"/>
      <color rgb="FFFFFFFF"/>
      <name val="幼圆"/>
      <charset val="134"/>
    </font>
    <font>
      <sz val="24"/>
      <name val="幼圆"/>
      <charset val="134"/>
    </font>
    <font>
      <sz val="12"/>
      <name val="幼圆"/>
      <charset val="134"/>
    </font>
    <font>
      <sz val="12"/>
      <color rgb="FF5D0705"/>
      <name val="幼圆"/>
      <charset val="134"/>
    </font>
    <font>
      <sz val="16"/>
      <color rgb="FF000000"/>
      <name val="幼圆"/>
      <charset val="134"/>
    </font>
    <font>
      <sz val="14"/>
      <color rgb="FFBFBFBF"/>
      <name val="幼圆"/>
      <charset val="134"/>
    </font>
    <font>
      <sz val="10"/>
      <color rgb="FFC00000"/>
      <name val="幼圆"/>
      <charset val="134"/>
    </font>
    <font>
      <sz val="14"/>
      <color rgb="FFC00000"/>
      <name val="幼圆"/>
      <charset val="134"/>
    </font>
    <font>
      <sz val="14"/>
      <color rgb="FFBFBFBF"/>
      <name val="等线"/>
      <charset val="134"/>
    </font>
    <font>
      <sz val="9"/>
      <color rgb="FFBFBFBF"/>
      <name val="幼圆"/>
      <charset val="134"/>
    </font>
    <font>
      <sz val="8"/>
      <color rgb="FFFF0000"/>
      <name val="幼圆"/>
      <charset val="134"/>
    </font>
    <font>
      <sz val="12"/>
      <color theme="1"/>
      <name val="新細明體"/>
      <charset val="134"/>
      <scheme val="minor"/>
    </font>
    <font>
      <u/>
      <sz val="11"/>
      <color rgb="FF0000FF"/>
      <name val="新細明體"/>
      <charset val="0"/>
      <scheme val="minor"/>
    </font>
    <font>
      <u/>
      <sz val="11"/>
      <color rgb="FF800080"/>
      <name val="新細明體"/>
      <charset val="0"/>
      <scheme val="minor"/>
    </font>
    <font>
      <sz val="11"/>
      <color rgb="FFFF0000"/>
      <name val="新細明體"/>
      <charset val="0"/>
      <scheme val="minor"/>
    </font>
    <font>
      <b/>
      <sz val="18"/>
      <color theme="3"/>
      <name val="新細明體"/>
      <charset val="134"/>
      <scheme val="minor"/>
    </font>
    <font>
      <i/>
      <sz val="11"/>
      <color rgb="FF7F7F7F"/>
      <name val="新細明體"/>
      <charset val="0"/>
      <scheme val="minor"/>
    </font>
    <font>
      <b/>
      <sz val="15"/>
      <color theme="3"/>
      <name val="新細明體"/>
      <charset val="134"/>
      <scheme val="minor"/>
    </font>
    <font>
      <b/>
      <sz val="13"/>
      <color theme="3"/>
      <name val="新細明體"/>
      <charset val="134"/>
      <scheme val="minor"/>
    </font>
    <font>
      <b/>
      <sz val="11"/>
      <color theme="3"/>
      <name val="新細明體"/>
      <charset val="134"/>
      <scheme val="minor"/>
    </font>
    <font>
      <sz val="11"/>
      <color rgb="FF3F3F76"/>
      <name val="新細明體"/>
      <charset val="0"/>
      <scheme val="minor"/>
    </font>
    <font>
      <b/>
      <sz val="11"/>
      <color rgb="FF3F3F3F"/>
      <name val="新細明體"/>
      <charset val="0"/>
      <scheme val="minor"/>
    </font>
    <font>
      <b/>
      <sz val="11"/>
      <color rgb="FFFA7D00"/>
      <name val="新細明體"/>
      <charset val="0"/>
      <scheme val="minor"/>
    </font>
    <font>
      <b/>
      <sz val="11"/>
      <color rgb="FFFFFFFF"/>
      <name val="新細明體"/>
      <charset val="0"/>
      <scheme val="minor"/>
    </font>
    <font>
      <sz val="11"/>
      <color rgb="FFFA7D00"/>
      <name val="新細明體"/>
      <charset val="0"/>
      <scheme val="minor"/>
    </font>
    <font>
      <b/>
      <sz val="11"/>
      <color theme="1"/>
      <name val="新細明體"/>
      <charset val="0"/>
      <scheme val="minor"/>
    </font>
    <font>
      <sz val="11"/>
      <color rgb="FF006100"/>
      <name val="新細明體"/>
      <charset val="0"/>
      <scheme val="minor"/>
    </font>
    <font>
      <sz val="11"/>
      <color rgb="FF9C0006"/>
      <name val="新細明體"/>
      <charset val="0"/>
      <scheme val="minor"/>
    </font>
    <font>
      <sz val="11"/>
      <color rgb="FF9C6500"/>
      <name val="新細明體"/>
      <charset val="0"/>
      <scheme val="minor"/>
    </font>
    <font>
      <sz val="11"/>
      <color theme="0"/>
      <name val="新細明體"/>
      <charset val="0"/>
      <scheme val="minor"/>
    </font>
    <font>
      <sz val="11"/>
      <color theme="1"/>
      <name val="新細明體"/>
      <charset val="0"/>
      <scheme val="minor"/>
    </font>
    <font>
      <u/>
      <sz val="11"/>
      <color rgb="FF0000FF"/>
      <name val="宋体"/>
      <charset val="134"/>
    </font>
    <font>
      <sz val="18"/>
      <color rgb="FFFF0000"/>
      <name val="微软雅黑"/>
      <charset val="134"/>
    </font>
    <font>
      <sz val="22"/>
      <color rgb="FFFF0000"/>
      <name val="微软雅黑"/>
      <charset val="134"/>
    </font>
    <font>
      <i/>
      <sz val="11"/>
      <color rgb="FF808080"/>
      <name val="微软雅黑"/>
      <charset val="134"/>
    </font>
    <font>
      <i/>
      <sz val="11"/>
      <color rgb="FFBFBFBF"/>
      <name val="微软雅黑"/>
      <charset val="134"/>
    </font>
    <font>
      <i/>
      <strike/>
      <sz val="9"/>
      <color rgb="FFBFBFBF"/>
      <name val="微软雅黑"/>
      <charset val="134"/>
    </font>
    <font>
      <i/>
      <sz val="9"/>
      <color rgb="FFBFBFBF"/>
      <name val="微软雅黑"/>
      <charset val="134"/>
    </font>
    <font>
      <i/>
      <sz val="8"/>
      <color rgb="FF808080"/>
      <name val="微软雅黑"/>
      <charset val="134"/>
    </font>
    <font>
      <i/>
      <sz val="10"/>
      <color rgb="FF000000"/>
      <name val="微软雅黑"/>
      <charset val="134"/>
    </font>
    <font>
      <sz val="8"/>
      <color rgb="FFFF0000"/>
      <name val="微软雅黑"/>
      <charset val="134"/>
    </font>
    <font>
      <b/>
      <sz val="14"/>
      <color rgb="FF000000"/>
      <name val="微软雅黑"/>
      <charset val="134"/>
    </font>
    <font>
      <b/>
      <sz val="8"/>
      <color rgb="FFFFFFFF"/>
      <name val="宋体"/>
      <charset val="134"/>
    </font>
    <font>
      <i/>
      <sz val="8"/>
      <name val="微软雅黑"/>
      <charset val="134"/>
    </font>
    <font>
      <sz val="10"/>
      <color indexed="8"/>
      <name val="Arial Unicode MS"/>
      <charset val="134"/>
    </font>
    <font>
      <sz val="12"/>
      <color rgb="FFFF0000"/>
      <name val="微软雅黑 Light"/>
      <charset val="134"/>
    </font>
    <font>
      <sz val="12"/>
      <color rgb="FF076A00"/>
      <name val="微软雅黑 Light"/>
      <charset val="134"/>
    </font>
    <font>
      <sz val="12"/>
      <color rgb="FF806000"/>
      <name val="微软雅黑 Light"/>
      <charset val="134"/>
    </font>
    <font>
      <sz val="12"/>
      <color rgb="FFFC17FF"/>
      <name val="微软雅黑 Light"/>
      <charset val="134"/>
    </font>
    <font>
      <b/>
      <sz val="14"/>
      <color indexed="8"/>
      <name val="微软雅黑"/>
      <charset val="134"/>
    </font>
    <font>
      <b/>
      <sz val="11"/>
      <color rgb="FFFF0000"/>
      <name val="微软雅黑 Light"/>
      <charset val="134"/>
    </font>
    <font>
      <sz val="11"/>
      <color indexed="8"/>
      <name val="微软雅黑 Light"/>
      <charset val="134"/>
    </font>
    <font>
      <i/>
      <sz val="10"/>
      <color rgb="FF000000"/>
      <name val="宋体"/>
      <charset val="134"/>
    </font>
    <font>
      <b/>
      <sz val="11"/>
      <color indexed="10"/>
      <name val="微软雅黑 Light"/>
      <charset val="134"/>
    </font>
    <font>
      <sz val="12"/>
      <color rgb="FF000000"/>
      <name val="宋体"/>
      <charset val="134"/>
    </font>
    <font>
      <b/>
      <sz val="9"/>
      <name val="SimSun"/>
      <charset val="134"/>
    </font>
    <font>
      <sz val="9"/>
      <name val="SimSun"/>
      <charset val="134"/>
    </font>
  </fonts>
  <fills count="120">
    <fill>
      <patternFill patternType="none"/>
    </fill>
    <fill>
      <patternFill patternType="gray125"/>
    </fill>
    <fill>
      <patternFill patternType="solid">
        <fgColor rgb="FF2F75B5"/>
        <bgColor indexed="64"/>
      </patternFill>
    </fill>
    <fill>
      <patternFill patternType="solid">
        <fgColor rgb="FFBDD7EE"/>
        <bgColor indexed="64"/>
      </patternFill>
    </fill>
    <fill>
      <patternFill patternType="solid">
        <fgColor rgb="FFFFF2CC"/>
        <bgColor indexed="64"/>
      </patternFill>
    </fill>
    <fill>
      <patternFill patternType="solid">
        <fgColor rgb="FFF2F2F2"/>
        <bgColor indexed="64"/>
      </patternFill>
    </fill>
    <fill>
      <patternFill patternType="solid">
        <fgColor rgb="FF6DA9DB"/>
        <bgColor indexed="64"/>
      </patternFill>
    </fill>
    <fill>
      <patternFill patternType="solid">
        <fgColor rgb="FF9BC2E6"/>
        <bgColor indexed="64"/>
      </patternFill>
    </fill>
    <fill>
      <patternFill patternType="solid">
        <fgColor rgb="FFDDEBF7"/>
        <bgColor indexed="64"/>
      </patternFill>
    </fill>
    <fill>
      <patternFill patternType="solid">
        <fgColor rgb="FF5C9BD5"/>
        <bgColor indexed="64"/>
      </patternFill>
    </fill>
    <fill>
      <patternFill patternType="solid">
        <fgColor rgb="FF9DC3E5"/>
        <bgColor indexed="64"/>
      </patternFill>
    </fill>
    <fill>
      <patternFill patternType="solid">
        <fgColor rgb="FF5B9BD5"/>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CE4D6"/>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8CBAD"/>
        <bgColor indexed="64"/>
      </patternFill>
    </fill>
    <fill>
      <patternFill patternType="solid">
        <fgColor rgb="FFF7F7D1"/>
        <bgColor indexed="64"/>
      </patternFill>
    </fill>
    <fill>
      <patternFill patternType="solid">
        <fgColor rgb="FFD9D9D9"/>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D4D6F7"/>
        <bgColor indexed="64"/>
      </patternFill>
    </fill>
    <fill>
      <patternFill patternType="solid">
        <fgColor rgb="FFD5F4F6"/>
        <bgColor indexed="64"/>
      </patternFill>
    </fill>
    <fill>
      <patternFill patternType="solid">
        <fgColor rgb="FF80BEF8"/>
        <bgColor indexed="64"/>
      </patternFill>
    </fill>
    <fill>
      <patternFill patternType="solid">
        <fgColor rgb="FFBBD8FB"/>
        <bgColor indexed="64"/>
      </patternFill>
    </fill>
    <fill>
      <patternFill patternType="solid">
        <fgColor rgb="FFC4D9FF"/>
        <bgColor indexed="64"/>
      </patternFill>
    </fill>
    <fill>
      <patternFill patternType="solid">
        <fgColor rgb="FFCFF8DF"/>
        <bgColor indexed="64"/>
      </patternFill>
    </fill>
    <fill>
      <patternFill patternType="solid">
        <fgColor rgb="FFC7D5F2"/>
        <bgColor indexed="64"/>
      </patternFill>
    </fill>
    <fill>
      <patternFill patternType="solid">
        <fgColor rgb="FFD1CDF4"/>
        <bgColor indexed="64"/>
      </patternFill>
    </fill>
    <fill>
      <patternFill patternType="solid">
        <fgColor rgb="FFD0FBF3"/>
        <bgColor indexed="64"/>
      </patternFill>
    </fill>
    <fill>
      <patternFill patternType="solid">
        <fgColor rgb="FFC6E0B4"/>
        <bgColor indexed="64"/>
      </patternFill>
    </fill>
    <fill>
      <patternFill patternType="solid">
        <fgColor rgb="FFE2EFDA"/>
        <bgColor indexed="64"/>
      </patternFill>
    </fill>
    <fill>
      <patternFill patternType="solid">
        <fgColor rgb="FFA9D08E"/>
        <bgColor indexed="64"/>
      </patternFill>
    </fill>
    <fill>
      <patternFill patternType="solid">
        <fgColor rgb="FFF5F9F1"/>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966"/>
        <bgColor indexed="64"/>
      </patternFill>
    </fill>
    <fill>
      <patternFill patternType="solid">
        <fgColor rgb="FFE5FD99"/>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D8ECD9"/>
        <bgColor indexed="64"/>
      </patternFill>
    </fill>
    <fill>
      <patternFill patternType="solid">
        <fgColor rgb="FFBD81FF"/>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rgb="FF7CB1DE"/>
        <bgColor indexed="64"/>
      </patternFill>
    </fill>
    <fill>
      <patternFill patternType="solid">
        <fgColor rgb="FF5C9BD5"/>
        <bgColor rgb="FF5C9BD5"/>
      </patternFill>
    </fill>
    <fill>
      <patternFill patternType="solid">
        <fgColor rgb="FFDEEAF6"/>
        <bgColor indexed="64"/>
      </patternFill>
    </fill>
    <fill>
      <patternFill patternType="solid">
        <fgColor rgb="FF8EC3A5"/>
        <bgColor indexed="64"/>
      </patternFill>
    </fill>
    <fill>
      <patternFill patternType="solid">
        <fgColor rgb="FFB3D9C6"/>
        <bgColor indexed="64"/>
      </patternFill>
    </fill>
    <fill>
      <patternFill patternType="solid">
        <fgColor rgb="FFE4F4EA"/>
        <bgColor indexed="64"/>
      </patternFill>
    </fill>
    <fill>
      <patternFill patternType="solid">
        <fgColor rgb="FF8A1414"/>
        <bgColor indexed="64"/>
      </patternFill>
    </fill>
    <fill>
      <patternFill patternType="solid">
        <fgColor rgb="FF9E8483"/>
        <bgColor indexed="64"/>
      </patternFill>
    </fill>
    <fill>
      <patternFill patternType="solid">
        <fgColor rgb="FF865254"/>
        <bgColor indexed="64"/>
      </patternFill>
    </fill>
    <fill>
      <patternFill patternType="solid">
        <fgColor rgb="FF965A5A"/>
        <bgColor indexed="64"/>
      </patternFill>
    </fill>
    <fill>
      <patternFill patternType="solid">
        <fgColor rgb="FF5C2A2B"/>
        <bgColor indexed="64"/>
      </patternFill>
    </fill>
    <fill>
      <patternFill patternType="solid">
        <fgColor rgb="FF78B64A"/>
        <bgColor indexed="64"/>
      </patternFill>
    </fill>
    <fill>
      <patternFill patternType="solid">
        <fgColor rgb="FF7A3233"/>
        <bgColor indexed="64"/>
      </patternFill>
    </fill>
    <fill>
      <patternFill patternType="solid">
        <fgColor rgb="FF5B090B"/>
        <bgColor indexed="64"/>
      </patternFill>
    </fill>
    <fill>
      <patternFill patternType="solid">
        <fgColor rgb="FF9DC6B4"/>
        <bgColor indexed="64"/>
      </patternFill>
    </fill>
    <fill>
      <patternFill patternType="solid">
        <fgColor rgb="FF6C2223"/>
        <bgColor indexed="64"/>
      </patternFill>
    </fill>
    <fill>
      <patternFill patternType="solid">
        <fgColor rgb="FF3F0303"/>
        <bgColor indexed="64"/>
      </patternFill>
    </fill>
    <fill>
      <patternFill patternType="solid">
        <fgColor rgb="FF81BAA1"/>
        <bgColor indexed="64"/>
      </patternFill>
    </fill>
    <fill>
      <patternFill patternType="solid">
        <fgColor rgb="FFBDE4D2"/>
        <bgColor indexed="64"/>
      </patternFill>
    </fill>
    <fill>
      <patternFill patternType="solid">
        <fgColor rgb="FF660C0C"/>
        <bgColor indexed="64"/>
      </patternFill>
    </fill>
    <fill>
      <patternFill patternType="solid">
        <fgColor rgb="FF6E42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1">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808080"/>
      </top>
      <bottom/>
      <diagonal/>
    </border>
    <border>
      <left/>
      <right style="medium">
        <color auto="1"/>
      </right>
      <top style="thin">
        <color rgb="FF808080"/>
      </top>
      <bottom/>
      <diagonal/>
    </border>
    <border>
      <left style="thin">
        <color rgb="FF808080"/>
      </left>
      <right style="medium">
        <color auto="1"/>
      </right>
      <top style="medium">
        <color auto="1"/>
      </top>
      <bottom/>
      <diagonal/>
    </border>
    <border>
      <left style="thin">
        <color rgb="FF808080"/>
      </left>
      <right style="medium">
        <color auto="1"/>
      </right>
      <top/>
      <bottom/>
      <diagonal/>
    </border>
    <border>
      <left style="thin">
        <color rgb="FF808080"/>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BFBFBF"/>
      </left>
      <right style="medium">
        <color auto="1"/>
      </right>
      <top/>
      <bottom style="thin">
        <color rgb="FFBFBFBF"/>
      </bottom>
      <diagonal/>
    </border>
    <border>
      <left style="medium">
        <color auto="1"/>
      </left>
      <right/>
      <top/>
      <bottom style="thin">
        <color rgb="FF808080"/>
      </bottom>
      <diagonal/>
    </border>
    <border>
      <left/>
      <right/>
      <top/>
      <bottom style="thin">
        <color rgb="FF808080"/>
      </bottom>
      <diagonal/>
    </border>
    <border>
      <left style="medium">
        <color auto="1"/>
      </left>
      <right/>
      <top style="thin">
        <color auto="1"/>
      </top>
      <bottom/>
      <diagonal/>
    </border>
    <border>
      <left/>
      <right/>
      <top style="thin">
        <color auto="1"/>
      </top>
      <bottom/>
      <diagonal/>
    </border>
    <border>
      <left/>
      <right style="thin">
        <color auto="1"/>
      </right>
      <top style="thin">
        <color auto="1"/>
      </top>
      <bottom style="thin">
        <color auto="1"/>
      </bottom>
      <diagonal/>
    </border>
    <border>
      <left/>
      <right style="medium">
        <color auto="1"/>
      </right>
      <top/>
      <bottom style="thin">
        <color rgb="FF808080"/>
      </bottom>
      <diagonal/>
    </border>
    <border>
      <left/>
      <right style="medium">
        <color auto="1"/>
      </right>
      <top style="thin">
        <color auto="1"/>
      </top>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medium">
        <color auto="1"/>
      </right>
      <top style="thin">
        <color auto="1"/>
      </top>
      <bottom style="thin">
        <color auto="1"/>
      </bottom>
      <diagonal/>
    </border>
    <border>
      <left/>
      <right/>
      <top style="thin">
        <color rgb="FF808080"/>
      </top>
      <bottom/>
      <diagonal/>
    </border>
    <border>
      <left style="thin">
        <color rgb="FF808080"/>
      </left>
      <right/>
      <top/>
      <bottom/>
      <diagonal/>
    </border>
    <border>
      <left style="thin">
        <color rgb="FF808080"/>
      </left>
      <right/>
      <top/>
      <bottom style="thin">
        <color rgb="FF808080"/>
      </bottom>
      <diagonal/>
    </border>
    <border>
      <left style="thin">
        <color rgb="FF808080"/>
      </left>
      <right/>
      <top style="thin">
        <color rgb="FF808080"/>
      </top>
      <bottom/>
      <diagonal/>
    </border>
    <border>
      <left style="thin">
        <color rgb="FF808080"/>
      </left>
      <right/>
      <top style="thin">
        <color auto="1"/>
      </top>
      <bottom/>
      <diagonal/>
    </border>
    <border>
      <left style="thin">
        <color rgb="FF808080"/>
      </left>
      <right style="thin">
        <color rgb="FF808080"/>
      </right>
      <top style="thin">
        <color rgb="FF808080"/>
      </top>
      <bottom/>
      <diagonal/>
    </border>
    <border>
      <left style="thin">
        <color rgb="FF808080"/>
      </left>
      <right style="medium">
        <color auto="1"/>
      </right>
      <top style="thin">
        <color rgb="FF808080"/>
      </top>
      <bottom/>
      <diagonal/>
    </border>
    <border>
      <left style="thin">
        <color rgb="FF808080"/>
      </left>
      <right style="thin">
        <color rgb="FF808080"/>
      </right>
      <top/>
      <bottom/>
      <diagonal/>
    </border>
    <border>
      <left style="thin">
        <color rgb="FF808080"/>
      </left>
      <right style="thin">
        <color rgb="FF808080"/>
      </right>
      <top style="thin">
        <color auto="1"/>
      </top>
      <bottom/>
      <diagonal/>
    </border>
    <border>
      <left style="thin">
        <color rgb="FF808080"/>
      </left>
      <right style="thin">
        <color rgb="FF808080"/>
      </right>
      <top/>
      <bottom style="thin">
        <color rgb="FF808080"/>
      </bottom>
      <diagonal/>
    </border>
    <border>
      <left style="thin">
        <color rgb="FF808080"/>
      </left>
      <right style="medium">
        <color auto="1"/>
      </right>
      <top/>
      <bottom style="thin">
        <color rgb="FF808080"/>
      </bottom>
      <diagonal/>
    </border>
    <border>
      <left/>
      <right style="thin">
        <color rgb="FF808080"/>
      </right>
      <top style="thin">
        <color rgb="FF808080"/>
      </top>
      <bottom/>
      <diagonal/>
    </border>
    <border>
      <left/>
      <right style="thin">
        <color rgb="FF808080"/>
      </right>
      <top/>
      <bottom style="thin">
        <color rgb="FF808080"/>
      </bottom>
      <diagonal/>
    </border>
    <border>
      <left/>
      <right style="thin">
        <color rgb="FF808080"/>
      </right>
      <top/>
      <bottom/>
      <diagonal/>
    </border>
    <border>
      <left/>
      <right style="thin">
        <color rgb="FF808080"/>
      </right>
      <top/>
      <bottom style="medium">
        <color auto="1"/>
      </bottom>
      <diagonal/>
    </border>
    <border>
      <left style="thin">
        <color rgb="FF808080"/>
      </left>
      <right style="thin">
        <color rgb="FF808080"/>
      </right>
      <top style="thin">
        <color rgb="FF808080"/>
      </top>
      <bottom style="thin">
        <color rgb="FF808080"/>
      </bottom>
      <diagonal/>
    </border>
    <border>
      <left/>
      <right style="medium">
        <color auto="1"/>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style="thin">
        <color rgb="FF808080"/>
      </left>
      <right/>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rgb="FFA6A6A6"/>
      </top>
      <bottom/>
      <diagonal/>
    </border>
    <border>
      <left style="thin">
        <color rgb="FFA6A6A6"/>
      </left>
      <right/>
      <top style="thin">
        <color rgb="FFA6A6A6"/>
      </top>
      <bottom/>
      <diagonal/>
    </border>
    <border>
      <left/>
      <right/>
      <top style="thin">
        <color rgb="FFA6A6A6"/>
      </top>
      <bottom/>
      <diagonal/>
    </border>
    <border>
      <left style="medium">
        <color auto="1"/>
      </left>
      <right/>
      <top/>
      <bottom style="thin">
        <color rgb="FFA6A6A6"/>
      </bottom>
      <diagonal/>
    </border>
    <border>
      <left style="thin">
        <color rgb="FFA6A6A6"/>
      </left>
      <right/>
      <top/>
      <bottom style="thin">
        <color rgb="FFA6A6A6"/>
      </bottom>
      <diagonal/>
    </border>
    <border>
      <left/>
      <right/>
      <top/>
      <bottom style="thin">
        <color rgb="FFA6A6A6"/>
      </bottom>
      <diagonal/>
    </border>
    <border>
      <left style="thin">
        <color rgb="FFA6A6A6"/>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6A6A6"/>
      </top>
      <bottom/>
      <diagonal/>
    </border>
    <border>
      <left/>
      <right style="medium">
        <color auto="1"/>
      </right>
      <top/>
      <bottom style="thin">
        <color rgb="FFA6A6A6"/>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top/>
      <bottom style="thick">
        <color rgb="FFA3FF71"/>
      </bottom>
      <diagonal/>
    </border>
    <border>
      <left style="thick">
        <color rgb="FFA3FF71"/>
      </left>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diagonal/>
    </border>
    <border>
      <left/>
      <right/>
      <top style="thick">
        <color rgb="FFA3FF71"/>
      </top>
      <bottom/>
      <diagonal/>
    </border>
    <border>
      <left/>
      <right style="thick">
        <color rgb="FF81E9FF"/>
      </right>
      <top/>
      <bottom style="thick">
        <color rgb="FF81E9FF"/>
      </bottom>
      <diagonal/>
    </border>
    <border>
      <left/>
      <right style="thick">
        <color rgb="FFA3FF71"/>
      </right>
      <top/>
      <bottom style="thick">
        <color rgb="FFA3FF71"/>
      </bottom>
      <diagonal/>
    </border>
    <border>
      <left style="thick">
        <color rgb="FF81E9FF"/>
      </left>
      <right/>
      <top/>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top/>
      <bottom style="thick">
        <color rgb="FFB6B6B6"/>
      </bottom>
      <diagonal/>
    </border>
    <border>
      <left/>
      <right style="double">
        <color auto="1"/>
      </right>
      <top style="double">
        <color auto="1"/>
      </top>
      <bottom/>
      <diagonal/>
    </border>
    <border>
      <left/>
      <right style="thick">
        <color rgb="FFC0C0C0"/>
      </right>
      <top/>
      <bottom/>
      <diagonal/>
    </border>
    <border>
      <left/>
      <right style="mediumDashed">
        <color rgb="FFC0C0C0"/>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thick">
        <color rgb="FFFFF1C5"/>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808080"/>
      </top>
      <bottom style="medium">
        <color auto="1"/>
      </bottom>
      <diagonal/>
    </border>
    <border>
      <left/>
      <right/>
      <top style="thin">
        <color rgb="FF808080"/>
      </top>
      <bottom style="medium">
        <color auto="1"/>
      </bottom>
      <diagonal/>
    </border>
    <border>
      <left/>
      <right style="double">
        <color auto="1"/>
      </right>
      <top/>
      <bottom/>
      <diagonal/>
    </border>
    <border>
      <left/>
      <right style="double">
        <color auto="1"/>
      </right>
      <top/>
      <bottom style="double">
        <color auto="1"/>
      </bottom>
      <diagonal/>
    </border>
    <border>
      <left/>
      <right style="thin">
        <color rgb="FF808080"/>
      </right>
      <top style="thin">
        <color rgb="FF808080"/>
      </top>
      <bottom style="medium">
        <color auto="1"/>
      </bottom>
      <diagonal/>
    </border>
    <border>
      <left/>
      <right style="thin">
        <color rgb="FFBFBFBF"/>
      </right>
      <top/>
      <bottom style="thin">
        <color rgb="FFBFBFBF"/>
      </bottom>
      <diagonal/>
    </border>
    <border>
      <left/>
      <right/>
      <top style="thin">
        <color rgb="FF808080"/>
      </top>
      <bottom style="thin">
        <color rgb="FFBFBFBF"/>
      </bottom>
      <diagonal/>
    </border>
    <border>
      <left/>
      <right style="medium">
        <color auto="1"/>
      </right>
      <top style="thin">
        <color rgb="FF808080"/>
      </top>
      <bottom style="thin">
        <color rgb="FFBFBFBF"/>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rgb="FFBFBFBF"/>
      </left>
      <right/>
      <top style="thin">
        <color rgb="FFBFBFBF"/>
      </top>
      <bottom style="medium">
        <color auto="1"/>
      </bottom>
      <diagonal/>
    </border>
    <border>
      <left/>
      <right style="medium">
        <color auto="1"/>
      </right>
      <top style="medium">
        <color auto="1"/>
      </top>
      <bottom style="medium">
        <color auto="1"/>
      </bottom>
      <diagonal/>
    </border>
    <border>
      <left style="thin">
        <color rgb="FFBFBFBF"/>
      </left>
      <right style="medium">
        <color auto="1"/>
      </right>
      <top style="thin">
        <color rgb="FFBFBFBF"/>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style="medium">
        <color auto="1"/>
      </left>
      <right style="thin">
        <color auto="1"/>
      </right>
      <top style="thin">
        <color auto="1"/>
      </top>
      <bottom style="thin">
        <color auto="1"/>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right/>
      <top style="thin">
        <color rgb="FFBFBFBF"/>
      </top>
      <bottom style="thin">
        <color rgb="FFD0CECE"/>
      </bottom>
      <diagonal/>
    </border>
    <border>
      <left/>
      <right/>
      <top style="thin">
        <color rgb="FFD0CECE"/>
      </top>
      <bottom/>
      <diagonal/>
    </border>
    <border>
      <left/>
      <right/>
      <top style="thin">
        <color rgb="FFD0CECE"/>
      </top>
      <bottom style="medium">
        <color auto="1"/>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rgb="FF808080"/>
      </top>
      <bottom style="thin">
        <color rgb="FF808080"/>
      </bottom>
      <diagonal/>
    </border>
    <border>
      <left/>
      <right style="medium">
        <color auto="1"/>
      </right>
      <top style="thin">
        <color rgb="FF808080"/>
      </top>
      <bottom style="medium">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medium">
        <color auto="1"/>
      </left>
      <right/>
      <top/>
      <bottom style="double">
        <color rgb="FFBFBFBF"/>
      </bottom>
      <diagonal/>
    </border>
    <border>
      <left/>
      <right style="thin">
        <color rgb="FFBFBFBF"/>
      </right>
      <top/>
      <bottom style="double">
        <color rgb="FFBFBFBF"/>
      </bottom>
      <diagonal/>
    </border>
    <border>
      <left style="thin">
        <color rgb="FFBFBFBF"/>
      </left>
      <right style="thin">
        <color rgb="FFBFBFBF"/>
      </right>
      <top style="thin">
        <color rgb="FFBFBFBF"/>
      </top>
      <bottom style="double">
        <color rgb="FFBFBFBF"/>
      </bottom>
      <diagonal/>
    </border>
    <border>
      <left style="medium">
        <color auto="1"/>
      </left>
      <right style="thin">
        <color rgb="FFBFBFBF"/>
      </right>
      <top/>
      <bottom style="thin">
        <color rgb="FFBFBFBF"/>
      </bottom>
      <diagonal/>
    </border>
    <border>
      <left style="thin">
        <color rgb="FFBFBFBF"/>
      </left>
      <right style="thin">
        <color rgb="FFBFBFBF"/>
      </right>
      <top/>
      <bottom style="thin">
        <color rgb="FFBFBFBF"/>
      </bottom>
      <diagonal/>
    </border>
    <border>
      <left style="medium">
        <color auto="1"/>
      </left>
      <right style="thin">
        <color rgb="FFBFBFBF"/>
      </right>
      <top style="thin">
        <color rgb="FFBFBFBF"/>
      </top>
      <bottom style="double">
        <color rgb="FFBFBFBF"/>
      </bottom>
      <diagonal/>
    </border>
    <border>
      <left style="thin">
        <color rgb="FFBFBFBF"/>
      </left>
      <right style="medium">
        <color auto="1"/>
      </right>
      <top style="thin">
        <color rgb="FFBFBFBF"/>
      </top>
      <bottom style="double">
        <color rgb="FFBFBFBF"/>
      </bottom>
      <diagonal/>
    </border>
    <border>
      <left style="medium">
        <color auto="1"/>
      </left>
      <right style="thin">
        <color rgb="FFBFBFBF"/>
      </right>
      <top style="medium">
        <color auto="1"/>
      </top>
      <bottom/>
      <diagonal/>
    </border>
    <border>
      <left style="thin">
        <color rgb="FFBFBFBF"/>
      </left>
      <right style="thin">
        <color rgb="FFBFBFBF"/>
      </right>
      <top style="medium">
        <color auto="1"/>
      </top>
      <bottom/>
      <diagonal/>
    </border>
    <border>
      <left style="thin">
        <color rgb="FFBFBFBF"/>
      </left>
      <right/>
      <top style="medium">
        <color auto="1"/>
      </top>
      <bottom/>
      <diagonal/>
    </border>
    <border>
      <left/>
      <right style="thin">
        <color rgb="FFBFBFBF"/>
      </right>
      <top style="medium">
        <color auto="1"/>
      </top>
      <bottom/>
      <diagonal/>
    </border>
    <border>
      <left style="double">
        <color auto="1"/>
      </left>
      <right/>
      <top/>
      <bottom style="medium">
        <color auto="1"/>
      </bottom>
      <diagonal/>
    </border>
    <border>
      <left style="double">
        <color auto="1"/>
      </left>
      <right style="thin">
        <color rgb="FFD9D9D9"/>
      </right>
      <top style="double">
        <color auto="1"/>
      </top>
      <bottom style="thin">
        <color rgb="FFD9D9D9"/>
      </bottom>
      <diagonal/>
    </border>
    <border>
      <left style="thin">
        <color rgb="FFD9D9D9"/>
      </left>
      <right style="thin">
        <color rgb="FFD9D9D9"/>
      </right>
      <top style="double">
        <color auto="1"/>
      </top>
      <bottom style="thin">
        <color rgb="FFD9D9D9"/>
      </bottom>
      <diagonal/>
    </border>
    <border>
      <left style="double">
        <color auto="1"/>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double">
        <color auto="1"/>
      </left>
      <right style="thin">
        <color rgb="FFD9D9D9"/>
      </right>
      <top style="thin">
        <color rgb="FFD9D9D9"/>
      </top>
      <bottom style="double">
        <color auto="1"/>
      </bottom>
      <diagonal/>
    </border>
    <border>
      <left style="thin">
        <color rgb="FFD9D9D9"/>
      </left>
      <right style="thin">
        <color rgb="FFD9D9D9"/>
      </right>
      <top style="thin">
        <color rgb="FFD9D9D9"/>
      </top>
      <bottom style="double">
        <color auto="1"/>
      </bottom>
      <diagonal/>
    </border>
    <border>
      <left style="double">
        <color auto="1"/>
      </left>
      <right style="thin">
        <color rgb="FFF2F2F2"/>
      </right>
      <top style="double">
        <color auto="1"/>
      </top>
      <bottom style="thin">
        <color rgb="FFF2F2F2"/>
      </bottom>
      <diagonal/>
    </border>
    <border>
      <left style="thin">
        <color rgb="FFF2F2F2"/>
      </left>
      <right style="thin">
        <color rgb="FFF2F2F2"/>
      </right>
      <top style="double">
        <color auto="1"/>
      </top>
      <bottom style="thin">
        <color rgb="FFF2F2F2"/>
      </bottom>
      <diagonal/>
    </border>
    <border>
      <left style="double">
        <color auto="1"/>
      </left>
      <right style="thin">
        <color rgb="FFF2F2F2"/>
      </right>
      <top style="thin">
        <color rgb="FFF2F2F2"/>
      </top>
      <bottom style="thin">
        <color rgb="FFF2F2F2"/>
      </bottom>
      <diagonal/>
    </border>
    <border>
      <left style="thin">
        <color rgb="FFF2F2F2"/>
      </left>
      <right style="thin">
        <color rgb="FFF2F2F2"/>
      </right>
      <top style="thin">
        <color rgb="FFF2F2F2"/>
      </top>
      <bottom style="thin">
        <color rgb="FFF2F2F2"/>
      </bottom>
      <diagonal/>
    </border>
    <border>
      <left style="double">
        <color auto="1"/>
      </left>
      <right style="thin">
        <color rgb="FFF2F2F2"/>
      </right>
      <top style="thin">
        <color rgb="FFF2F2F2"/>
      </top>
      <bottom style="double">
        <color auto="1"/>
      </bottom>
      <diagonal/>
    </border>
    <border>
      <left style="thin">
        <color rgb="FFF2F2F2"/>
      </left>
      <right style="thin">
        <color rgb="FFF2F2F2"/>
      </right>
      <top style="thin">
        <color rgb="FFF2F2F2"/>
      </top>
      <bottom style="double">
        <color auto="1"/>
      </bottom>
      <diagonal/>
    </border>
    <border>
      <left style="double">
        <color auto="1"/>
      </left>
      <right style="medium">
        <color rgb="FFD9D9D9"/>
      </right>
      <top style="double">
        <color auto="1"/>
      </top>
      <bottom style="medium">
        <color rgb="FFD9D9D9"/>
      </bottom>
      <diagonal/>
    </border>
    <border>
      <left style="medium">
        <color rgb="FFD9D9D9"/>
      </left>
      <right style="medium">
        <color rgb="FFD9D9D9"/>
      </right>
      <top style="double">
        <color auto="1"/>
      </top>
      <bottom style="medium">
        <color rgb="FFD9D9D9"/>
      </bottom>
      <diagonal/>
    </border>
    <border>
      <left style="double">
        <color auto="1"/>
      </left>
      <right style="medium">
        <color rgb="FFD9D9D9"/>
      </right>
      <top style="medium">
        <color rgb="FFD9D9D9"/>
      </top>
      <bottom style="medium">
        <color rgb="FFD9D9D9"/>
      </bottom>
      <diagonal/>
    </border>
    <border>
      <left style="medium">
        <color rgb="FFD9D9D9"/>
      </left>
      <right style="medium">
        <color rgb="FFD9D9D9"/>
      </right>
      <top style="medium">
        <color rgb="FFD9D9D9"/>
      </top>
      <bottom style="medium">
        <color rgb="FFD9D9D9"/>
      </bottom>
      <diagonal/>
    </border>
    <border>
      <left/>
      <right style="thin">
        <color rgb="FFBFBFBF"/>
      </right>
      <top style="thin">
        <color rgb="FFBFBFBF"/>
      </top>
      <bottom style="medium">
        <color auto="1"/>
      </bottom>
      <diagonal/>
    </border>
    <border>
      <left/>
      <right style="thin">
        <color rgb="FFBFBFBF"/>
      </right>
      <top/>
      <bottom style="double">
        <color auto="1"/>
      </bottom>
      <diagonal/>
    </border>
    <border>
      <left style="thin">
        <color rgb="FFBFBFBF"/>
      </left>
      <right/>
      <top style="double">
        <color auto="1"/>
      </top>
      <bottom/>
      <diagonal/>
    </border>
    <border>
      <left style="thin">
        <color rgb="FFBFBFBF"/>
      </left>
      <right/>
      <top/>
      <bottom style="double">
        <color auto="1"/>
      </bottom>
      <diagonal/>
    </border>
    <border>
      <left style="double">
        <color auto="1"/>
      </left>
      <right/>
      <top style="double">
        <color auto="1"/>
      </top>
      <bottom style="thin">
        <color rgb="FFD9D9D9"/>
      </bottom>
      <diagonal/>
    </border>
    <border>
      <left/>
      <right/>
      <top style="double">
        <color auto="1"/>
      </top>
      <bottom style="thin">
        <color rgb="FFD9D9D9"/>
      </bottom>
      <diagonal/>
    </border>
    <border>
      <left style="double">
        <color auto="1"/>
      </left>
      <right style="thin">
        <color rgb="FFBFBFBF"/>
      </right>
      <top/>
      <bottom style="thin">
        <color rgb="FFBFBFBF"/>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right style="double">
        <color auto="1"/>
      </right>
      <top/>
      <bottom style="medium">
        <color auto="1"/>
      </bottom>
      <diagonal/>
    </border>
    <border>
      <left style="medium">
        <color rgb="FFD9D9D9"/>
      </left>
      <right style="double">
        <color auto="1"/>
      </right>
      <top style="double">
        <color auto="1"/>
      </top>
      <bottom style="medium">
        <color rgb="FFD9D9D9"/>
      </bottom>
      <diagonal/>
    </border>
    <border>
      <left style="medium">
        <color rgb="FFD9D9D9"/>
      </left>
      <right style="double">
        <color auto="1"/>
      </right>
      <top style="medium">
        <color rgb="FFD9D9D9"/>
      </top>
      <bottom style="medium">
        <color rgb="FFD9D9D9"/>
      </bottom>
      <diagonal/>
    </border>
    <border>
      <left/>
      <right style="thin">
        <color rgb="FFBFBFBF"/>
      </right>
      <top style="double">
        <color auto="1"/>
      </top>
      <bottom/>
      <diagonal/>
    </border>
    <border>
      <left/>
      <right style="double">
        <color rgb="FF010000"/>
      </right>
      <top style="double">
        <color auto="1"/>
      </top>
      <bottom/>
      <diagonal/>
    </border>
    <border>
      <left/>
      <right style="double">
        <color rgb="FF010000"/>
      </right>
      <top/>
      <bottom style="medium">
        <color auto="1"/>
      </bottom>
      <diagonal/>
    </border>
    <border>
      <left/>
      <right style="double">
        <color rgb="FF010000"/>
      </right>
      <top/>
      <bottom style="double">
        <color auto="1"/>
      </bottom>
      <diagonal/>
    </border>
    <border>
      <left style="thin">
        <color rgb="FFD9D9D9"/>
      </left>
      <right/>
      <top style="thin">
        <color rgb="FFD9D9D9"/>
      </top>
      <bottom style="thin">
        <color rgb="FFD9D9D9"/>
      </bottom>
      <diagonal/>
    </border>
    <border>
      <left style="thin">
        <color rgb="FFBFBFBF"/>
      </left>
      <right/>
      <top style="thin">
        <color rgb="FFBFBFBF"/>
      </top>
      <bottom style="double">
        <color auto="1"/>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style="double">
        <color auto="1"/>
      </right>
      <top style="double">
        <color auto="1"/>
      </top>
      <bottom style="thin">
        <color rgb="FFD9D9D9"/>
      </bottom>
      <diagonal/>
    </border>
    <border>
      <left style="thin">
        <color rgb="FFBFBFBF"/>
      </left>
      <right style="double">
        <color auto="1"/>
      </right>
      <top/>
      <bottom style="thin">
        <color rgb="FFBFBFBF"/>
      </bottom>
      <diagonal/>
    </border>
    <border>
      <left style="thin">
        <color rgb="FFBFBFBF"/>
      </left>
      <right style="double">
        <color auto="1"/>
      </right>
      <top style="thin">
        <color rgb="FFBFBFBF"/>
      </top>
      <bottom style="thin">
        <color rgb="FFBFBFBF"/>
      </bottom>
      <diagonal/>
    </border>
    <border>
      <left style="thin">
        <color rgb="FFBFBFBF"/>
      </left>
      <right style="double">
        <color auto="1"/>
      </right>
      <top style="thin">
        <color rgb="FFBFBFBF"/>
      </top>
      <bottom/>
      <diagonal/>
    </border>
    <border>
      <left style="thin">
        <color rgb="FFBFBFBF"/>
      </left>
      <right style="double">
        <color auto="1"/>
      </right>
      <top style="thin">
        <color rgb="FFBFBFBF"/>
      </top>
      <bottom style="double">
        <color auto="1"/>
      </bottom>
      <diagonal/>
    </border>
    <border>
      <left style="thin">
        <color rgb="FFF2F2F2"/>
      </left>
      <right style="double">
        <color auto="1"/>
      </right>
      <top style="double">
        <color auto="1"/>
      </top>
      <bottom style="thin">
        <color rgb="FFF2F2F2"/>
      </bottom>
      <diagonal/>
    </border>
    <border>
      <left style="thin">
        <color rgb="FFF2F2F2"/>
      </left>
      <right style="double">
        <color auto="1"/>
      </right>
      <top style="thin">
        <color rgb="FFF2F2F2"/>
      </top>
      <bottom style="thin">
        <color rgb="FFF2F2F2"/>
      </bottom>
      <diagonal/>
    </border>
    <border>
      <left style="thin">
        <color rgb="FFF2F2F2"/>
      </left>
      <right style="double">
        <color auto="1"/>
      </right>
      <top style="thin">
        <color rgb="FFF2F2F2"/>
      </top>
      <bottom style="double">
        <color auto="1"/>
      </bottom>
      <diagonal/>
    </border>
    <border>
      <left style="double">
        <color auto="1"/>
      </left>
      <right style="medium">
        <color rgb="FFD9D9D9"/>
      </right>
      <top style="medium">
        <color rgb="FFD9D9D9"/>
      </top>
      <bottom style="double">
        <color auto="1"/>
      </bottom>
      <diagonal/>
    </border>
    <border>
      <left style="medium">
        <color rgb="FFD9D9D9"/>
      </left>
      <right style="medium">
        <color rgb="FFD9D9D9"/>
      </right>
      <top style="medium">
        <color rgb="FFD9D9D9"/>
      </top>
      <bottom style="double">
        <color auto="1"/>
      </bottom>
      <diagonal/>
    </border>
    <border>
      <left style="thin">
        <color rgb="FFD9D9D9"/>
      </left>
      <right style="double">
        <color auto="1"/>
      </right>
      <top style="double">
        <color auto="1"/>
      </top>
      <bottom style="thin">
        <color rgb="FFD9D9D9"/>
      </bottom>
      <diagonal/>
    </border>
    <border>
      <left style="thin">
        <color rgb="FFD9D9D9"/>
      </left>
      <right style="double">
        <color auto="1"/>
      </right>
      <top style="thin">
        <color rgb="FFD9D9D9"/>
      </top>
      <bottom style="thin">
        <color rgb="FFD9D9D9"/>
      </bottom>
      <diagonal/>
    </border>
    <border>
      <left style="double">
        <color auto="1"/>
      </left>
      <right style="thin">
        <color rgb="FFF2F2F2"/>
      </right>
      <top style="thin">
        <color rgb="FFF2F2F2"/>
      </top>
      <bottom/>
      <diagonal/>
    </border>
    <border>
      <left style="thin">
        <color rgb="FFF2F2F2"/>
      </left>
      <right style="thin">
        <color rgb="FFF2F2F2"/>
      </right>
      <top style="thin">
        <color rgb="FFF2F2F2"/>
      </top>
      <bottom/>
      <diagonal/>
    </border>
    <border>
      <left style="double">
        <color auto="1"/>
      </left>
      <right style="thin">
        <color rgb="FFF2F2F2"/>
      </right>
      <top/>
      <bottom style="thin">
        <color rgb="FFF2F2F2"/>
      </bottom>
      <diagonal/>
    </border>
    <border>
      <left style="thin">
        <color rgb="FFF2F2F2"/>
      </left>
      <right style="thin">
        <color rgb="FFF2F2F2"/>
      </right>
      <top/>
      <bottom style="thin">
        <color rgb="FFF2F2F2"/>
      </bottom>
      <diagonal/>
    </border>
    <border>
      <left style="thin">
        <color rgb="FFD9D9D9"/>
      </left>
      <right style="double">
        <color auto="1"/>
      </right>
      <top style="thin">
        <color rgb="FFD9D9D9"/>
      </top>
      <bottom style="double">
        <color auto="1"/>
      </bottom>
      <diagonal/>
    </border>
    <border>
      <left style="medium">
        <color rgb="FFD9D9D9"/>
      </left>
      <right style="double">
        <color auto="1"/>
      </right>
      <top style="medium">
        <color rgb="FFD9D9D9"/>
      </top>
      <bottom style="double">
        <color auto="1"/>
      </bottom>
      <diagonal/>
    </border>
    <border>
      <left style="thin">
        <color rgb="FFF2F2F2"/>
      </left>
      <right style="double">
        <color auto="1"/>
      </right>
      <top style="thin">
        <color rgb="FFF2F2F2"/>
      </top>
      <bottom/>
      <diagonal/>
    </border>
    <border>
      <left style="thin">
        <color rgb="FFF2F2F2"/>
      </left>
      <right style="double">
        <color auto="1"/>
      </right>
      <top/>
      <bottom style="thin">
        <color rgb="FFF2F2F2"/>
      </bottom>
      <diagonal/>
    </border>
    <border>
      <left style="double">
        <color auto="1"/>
      </left>
      <right style="medium">
        <color rgb="FFBFBFBF"/>
      </right>
      <top style="double">
        <color auto="1"/>
      </top>
      <bottom style="medium">
        <color rgb="FFBFBFBF"/>
      </bottom>
      <diagonal/>
    </border>
    <border>
      <left style="medium">
        <color rgb="FFBFBFBF"/>
      </left>
      <right style="medium">
        <color rgb="FFBFBFBF"/>
      </right>
      <top style="double">
        <color auto="1"/>
      </top>
      <bottom style="medium">
        <color rgb="FFBFBFBF"/>
      </bottom>
      <diagonal/>
    </border>
    <border>
      <left style="double">
        <color auto="1"/>
      </left>
      <right style="medium">
        <color rgb="FFBFBFBF"/>
      </right>
      <top style="medium">
        <color rgb="FFBFBFBF"/>
      </top>
      <bottom style="medium">
        <color rgb="FFBFBFBF"/>
      </bottom>
      <diagonal/>
    </border>
    <border>
      <left style="medium">
        <color rgb="FFBFBFBF"/>
      </left>
      <right style="medium">
        <color rgb="FFBFBFBF"/>
      </right>
      <top style="medium">
        <color rgb="FFBFBFBF"/>
      </top>
      <bottom style="medium">
        <color rgb="FFBFBFBF"/>
      </bottom>
      <diagonal/>
    </border>
    <border>
      <left style="double">
        <color auto="1"/>
      </left>
      <right style="medium">
        <color rgb="FFBFBFBF"/>
      </right>
      <top style="medium">
        <color rgb="FFBFBFBF"/>
      </top>
      <bottom style="double">
        <color auto="1"/>
      </bottom>
      <diagonal/>
    </border>
    <border>
      <left style="medium">
        <color rgb="FFBFBFBF"/>
      </left>
      <right style="medium">
        <color rgb="FFBFBFBF"/>
      </right>
      <top style="medium">
        <color rgb="FFBFBFBF"/>
      </top>
      <bottom style="double">
        <color auto="1"/>
      </bottom>
      <diagonal/>
    </border>
    <border>
      <left style="double">
        <color auto="1"/>
      </left>
      <right style="thin">
        <color rgb="FFBFBFBF"/>
      </right>
      <top style="double">
        <color auto="1"/>
      </top>
      <bottom style="thin">
        <color rgb="FFBFBFBF"/>
      </bottom>
      <diagonal/>
    </border>
    <border>
      <left style="thin">
        <color rgb="FFBFBFBF"/>
      </left>
      <right style="thin">
        <color rgb="FFBFBFBF"/>
      </right>
      <top style="double">
        <color auto="1"/>
      </top>
      <bottom style="thin">
        <color rgb="FFBFBFBF"/>
      </bottom>
      <diagonal/>
    </border>
    <border>
      <left style="double">
        <color auto="1"/>
      </left>
      <right style="thin">
        <color rgb="FFBFBFBF"/>
      </right>
      <top style="thin">
        <color rgb="FFBFBFBF"/>
      </top>
      <bottom/>
      <diagonal/>
    </border>
    <border>
      <left style="double">
        <color auto="1"/>
      </left>
      <right/>
      <top/>
      <bottom style="thin">
        <color rgb="FFBFBFBF"/>
      </bottom>
      <diagonal/>
    </border>
    <border>
      <left/>
      <right/>
      <top style="thin">
        <color rgb="FFBFBFBF"/>
      </top>
      <bottom style="double">
        <color auto="1"/>
      </bottom>
      <diagonal/>
    </border>
    <border>
      <left/>
      <right style="thin">
        <color rgb="FFBFBFBF"/>
      </right>
      <top style="thin">
        <color rgb="FFBFBFBF"/>
      </top>
      <bottom style="double">
        <color auto="1"/>
      </bottom>
      <diagonal/>
    </border>
    <border>
      <left style="medium">
        <color rgb="FFBFBFBF"/>
      </left>
      <right style="double">
        <color auto="1"/>
      </right>
      <top style="double">
        <color auto="1"/>
      </top>
      <bottom style="medium">
        <color rgb="FFBFBFBF"/>
      </bottom>
      <diagonal/>
    </border>
    <border>
      <left style="medium">
        <color rgb="FFBFBFBF"/>
      </left>
      <right style="double">
        <color auto="1"/>
      </right>
      <top style="medium">
        <color rgb="FFBFBFBF"/>
      </top>
      <bottom style="medium">
        <color rgb="FFBFBFBF"/>
      </bottom>
      <diagonal/>
    </border>
    <border>
      <left style="medium">
        <color rgb="FFBFBFBF"/>
      </left>
      <right style="double">
        <color auto="1"/>
      </right>
      <top style="medium">
        <color rgb="FFBFBFBF"/>
      </top>
      <bottom style="double">
        <color auto="1"/>
      </bottom>
      <diagonal/>
    </border>
    <border>
      <left style="thin">
        <color rgb="FFBFBFBF"/>
      </left>
      <right style="double">
        <color auto="1"/>
      </right>
      <top style="double">
        <color auto="1"/>
      </top>
      <bottom style="thin">
        <color rgb="FFBFBFBF"/>
      </bottom>
      <diagonal/>
    </border>
    <border>
      <left style="double">
        <color auto="1"/>
      </left>
      <right/>
      <top style="thin">
        <color rgb="FFBFBFBF"/>
      </top>
      <bottom style="thin">
        <color rgb="FFBFBFBF"/>
      </bottom>
      <diagonal/>
    </border>
    <border>
      <left/>
      <right style="double">
        <color auto="1"/>
      </right>
      <top/>
      <bottom style="thin">
        <color rgb="FFBFBFBF"/>
      </bottom>
      <diagonal/>
    </border>
    <border diagonalDown="1">
      <left/>
      <right/>
      <top/>
      <bottom style="thin">
        <color rgb="FFBFBFBF"/>
      </bottom>
      <diagonal style="thin">
        <color rgb="FFBFBFBF"/>
      </diagonal>
    </border>
    <border diagonalDown="1">
      <left/>
      <right/>
      <top/>
      <bottom/>
      <diagonal style="thin">
        <color rgb="FFBFBFBF"/>
      </diagonal>
    </border>
    <border>
      <left/>
      <right style="double">
        <color auto="1"/>
      </right>
      <top style="thin">
        <color rgb="FFBFBFBF"/>
      </top>
      <bottom style="thin">
        <color rgb="FFBFBFBF"/>
      </bottom>
      <diagonal/>
    </border>
    <border>
      <left style="double">
        <color rgb="FFBFBFBF"/>
      </left>
      <right style="thin">
        <color rgb="FFBFBFBF"/>
      </right>
      <top style="double">
        <color rgb="FFBFBFBF"/>
      </top>
      <bottom style="thin">
        <color rgb="FFBFBFBF"/>
      </bottom>
      <diagonal/>
    </border>
    <border>
      <left style="thin">
        <color rgb="FFBFBFBF"/>
      </left>
      <right style="thin">
        <color rgb="FFBFBFBF"/>
      </right>
      <top style="double">
        <color rgb="FFBFBFBF"/>
      </top>
      <bottom style="thin">
        <color rgb="FFBFBFBF"/>
      </bottom>
      <diagonal/>
    </border>
    <border>
      <left style="double">
        <color rgb="FFBFBFBF"/>
      </left>
      <right style="thin">
        <color rgb="FFBFBFBF"/>
      </right>
      <top style="thin">
        <color rgb="FFBFBFBF"/>
      </top>
      <bottom style="thin">
        <color rgb="FFBFBFBF"/>
      </bottom>
      <diagonal/>
    </border>
    <border>
      <left style="double">
        <color rgb="FFBFBFBF"/>
      </left>
      <right style="thin">
        <color rgb="FFBFBFBF"/>
      </right>
      <top style="thin">
        <color rgb="FFBFBFBF"/>
      </top>
      <bottom style="double">
        <color rgb="FFBFBFBF"/>
      </bottom>
      <diagonal/>
    </border>
    <border>
      <left style="thin">
        <color rgb="FFBFBFBF"/>
      </left>
      <right style="thin">
        <color rgb="FFBFBFBF"/>
      </right>
      <top/>
      <bottom style="double">
        <color auto="1"/>
      </bottom>
      <diagonal/>
    </border>
    <border>
      <left style="double">
        <color auto="1"/>
      </left>
      <right style="thin">
        <color rgb="FFBFBFBF"/>
      </right>
      <top style="double">
        <color rgb="FFBFBFBF"/>
      </top>
      <bottom style="double">
        <color rgb="FFBFBFBF"/>
      </bottom>
      <diagonal/>
    </border>
    <border>
      <left style="thin">
        <color rgb="FFBFBFBF"/>
      </left>
      <right style="thin">
        <color rgb="FFBFBFBF"/>
      </right>
      <top style="double">
        <color rgb="FFBFBFBF"/>
      </top>
      <bottom style="double">
        <color rgb="FFBFBFBF"/>
      </bottom>
      <diagonal/>
    </border>
    <border>
      <left style="double">
        <color auto="1"/>
      </left>
      <right style="thin">
        <color rgb="FFBFBFBF"/>
      </right>
      <top/>
      <bottom/>
      <diagonal/>
    </border>
    <border>
      <left style="double">
        <color auto="1"/>
      </left>
      <right/>
      <top style="double">
        <color rgb="FFBFBFBF"/>
      </top>
      <bottom style="double">
        <color rgb="FFBFBFBF"/>
      </bottom>
      <diagonal/>
    </border>
    <border>
      <left/>
      <right/>
      <top style="double">
        <color rgb="FFBFBFBF"/>
      </top>
      <bottom style="double">
        <color rgb="FFBFBFBF"/>
      </bottom>
      <diagonal/>
    </border>
    <border>
      <left style="thin">
        <color rgb="FFBFBFBF"/>
      </left>
      <right style="double">
        <color auto="1"/>
      </right>
      <top style="double">
        <color rgb="FFBFBFBF"/>
      </top>
      <bottom style="thin">
        <color rgb="FFBFBFBF"/>
      </bottom>
      <diagonal/>
    </border>
    <border>
      <left style="thin">
        <color rgb="FFBFBFBF"/>
      </left>
      <right style="double">
        <color auto="1"/>
      </right>
      <top style="thin">
        <color rgb="FFBFBFBF"/>
      </top>
      <bottom style="double">
        <color rgb="FFBFBFBF"/>
      </bottom>
      <diagonal/>
    </border>
    <border>
      <left style="thin">
        <color rgb="FFBFBFBF"/>
      </left>
      <right style="double">
        <color auto="1"/>
      </right>
      <top/>
      <bottom style="double">
        <color auto="1"/>
      </bottom>
      <diagonal/>
    </border>
    <border>
      <left style="thin">
        <color rgb="FFBFBFBF"/>
      </left>
      <right style="double">
        <color rgb="FFBFBFBF"/>
      </right>
      <top style="double">
        <color rgb="FFBFBFBF"/>
      </top>
      <bottom style="double">
        <color rgb="FFBFBFBF"/>
      </bottom>
      <diagonal/>
    </border>
    <border>
      <left style="double">
        <color rgb="FFBFBFBF"/>
      </left>
      <right style="thin">
        <color rgb="FFBFBFBF"/>
      </right>
      <top style="double">
        <color rgb="FFBFBFBF"/>
      </top>
      <bottom style="double">
        <color rgb="FFBFBFBF"/>
      </bottom>
      <diagonal/>
    </border>
    <border>
      <left style="thin">
        <color rgb="FFBFBFBF"/>
      </left>
      <right/>
      <top style="double">
        <color rgb="FFBFBFBF"/>
      </top>
      <bottom style="double">
        <color rgb="FFBFBFBF"/>
      </bottom>
      <diagonal/>
    </border>
    <border>
      <left/>
      <right style="thin">
        <color rgb="FFBFBFBF"/>
      </right>
      <top style="double">
        <color rgb="FFBFBFBF"/>
      </top>
      <bottom style="double">
        <color rgb="FFBFBFBF"/>
      </bottom>
      <diagonal/>
    </border>
    <border>
      <left style="thin">
        <color rgb="FFBFBFBF"/>
      </left>
      <right style="double">
        <color auto="1"/>
      </right>
      <top style="double">
        <color rgb="FFBFBFBF"/>
      </top>
      <bottom style="double">
        <color rgb="FFBFBFBF"/>
      </bottom>
      <diagonal/>
    </border>
    <border>
      <left style="thin">
        <color rgb="FFBFBFBF"/>
      </left>
      <right style="double">
        <color auto="1"/>
      </right>
      <top/>
      <bottom/>
      <diagonal/>
    </border>
    <border>
      <left/>
      <right style="double">
        <color auto="1"/>
      </right>
      <top style="double">
        <color rgb="FFBFBFBF"/>
      </top>
      <bottom style="double">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196" fillId="0" borderId="0" applyFont="0" applyFill="0" applyBorder="0" applyAlignment="0" applyProtection="0">
      <alignment vertical="center"/>
    </xf>
    <xf numFmtId="176" fontId="196" fillId="0" borderId="0" applyFont="0" applyFill="0" applyBorder="0" applyAlignment="0" applyProtection="0">
      <alignment vertical="center"/>
    </xf>
    <xf numFmtId="9" fontId="196" fillId="0" borderId="0" applyFont="0" applyFill="0" applyBorder="0" applyAlignment="0" applyProtection="0">
      <alignment vertical="center"/>
    </xf>
    <xf numFmtId="41" fontId="196" fillId="0" borderId="0" applyFont="0" applyFill="0" applyBorder="0" applyAlignment="0" applyProtection="0">
      <alignment vertical="center"/>
    </xf>
    <xf numFmtId="177" fontId="196" fillId="0" borderId="0" applyFont="0" applyFill="0" applyBorder="0" applyAlignment="0" applyProtection="0">
      <alignment vertical="center"/>
    </xf>
    <xf numFmtId="0" fontId="197" fillId="0" borderId="0" applyNumberFormat="0" applyFill="0" applyBorder="0" applyAlignment="0" applyProtection="0">
      <alignment vertical="center"/>
    </xf>
    <xf numFmtId="0" fontId="198" fillId="0" borderId="0" applyNumberFormat="0" applyFill="0" applyBorder="0" applyAlignment="0" applyProtection="0">
      <alignment vertical="center"/>
    </xf>
    <xf numFmtId="0" fontId="196" fillId="89" borderId="303" applyNumberFormat="0" applyFont="0" applyAlignment="0" applyProtection="0">
      <alignment vertical="center"/>
    </xf>
    <xf numFmtId="0" fontId="199" fillId="0" borderId="0" applyNumberFormat="0" applyFill="0" applyBorder="0" applyAlignment="0" applyProtection="0">
      <alignment vertical="center"/>
    </xf>
    <xf numFmtId="0" fontId="200"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2" fillId="0" borderId="304" applyNumberFormat="0" applyFill="0" applyAlignment="0" applyProtection="0">
      <alignment vertical="center"/>
    </xf>
    <xf numFmtId="0" fontId="203" fillId="0" borderId="304" applyNumberFormat="0" applyFill="0" applyAlignment="0" applyProtection="0">
      <alignment vertical="center"/>
    </xf>
    <xf numFmtId="0" fontId="204" fillId="0" borderId="305" applyNumberFormat="0" applyFill="0" applyAlignment="0" applyProtection="0">
      <alignment vertical="center"/>
    </xf>
    <xf numFmtId="0" fontId="204" fillId="0" borderId="0" applyNumberFormat="0" applyFill="0" applyBorder="0" applyAlignment="0" applyProtection="0">
      <alignment vertical="center"/>
    </xf>
    <xf numFmtId="0" fontId="205" fillId="90" borderId="306" applyNumberFormat="0" applyAlignment="0" applyProtection="0">
      <alignment vertical="center"/>
    </xf>
    <xf numFmtId="0" fontId="206" fillId="91" borderId="307" applyNumberFormat="0" applyAlignment="0" applyProtection="0">
      <alignment vertical="center"/>
    </xf>
    <xf numFmtId="0" fontId="207" fillId="91" borderId="306" applyNumberFormat="0" applyAlignment="0" applyProtection="0">
      <alignment vertical="center"/>
    </xf>
    <xf numFmtId="0" fontId="208" fillId="92" borderId="308" applyNumberFormat="0" applyAlignment="0" applyProtection="0">
      <alignment vertical="center"/>
    </xf>
    <xf numFmtId="0" fontId="209" fillId="0" borderId="309" applyNumberFormat="0" applyFill="0" applyAlignment="0" applyProtection="0">
      <alignment vertical="center"/>
    </xf>
    <xf numFmtId="0" fontId="210" fillId="0" borderId="310" applyNumberFormat="0" applyFill="0" applyAlignment="0" applyProtection="0">
      <alignment vertical="center"/>
    </xf>
    <xf numFmtId="0" fontId="211" fillId="93" borderId="0" applyNumberFormat="0" applyBorder="0" applyAlignment="0" applyProtection="0">
      <alignment vertical="center"/>
    </xf>
    <xf numFmtId="0" fontId="212" fillId="94" borderId="0" applyNumberFormat="0" applyBorder="0" applyAlignment="0" applyProtection="0">
      <alignment vertical="center"/>
    </xf>
    <xf numFmtId="0" fontId="213" fillId="95" borderId="0" applyNumberFormat="0" applyBorder="0" applyAlignment="0" applyProtection="0">
      <alignment vertical="center"/>
    </xf>
    <xf numFmtId="0" fontId="214" fillId="96" borderId="0" applyNumberFormat="0" applyBorder="0" applyAlignment="0" applyProtection="0">
      <alignment vertical="center"/>
    </xf>
    <xf numFmtId="0" fontId="215" fillId="97" borderId="0" applyNumberFormat="0" applyBorder="0" applyAlignment="0" applyProtection="0">
      <alignment vertical="center"/>
    </xf>
    <xf numFmtId="0" fontId="215" fillId="98" borderId="0" applyNumberFormat="0" applyBorder="0" applyAlignment="0" applyProtection="0">
      <alignment vertical="center"/>
    </xf>
    <xf numFmtId="0" fontId="214" fillId="99" borderId="0" applyNumberFormat="0" applyBorder="0" applyAlignment="0" applyProtection="0">
      <alignment vertical="center"/>
    </xf>
    <xf numFmtId="0" fontId="214" fillId="100" borderId="0" applyNumberFormat="0" applyBorder="0" applyAlignment="0" applyProtection="0">
      <alignment vertical="center"/>
    </xf>
    <xf numFmtId="0" fontId="215" fillId="101" borderId="0" applyNumberFormat="0" applyBorder="0" applyAlignment="0" applyProtection="0">
      <alignment vertical="center"/>
    </xf>
    <xf numFmtId="0" fontId="215" fillId="102" borderId="0" applyNumberFormat="0" applyBorder="0" applyAlignment="0" applyProtection="0">
      <alignment vertical="center"/>
    </xf>
    <xf numFmtId="0" fontId="214" fillId="103" borderId="0" applyNumberFormat="0" applyBorder="0" applyAlignment="0" applyProtection="0">
      <alignment vertical="center"/>
    </xf>
    <xf numFmtId="0" fontId="214" fillId="104" borderId="0" applyNumberFormat="0" applyBorder="0" applyAlignment="0" applyProtection="0">
      <alignment vertical="center"/>
    </xf>
    <xf numFmtId="0" fontId="215" fillId="105" borderId="0" applyNumberFormat="0" applyBorder="0" applyAlignment="0" applyProtection="0">
      <alignment vertical="center"/>
    </xf>
    <xf numFmtId="0" fontId="215" fillId="106" borderId="0" applyNumberFormat="0" applyBorder="0" applyAlignment="0" applyProtection="0">
      <alignment vertical="center"/>
    </xf>
    <xf numFmtId="0" fontId="214" fillId="107" borderId="0" applyNumberFormat="0" applyBorder="0" applyAlignment="0" applyProtection="0">
      <alignment vertical="center"/>
    </xf>
    <xf numFmtId="0" fontId="214" fillId="108" borderId="0" applyNumberFormat="0" applyBorder="0" applyAlignment="0" applyProtection="0">
      <alignment vertical="center"/>
    </xf>
    <xf numFmtId="0" fontId="215" fillId="109" borderId="0" applyNumberFormat="0" applyBorder="0" applyAlignment="0" applyProtection="0">
      <alignment vertical="center"/>
    </xf>
    <xf numFmtId="0" fontId="215" fillId="110" borderId="0" applyNumberFormat="0" applyBorder="0" applyAlignment="0" applyProtection="0">
      <alignment vertical="center"/>
    </xf>
    <xf numFmtId="0" fontId="214" fillId="111" borderId="0" applyNumberFormat="0" applyBorder="0" applyAlignment="0" applyProtection="0">
      <alignment vertical="center"/>
    </xf>
    <xf numFmtId="0" fontId="214" fillId="112" borderId="0" applyNumberFormat="0" applyBorder="0" applyAlignment="0" applyProtection="0">
      <alignment vertical="center"/>
    </xf>
    <xf numFmtId="0" fontId="215" fillId="113" borderId="0" applyNumberFormat="0" applyBorder="0" applyAlignment="0" applyProtection="0">
      <alignment vertical="center"/>
    </xf>
    <xf numFmtId="0" fontId="215" fillId="114" borderId="0" applyNumberFormat="0" applyBorder="0" applyAlignment="0" applyProtection="0">
      <alignment vertical="center"/>
    </xf>
    <xf numFmtId="0" fontId="214" fillId="115" borderId="0" applyNumberFormat="0" applyBorder="0" applyAlignment="0" applyProtection="0">
      <alignment vertical="center"/>
    </xf>
    <xf numFmtId="0" fontId="214" fillId="116" borderId="0" applyNumberFormat="0" applyBorder="0" applyAlignment="0" applyProtection="0">
      <alignment vertical="center"/>
    </xf>
    <xf numFmtId="0" fontId="215" fillId="117" borderId="0" applyNumberFormat="0" applyBorder="0" applyAlignment="0" applyProtection="0">
      <alignment vertical="center"/>
    </xf>
    <xf numFmtId="0" fontId="215" fillId="118" borderId="0" applyNumberFormat="0" applyBorder="0" applyAlignment="0" applyProtection="0">
      <alignment vertical="center"/>
    </xf>
    <xf numFmtId="0" fontId="214" fillId="119" borderId="0" applyNumberFormat="0" applyBorder="0" applyAlignment="0" applyProtection="0">
      <alignment vertical="center"/>
    </xf>
    <xf numFmtId="0" fontId="33" fillId="3" borderId="0">
      <protection locked="0"/>
    </xf>
    <xf numFmtId="0" fontId="136" fillId="11" borderId="0">
      <protection locked="0"/>
    </xf>
    <xf numFmtId="0" fontId="136" fillId="7" borderId="0">
      <protection locked="0"/>
    </xf>
    <xf numFmtId="0" fontId="33" fillId="29" borderId="0">
      <protection locked="0"/>
    </xf>
    <xf numFmtId="0" fontId="33" fillId="8" borderId="0">
      <protection locked="0"/>
    </xf>
    <xf numFmtId="0" fontId="32" fillId="0" borderId="0">
      <protection locked="0"/>
    </xf>
    <xf numFmtId="0" fontId="216" fillId="0" borderId="0">
      <protection locked="0"/>
    </xf>
  </cellStyleXfs>
  <cellXfs count="3460">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applyAlignment="1">
      <alignment horizontal="left" vertical="top"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8" fillId="3" borderId="1" xfId="0" applyFont="1" applyFill="1" applyBorder="1" applyAlignment="1">
      <alignment vertical="center" wrapText="1"/>
    </xf>
    <xf numFmtId="0" fontId="4" fillId="3" borderId="1" xfId="0" applyFont="1" applyFill="1" applyBorder="1">
      <alignment vertical="center"/>
    </xf>
    <xf numFmtId="0" fontId="9" fillId="0" borderId="1" xfId="0" applyFont="1" applyBorder="1" applyAlignment="1">
      <alignment horizontal="left" vertical="center" wrapText="1"/>
    </xf>
    <xf numFmtId="49" fontId="7" fillId="0" borderId="0" xfId="0" applyNumberFormat="1" applyFont="1" applyAlignment="1">
      <alignment vertical="center" wrapText="1"/>
    </xf>
    <xf numFmtId="0" fontId="1" fillId="4" borderId="0" xfId="0" applyFont="1" applyFill="1" applyAlignment="1">
      <alignment horizontal="center" vertical="center"/>
    </xf>
    <xf numFmtId="0" fontId="10" fillId="0" borderId="0" xfId="0" applyFont="1" applyAlignment="1">
      <alignment horizontal="center" vertical="center" wrapText="1"/>
    </xf>
    <xf numFmtId="0" fontId="1" fillId="0" borderId="0" xfId="0" applyFont="1" applyAlignment="1">
      <alignment vertical="center" wrapText="1"/>
    </xf>
    <xf numFmtId="0" fontId="11" fillId="0" borderId="1" xfId="0" applyFont="1" applyBorder="1" applyAlignment="1">
      <alignment horizontal="center" vertical="center"/>
    </xf>
    <xf numFmtId="0" fontId="12" fillId="0" borderId="1" xfId="55" applyFont="1" applyBorder="1" applyAlignment="1" applyProtection="1">
      <alignment horizontal="left" vertical="center" wrapText="1"/>
    </xf>
    <xf numFmtId="0" fontId="13" fillId="0" borderId="0" xfId="0" applyFont="1">
      <alignment vertical="center"/>
    </xf>
    <xf numFmtId="0" fontId="2" fillId="2" borderId="0" xfId="0" applyFont="1" applyFill="1" applyAlignment="1">
      <alignment horizontal="left" vertical="center" indent="1"/>
    </xf>
    <xf numFmtId="0" fontId="1" fillId="0" borderId="0" xfId="0" applyFont="1" applyAlignment="1">
      <alignment horizontal="left" vertical="center" wrapText="1"/>
    </xf>
    <xf numFmtId="0" fontId="1" fillId="0" borderId="0" xfId="0" applyFont="1" applyAlignment="1">
      <alignment horizontal="left" vertical="top" wrapText="1"/>
    </xf>
    <xf numFmtId="0" fontId="14" fillId="3" borderId="1" xfId="0" applyFont="1" applyFill="1" applyBorder="1" applyAlignment="1">
      <alignment horizontal="center" vertical="center" wrapText="1"/>
    </xf>
    <xf numFmtId="0" fontId="15" fillId="0" borderId="1" xfId="0" applyFont="1" applyBorder="1" applyAlignment="1">
      <alignment horizontal="left" vertical="center"/>
    </xf>
    <xf numFmtId="0" fontId="4" fillId="3" borderId="1" xfId="0" applyFont="1" applyFill="1" applyBorder="1" applyAlignment="1">
      <alignment vertical="center" wrapText="1"/>
    </xf>
    <xf numFmtId="0" fontId="1" fillId="0" borderId="1" xfId="0" applyFont="1" applyBorder="1" applyAlignment="1">
      <alignment vertical="top" wrapText="1"/>
    </xf>
    <xf numFmtId="0" fontId="1" fillId="0" borderId="1" xfId="0" applyFont="1" applyBorder="1" applyAlignment="1">
      <alignment horizontal="left" vertical="top"/>
    </xf>
    <xf numFmtId="0" fontId="14" fillId="3" borderId="1" xfId="0" applyFont="1" applyFill="1" applyBorder="1" applyAlignment="1">
      <alignment vertical="center" wrapText="1"/>
    </xf>
    <xf numFmtId="0" fontId="7" fillId="0" borderId="1" xfId="0" applyFont="1" applyBorder="1" applyAlignment="1">
      <alignment horizontal="left" vertical="center"/>
    </xf>
    <xf numFmtId="0" fontId="6" fillId="0" borderId="1" xfId="0" applyFont="1" applyBorder="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center" vertical="center"/>
    </xf>
    <xf numFmtId="0" fontId="16" fillId="0" borderId="0" xfId="0" applyFont="1">
      <alignment vertical="center"/>
    </xf>
    <xf numFmtId="0" fontId="17" fillId="0" borderId="0" xfId="0" applyFont="1" applyAlignment="1">
      <alignment horizontal="center" vertical="center"/>
    </xf>
    <xf numFmtId="0" fontId="7" fillId="0" borderId="0" xfId="0" applyFont="1" applyAlignment="1">
      <alignment horizontal="left" vertical="center" wrapText="1"/>
    </xf>
    <xf numFmtId="0" fontId="5" fillId="3" borderId="1" xfId="0" applyFont="1" applyFill="1" applyBorder="1" applyAlignment="1">
      <alignment vertical="center" wrapText="1"/>
    </xf>
    <xf numFmtId="0" fontId="6"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6" fillId="3" borderId="1" xfId="0" applyFont="1" applyFill="1" applyBorder="1" applyAlignment="1">
      <alignment vertical="center" wrapText="1"/>
    </xf>
    <xf numFmtId="0" fontId="1" fillId="0" borderId="1" xfId="0" applyFont="1" applyBorder="1" applyAlignment="1">
      <alignment vertical="center" wrapText="1"/>
    </xf>
    <xf numFmtId="0" fontId="1" fillId="0" borderId="1" xfId="0" applyFont="1" applyBorder="1">
      <alignment vertical="center"/>
    </xf>
    <xf numFmtId="0" fontId="5" fillId="3" borderId="1" xfId="0" applyFont="1" applyFill="1" applyBorder="1" applyAlignment="1">
      <alignment horizontal="center" vertical="center" textRotation="255" wrapText="1"/>
    </xf>
    <xf numFmtId="0" fontId="14" fillId="3" borderId="1" xfId="0" applyFont="1" applyFill="1" applyBorder="1" applyAlignment="1">
      <alignment horizontal="center" vertical="top" wrapText="1"/>
    </xf>
    <xf numFmtId="0" fontId="1" fillId="5" borderId="0" xfId="0" applyFont="1" applyFill="1">
      <alignment vertical="center"/>
    </xf>
    <xf numFmtId="0" fontId="6" fillId="3" borderId="1" xfId="0" applyFont="1" applyFill="1" applyBorder="1" applyAlignment="1">
      <alignment horizontal="center" vertical="center" textRotation="255" wrapText="1"/>
    </xf>
    <xf numFmtId="0" fontId="18" fillId="3" borderId="1" xfId="0" applyFont="1" applyFill="1" applyBorder="1" applyAlignment="1">
      <alignment vertical="center" wrapText="1"/>
    </xf>
    <xf numFmtId="0" fontId="19" fillId="3" borderId="1" xfId="0" applyFont="1" applyFill="1" applyBorder="1" applyAlignment="1">
      <alignment horizontal="center" vertical="center" textRotation="255" wrapText="1"/>
    </xf>
    <xf numFmtId="0" fontId="19" fillId="3" borderId="1" xfId="0" applyFont="1" applyFill="1" applyBorder="1" applyAlignment="1">
      <alignment horizontal="center" vertical="center" wrapText="1"/>
    </xf>
    <xf numFmtId="0" fontId="20" fillId="0" borderId="1" xfId="0" applyFont="1" applyBorder="1" applyAlignment="1">
      <alignment horizontal="left" vertical="center"/>
    </xf>
    <xf numFmtId="0" fontId="2" fillId="2" borderId="1" xfId="0" applyFont="1" applyFill="1" applyBorder="1" applyAlignment="1">
      <alignment horizontal="center" vertical="center" wrapText="1"/>
    </xf>
    <xf numFmtId="0" fontId="21" fillId="0" borderId="1" xfId="0" applyFont="1" applyBorder="1" applyAlignment="1">
      <alignment horizontal="left" vertical="center" wrapText="1"/>
    </xf>
    <xf numFmtId="0" fontId="22" fillId="0" borderId="1" xfId="0" applyFont="1" applyBorder="1" applyAlignment="1">
      <alignment horizontal="left" vertical="center"/>
    </xf>
    <xf numFmtId="0" fontId="14" fillId="3" borderId="1" xfId="0" applyFont="1" applyFill="1" applyBorder="1" applyAlignment="1">
      <alignment horizontal="center" vertical="center"/>
    </xf>
    <xf numFmtId="0" fontId="6" fillId="3" borderId="1" xfId="0" applyFont="1" applyFill="1" applyBorder="1" applyAlignment="1">
      <alignment horizontal="center" vertical="top" wrapText="1"/>
    </xf>
    <xf numFmtId="0" fontId="19" fillId="3" borderId="1" xfId="0" applyFont="1" applyFill="1" applyBorder="1" applyAlignment="1">
      <alignment horizontal="center" vertical="center" textRotation="255"/>
    </xf>
    <xf numFmtId="0" fontId="23" fillId="3" borderId="1" xfId="0" applyFont="1" applyFill="1" applyBorder="1" applyAlignment="1">
      <alignment vertical="center" wrapText="1"/>
    </xf>
    <xf numFmtId="0" fontId="24" fillId="0" borderId="1" xfId="0" applyFont="1" applyBorder="1" applyAlignment="1">
      <alignment horizontal="left" vertical="center"/>
    </xf>
    <xf numFmtId="0" fontId="1" fillId="3" borderId="1" xfId="0" applyFont="1" applyFill="1" applyBorder="1" applyAlignment="1">
      <alignment horizontal="center" vertical="center" textRotation="255" wrapText="1"/>
    </xf>
    <xf numFmtId="0" fontId="23" fillId="3" borderId="1" xfId="0" applyFont="1" applyFill="1" applyBorder="1" applyAlignment="1">
      <alignment horizontal="center" vertical="center" wrapText="1"/>
    </xf>
    <xf numFmtId="0" fontId="25" fillId="3" borderId="1" xfId="0" applyFont="1" applyFill="1" applyBorder="1" applyAlignment="1">
      <alignment vertical="center" wrapText="1"/>
    </xf>
    <xf numFmtId="0" fontId="24" fillId="3" borderId="1" xfId="0" applyFont="1" applyFill="1" applyBorder="1" applyAlignment="1">
      <alignment horizontal="center" vertical="center" textRotation="255" wrapText="1"/>
    </xf>
    <xf numFmtId="0" fontId="23" fillId="3" borderId="1" xfId="0" applyFont="1" applyFill="1" applyBorder="1" applyAlignment="1">
      <alignment horizontal="left" vertical="center" wrapText="1"/>
    </xf>
    <xf numFmtId="0" fontId="18" fillId="0" borderId="1" xfId="0" applyFont="1" applyBorder="1" applyAlignment="1">
      <alignment horizontal="left" vertical="center"/>
    </xf>
    <xf numFmtId="0" fontId="6" fillId="0" borderId="1" xfId="0" applyFont="1" applyBorder="1" applyAlignment="1">
      <alignment vertical="center" wrapText="1"/>
    </xf>
    <xf numFmtId="0" fontId="6" fillId="0" borderId="1" xfId="0" applyFont="1" applyBorder="1">
      <alignment vertical="center"/>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5" xfId="0" applyFont="1" applyFill="1" applyBorder="1" applyAlignment="1">
      <alignment horizontal="center" vertical="center"/>
    </xf>
    <xf numFmtId="0" fontId="26" fillId="0" borderId="4" xfId="0" applyFont="1" applyBorder="1" applyAlignment="1">
      <alignment horizontal="center" vertical="center"/>
    </xf>
    <xf numFmtId="0" fontId="27" fillId="0" borderId="5" xfId="0" applyFont="1" applyBorder="1" applyAlignment="1">
      <alignment horizontal="left" vertical="center" wrapText="1"/>
    </xf>
    <xf numFmtId="0" fontId="26" fillId="8" borderId="4" xfId="0" applyFont="1" applyFill="1" applyBorder="1" applyAlignment="1">
      <alignment horizontal="center" vertical="center"/>
    </xf>
    <xf numFmtId="0" fontId="27" fillId="8" borderId="5" xfId="0" applyFont="1" applyFill="1" applyBorder="1" applyAlignment="1">
      <alignment horizontal="left" vertical="center" wrapText="1"/>
    </xf>
    <xf numFmtId="0" fontId="26" fillId="8" borderId="6" xfId="0" applyFont="1" applyFill="1" applyBorder="1" applyAlignment="1">
      <alignment horizontal="center" vertical="center"/>
    </xf>
    <xf numFmtId="0" fontId="27" fillId="8" borderId="7" xfId="0" applyFont="1" applyFill="1" applyBorder="1" applyAlignment="1">
      <alignment horizontal="left" vertical="center" wrapText="1"/>
    </xf>
    <xf numFmtId="0" fontId="2" fillId="9" borderId="2" xfId="0" applyFont="1" applyFill="1" applyBorder="1" applyAlignment="1" applyProtection="1">
      <alignment horizontal="center" vertical="center"/>
      <protection hidden="1"/>
    </xf>
    <xf numFmtId="0" fontId="2" fillId="9" borderId="3" xfId="0" applyFont="1" applyFill="1" applyBorder="1" applyAlignment="1" applyProtection="1">
      <alignment horizontal="center" vertical="center"/>
      <protection hidden="1"/>
    </xf>
    <xf numFmtId="0" fontId="1" fillId="10" borderId="4" xfId="0" applyFont="1" applyFill="1" applyBorder="1" applyAlignment="1" applyProtection="1">
      <alignment horizontal="center" vertical="center"/>
      <protection hidden="1"/>
    </xf>
    <xf numFmtId="0" fontId="1" fillId="10" borderId="5" xfId="0" applyFont="1" applyFill="1" applyBorder="1" applyAlignment="1" applyProtection="1">
      <alignment horizontal="center" vertical="center" wrapText="1"/>
      <protection hidden="1"/>
    </xf>
    <xf numFmtId="0" fontId="1" fillId="0" borderId="4" xfId="0" applyFont="1" applyBorder="1" applyAlignment="1" applyProtection="1">
      <alignment horizontal="center" vertical="center"/>
      <protection locked="0" hidden="1"/>
    </xf>
    <xf numFmtId="0" fontId="1" fillId="0" borderId="5" xfId="0" applyFont="1" applyBorder="1" applyAlignment="1" applyProtection="1">
      <alignment horizontal="left" vertical="center" wrapText="1"/>
      <protection hidden="1"/>
    </xf>
    <xf numFmtId="0" fontId="1" fillId="0" borderId="6" xfId="0" applyFont="1" applyBorder="1" applyAlignment="1" applyProtection="1">
      <alignment horizontal="center" vertical="center"/>
      <protection locked="0" hidden="1"/>
    </xf>
    <xf numFmtId="0" fontId="1" fillId="0" borderId="7" xfId="0" applyFont="1" applyBorder="1" applyAlignment="1" applyProtection="1">
      <alignment horizontal="left" vertical="center" wrapText="1"/>
      <protection hidden="1"/>
    </xf>
    <xf numFmtId="0" fontId="26" fillId="0" borderId="0" xfId="0" applyFont="1" applyAlignment="1">
      <alignment vertical="center" wrapText="1"/>
    </xf>
    <xf numFmtId="0" fontId="28" fillId="8" borderId="2" xfId="0" applyFont="1" applyFill="1" applyBorder="1" applyAlignment="1">
      <alignment horizontal="center" vertical="center" wrapText="1"/>
    </xf>
    <xf numFmtId="0" fontId="28" fillId="8" borderId="8" xfId="0" applyFont="1" applyFill="1" applyBorder="1" applyAlignment="1">
      <alignment horizontal="center" vertical="center" wrapText="1"/>
    </xf>
    <xf numFmtId="0" fontId="28" fillId="8" borderId="4" xfId="0" applyFont="1" applyFill="1" applyBorder="1" applyAlignment="1">
      <alignment horizontal="center" vertical="center" wrapText="1"/>
    </xf>
    <xf numFmtId="0" fontId="28" fillId="8" borderId="0" xfId="0" applyFont="1" applyFill="1" applyAlignment="1">
      <alignment horizontal="center" vertical="center" wrapText="1"/>
    </xf>
    <xf numFmtId="0" fontId="28" fillId="8" borderId="6" xfId="0" applyFont="1" applyFill="1" applyBorder="1" applyAlignment="1">
      <alignment horizontal="center" vertical="center" wrapText="1"/>
    </xf>
    <xf numFmtId="0" fontId="28" fillId="8" borderId="9" xfId="0" applyFont="1" applyFill="1" applyBorder="1" applyAlignment="1">
      <alignment horizontal="center" vertical="center" wrapText="1"/>
    </xf>
    <xf numFmtId="0" fontId="29" fillId="8" borderId="2" xfId="0" applyFont="1" applyFill="1" applyBorder="1" applyAlignment="1">
      <alignment horizontal="center" vertical="center" wrapText="1"/>
    </xf>
    <xf numFmtId="0" fontId="29" fillId="8" borderId="3" xfId="0" applyFont="1" applyFill="1" applyBorder="1" applyAlignment="1">
      <alignment horizontal="center" vertical="center" wrapText="1"/>
    </xf>
    <xf numFmtId="0" fontId="29" fillId="8" borderId="4" xfId="0" applyFont="1" applyFill="1" applyBorder="1" applyAlignment="1">
      <alignment horizontal="center" vertical="center" wrapText="1"/>
    </xf>
    <xf numFmtId="0" fontId="29" fillId="8" borderId="5" xfId="0" applyFont="1" applyFill="1" applyBorder="1" applyAlignment="1">
      <alignment horizontal="center" vertical="center" wrapText="1"/>
    </xf>
    <xf numFmtId="0" fontId="26" fillId="0" borderId="10" xfId="0" applyFont="1" applyBorder="1" applyAlignment="1">
      <alignment horizontal="center" vertical="center" wrapText="1"/>
    </xf>
    <xf numFmtId="0" fontId="26" fillId="0" borderId="11" xfId="0" applyFont="1" applyBorder="1" applyAlignment="1">
      <alignment horizontal="center" vertical="center" wrapText="1"/>
    </xf>
    <xf numFmtId="0" fontId="26" fillId="0" borderId="4"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7"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3" xfId="0" applyFont="1" applyBorder="1" applyAlignment="1">
      <alignment horizontal="center" vertical="center" wrapText="1"/>
    </xf>
    <xf numFmtId="0" fontId="29" fillId="8" borderId="6" xfId="0" applyFont="1" applyFill="1" applyBorder="1" applyAlignment="1">
      <alignment horizontal="center" vertical="center" wrapText="1"/>
    </xf>
    <xf numFmtId="0" fontId="11" fillId="0" borderId="14" xfId="0" applyFont="1" applyBorder="1" applyAlignment="1">
      <alignment horizontal="center" vertical="center" wrapText="1"/>
    </xf>
    <xf numFmtId="0" fontId="1" fillId="8" borderId="2" xfId="0" applyFont="1" applyFill="1" applyBorder="1" applyAlignment="1">
      <alignment horizontal="center" vertical="center" wrapText="1"/>
    </xf>
    <xf numFmtId="0" fontId="1" fillId="0" borderId="15" xfId="0" applyFont="1" applyBorder="1" applyAlignment="1">
      <alignment horizontal="left" vertical="center" wrapText="1"/>
    </xf>
    <xf numFmtId="0" fontId="1" fillId="8" borderId="4" xfId="0" applyFont="1" applyFill="1" applyBorder="1" applyAlignment="1">
      <alignment horizontal="center" vertical="center" wrapText="1"/>
    </xf>
    <xf numFmtId="0" fontId="1" fillId="0" borderId="16" xfId="0" applyFont="1" applyBorder="1" applyAlignment="1">
      <alignment horizontal="left" vertical="center" wrapText="1"/>
    </xf>
    <xf numFmtId="0" fontId="1" fillId="8" borderId="6" xfId="0" applyFont="1" applyFill="1" applyBorder="1" applyAlignment="1">
      <alignment horizontal="center"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2" fillId="11" borderId="20" xfId="0" applyFont="1" applyFill="1" applyBorder="1" applyAlignment="1">
      <alignment horizontal="center" vertical="center"/>
    </xf>
    <xf numFmtId="0" fontId="2" fillId="11" borderId="21" xfId="0" applyFont="1" applyFill="1" applyBorder="1" applyAlignment="1">
      <alignment horizontal="center" vertical="center"/>
    </xf>
    <xf numFmtId="0" fontId="22" fillId="8" borderId="7" xfId="0" applyFont="1" applyFill="1" applyBorder="1" applyAlignment="1">
      <alignment horizontal="left" vertical="center" wrapText="1"/>
    </xf>
    <xf numFmtId="0" fontId="28" fillId="8" borderId="3" xfId="0" applyFont="1" applyFill="1" applyBorder="1" applyAlignment="1">
      <alignment horizontal="center" vertical="center" wrapText="1"/>
    </xf>
    <xf numFmtId="0" fontId="28" fillId="8" borderId="5" xfId="0" applyFont="1" applyFill="1" applyBorder="1" applyAlignment="1">
      <alignment horizontal="center" vertical="center" wrapText="1"/>
    </xf>
    <xf numFmtId="0" fontId="28" fillId="8" borderId="7" xfId="0" applyFont="1" applyFill="1" applyBorder="1" applyAlignment="1">
      <alignment horizontal="center" vertical="center" wrapText="1"/>
    </xf>
    <xf numFmtId="0" fontId="30" fillId="0" borderId="0" xfId="0" applyFont="1" applyAlignment="1">
      <alignment horizontal="left"/>
    </xf>
    <xf numFmtId="0" fontId="22" fillId="0" borderId="15" xfId="0" applyFont="1" applyBorder="1" applyAlignment="1">
      <alignment horizontal="center" vertical="center" wrapText="1"/>
    </xf>
    <xf numFmtId="0" fontId="22" fillId="0" borderId="22" xfId="0" applyFont="1" applyBorder="1" applyAlignment="1">
      <alignment horizontal="center" vertical="center" wrapText="1"/>
    </xf>
    <xf numFmtId="0" fontId="22" fillId="0" borderId="16" xfId="0" applyFont="1" applyBorder="1" applyAlignment="1">
      <alignment horizontal="center" vertical="center" wrapText="1"/>
    </xf>
    <xf numFmtId="0" fontId="1" fillId="0" borderId="16" xfId="0" applyFont="1" applyBorder="1" applyAlignment="1">
      <alignment horizontal="center" vertical="center" wrapText="1"/>
    </xf>
    <xf numFmtId="0" fontId="22" fillId="0" borderId="18" xfId="0" applyFont="1" applyBorder="1" applyAlignment="1">
      <alignment horizontal="center" vertical="center" wrapText="1"/>
    </xf>
    <xf numFmtId="0" fontId="1" fillId="0" borderId="17" xfId="0" applyFont="1" applyBorder="1" applyAlignment="1">
      <alignment horizontal="center" vertical="center" wrapText="1"/>
    </xf>
    <xf numFmtId="0" fontId="31" fillId="0" borderId="0" xfId="54" applyFont="1" applyAlignment="1">
      <alignment vertical="center"/>
      <protection locked="0"/>
    </xf>
    <xf numFmtId="0" fontId="32" fillId="0" borderId="0" xfId="54" applyAlignment="1">
      <alignment vertical="center"/>
      <protection locked="0"/>
    </xf>
    <xf numFmtId="0" fontId="33" fillId="0" borderId="0" xfId="0" applyFont="1" applyProtection="1">
      <alignment vertical="center"/>
      <protection locked="0"/>
    </xf>
    <xf numFmtId="49" fontId="34" fillId="2" borderId="2" xfId="0" applyNumberFormat="1" applyFont="1" applyFill="1" applyBorder="1" applyAlignment="1" applyProtection="1">
      <alignment horizontal="center" vertical="center"/>
      <protection locked="0"/>
    </xf>
    <xf numFmtId="49" fontId="34" fillId="2" borderId="8" xfId="0" applyNumberFormat="1" applyFont="1" applyFill="1" applyBorder="1" applyAlignment="1" applyProtection="1">
      <alignment horizontal="center" vertical="center"/>
      <protection locked="0"/>
    </xf>
    <xf numFmtId="49" fontId="35" fillId="2" borderId="8" xfId="0" applyNumberFormat="1" applyFont="1" applyFill="1" applyBorder="1" applyAlignment="1" applyProtection="1">
      <alignment horizontal="center" vertical="center" wrapText="1"/>
      <protection locked="0"/>
    </xf>
    <xf numFmtId="0" fontId="36" fillId="0" borderId="4" xfId="0" applyFont="1" applyBorder="1" applyAlignment="1" applyProtection="1">
      <alignment horizontal="left" vertical="center"/>
      <protection locked="0"/>
    </xf>
    <xf numFmtId="0" fontId="36" fillId="0" borderId="0" xfId="0" applyFont="1" applyAlignment="1" applyProtection="1">
      <alignment horizontal="center" vertical="center"/>
      <protection locked="0"/>
    </xf>
    <xf numFmtId="0" fontId="36" fillId="0" borderId="23" xfId="0" applyFont="1" applyBorder="1" applyAlignment="1" applyProtection="1">
      <alignment horizontal="left" vertical="center"/>
      <protection locked="0"/>
    </xf>
    <xf numFmtId="0" fontId="36" fillId="0" borderId="24" xfId="0" applyFont="1" applyBorder="1" applyAlignment="1" applyProtection="1">
      <alignment horizontal="center" vertical="center"/>
      <protection locked="0"/>
    </xf>
    <xf numFmtId="0" fontId="36" fillId="0" borderId="25" xfId="0" applyFont="1" applyBorder="1" applyAlignment="1" applyProtection="1">
      <alignment horizontal="left" vertical="center"/>
      <protection locked="0"/>
    </xf>
    <xf numFmtId="0" fontId="36" fillId="0" borderId="26" xfId="0" applyFont="1" applyBorder="1" applyAlignment="1" applyProtection="1">
      <alignment horizontal="center" vertical="center"/>
      <protection locked="0"/>
    </xf>
    <xf numFmtId="0" fontId="36" fillId="12" borderId="23" xfId="0" applyFont="1" applyFill="1" applyBorder="1" applyAlignment="1" applyProtection="1">
      <alignment horizontal="left" vertical="center"/>
      <protection locked="0"/>
    </xf>
    <xf numFmtId="0" fontId="36" fillId="12" borderId="24" xfId="0" applyFont="1" applyFill="1" applyBorder="1" applyAlignment="1" applyProtection="1">
      <alignment horizontal="center" vertical="center"/>
      <protection locked="0"/>
    </xf>
    <xf numFmtId="0" fontId="37" fillId="13" borderId="4" xfId="0" applyFont="1" applyFill="1" applyBorder="1" applyAlignment="1" applyProtection="1">
      <alignment horizontal="left" vertical="center"/>
      <protection locked="0"/>
    </xf>
    <xf numFmtId="0" fontId="37" fillId="14" borderId="0" xfId="0" applyFont="1" applyFill="1" applyAlignment="1" applyProtection="1">
      <alignment horizontal="center" vertical="center"/>
      <protection locked="0"/>
    </xf>
    <xf numFmtId="0" fontId="37" fillId="0" borderId="0" xfId="0" applyFont="1" applyAlignment="1" applyProtection="1">
      <alignment horizontal="center" vertical="center"/>
      <protection locked="0"/>
    </xf>
    <xf numFmtId="0" fontId="31" fillId="0" borderId="4" xfId="54" applyFont="1" applyBorder="1" applyAlignment="1">
      <alignment horizontal="left" vertical="center"/>
      <protection locked="0"/>
    </xf>
    <xf numFmtId="0" fontId="31" fillId="0" borderId="0" xfId="54" applyFont="1" applyAlignment="1">
      <alignment horizontal="center" vertical="center"/>
      <protection locked="0"/>
    </xf>
    <xf numFmtId="0" fontId="37" fillId="14" borderId="4" xfId="0" applyFont="1" applyFill="1" applyBorder="1" applyAlignment="1" applyProtection="1">
      <alignment horizontal="left" vertical="center"/>
      <protection locked="0"/>
    </xf>
    <xf numFmtId="0" fontId="37" fillId="0" borderId="4" xfId="0" applyFont="1" applyBorder="1" applyAlignment="1" applyProtection="1">
      <alignment horizontal="left" vertical="center"/>
      <protection locked="0"/>
    </xf>
    <xf numFmtId="0" fontId="37" fillId="15" borderId="4" xfId="0" applyFont="1" applyFill="1" applyBorder="1" applyAlignment="1" applyProtection="1">
      <alignment horizontal="left" vertical="center"/>
      <protection locked="0"/>
    </xf>
    <xf numFmtId="0" fontId="37" fillId="15" borderId="0" xfId="0" applyFont="1" applyFill="1" applyAlignment="1" applyProtection="1">
      <alignment horizontal="center" vertical="center"/>
      <protection locked="0"/>
    </xf>
    <xf numFmtId="0" fontId="37" fillId="16" borderId="4" xfId="0" applyFont="1" applyFill="1" applyBorder="1" applyAlignment="1" applyProtection="1">
      <alignment horizontal="left" vertical="center"/>
      <protection locked="0"/>
    </xf>
    <xf numFmtId="0" fontId="37" fillId="16" borderId="0" xfId="0" applyFont="1" applyFill="1" applyAlignment="1" applyProtection="1">
      <alignment horizontal="center" vertical="center"/>
      <protection locked="0"/>
    </xf>
    <xf numFmtId="0" fontId="37" fillId="17" borderId="4" xfId="0" applyFont="1" applyFill="1" applyBorder="1" applyAlignment="1" applyProtection="1">
      <alignment horizontal="left" vertical="center"/>
      <protection locked="0"/>
    </xf>
    <xf numFmtId="0" fontId="37" fillId="17" borderId="0" xfId="0" applyFont="1" applyFill="1" applyAlignment="1" applyProtection="1">
      <alignment horizontal="center" vertical="center"/>
      <protection locked="0"/>
    </xf>
    <xf numFmtId="0" fontId="37" fillId="18" borderId="4" xfId="0" applyFont="1" applyFill="1" applyBorder="1" applyAlignment="1" applyProtection="1">
      <alignment horizontal="left" vertical="center"/>
      <protection locked="0"/>
    </xf>
    <xf numFmtId="0" fontId="37" fillId="18" borderId="0" xfId="0" applyFont="1" applyFill="1" applyAlignment="1" applyProtection="1">
      <alignment horizontal="center" vertical="center"/>
      <protection locked="0"/>
    </xf>
    <xf numFmtId="0" fontId="31" fillId="16" borderId="0" xfId="54" applyFont="1" applyFill="1" applyAlignment="1">
      <alignment horizontal="center" vertical="center"/>
      <protection locked="0"/>
    </xf>
    <xf numFmtId="0" fontId="37" fillId="19" borderId="4" xfId="0" applyFont="1" applyFill="1" applyBorder="1" applyAlignment="1" applyProtection="1">
      <alignment horizontal="left" vertical="center"/>
      <protection locked="0"/>
    </xf>
    <xf numFmtId="0" fontId="31" fillId="19" borderId="0" xfId="54" applyFont="1" applyFill="1" applyAlignment="1">
      <alignment horizontal="center" vertical="center"/>
      <protection locked="0"/>
    </xf>
    <xf numFmtId="0" fontId="37" fillId="19" borderId="0" xfId="0" applyFont="1" applyFill="1" applyAlignment="1" applyProtection="1">
      <alignment horizontal="center" vertical="center"/>
      <protection locked="0"/>
    </xf>
    <xf numFmtId="0" fontId="31" fillId="8" borderId="4" xfId="0" applyFont="1" applyFill="1" applyBorder="1" applyAlignment="1" applyProtection="1">
      <alignment horizontal="left" vertical="center"/>
      <protection locked="0"/>
    </xf>
    <xf numFmtId="0" fontId="31" fillId="8" borderId="0" xfId="54" applyFont="1" applyFill="1" applyAlignment="1">
      <alignment horizontal="center" vertical="center"/>
      <protection locked="0"/>
    </xf>
    <xf numFmtId="0" fontId="31" fillId="8" borderId="0" xfId="0" applyFont="1" applyFill="1" applyAlignment="1" applyProtection="1">
      <alignment horizontal="center" vertical="center"/>
      <protection locked="0"/>
    </xf>
    <xf numFmtId="0" fontId="37" fillId="8" borderId="4" xfId="0" applyFont="1" applyFill="1" applyBorder="1" applyAlignment="1" applyProtection="1">
      <alignment horizontal="left" vertical="center"/>
      <protection locked="0"/>
    </xf>
    <xf numFmtId="0" fontId="37" fillId="8" borderId="0" xfId="0" applyFont="1" applyFill="1" applyAlignment="1" applyProtection="1">
      <alignment horizontal="center" vertical="center"/>
      <protection locked="0"/>
    </xf>
    <xf numFmtId="0" fontId="31" fillId="18" borderId="0" xfId="54" applyFont="1" applyFill="1" applyAlignment="1">
      <alignment horizontal="center" vertical="center"/>
      <protection locked="0"/>
    </xf>
    <xf numFmtId="49" fontId="34" fillId="2" borderId="3" xfId="0" applyNumberFormat="1" applyFont="1" applyFill="1" applyBorder="1" applyAlignment="1" applyProtection="1">
      <alignment horizontal="center" vertical="center"/>
      <protection locked="0"/>
    </xf>
    <xf numFmtId="49" fontId="34" fillId="2" borderId="0" xfId="0" applyNumberFormat="1" applyFont="1" applyFill="1" applyAlignment="1" applyProtection="1">
      <alignment horizontal="center" vertical="center"/>
      <protection locked="0"/>
    </xf>
    <xf numFmtId="0" fontId="36" fillId="0" borderId="5" xfId="0" applyFont="1" applyBorder="1" applyAlignment="1" applyProtection="1">
      <alignment horizontal="center" vertical="center"/>
      <protection locked="0"/>
    </xf>
    <xf numFmtId="0" fontId="38" fillId="0" borderId="27" xfId="54" applyFont="1" applyBorder="1" applyAlignment="1">
      <alignment horizontal="center" vertical="center" wrapText="1"/>
      <protection locked="0"/>
    </xf>
    <xf numFmtId="0" fontId="39" fillId="12" borderId="27" xfId="54" applyFont="1" applyFill="1" applyBorder="1" applyAlignment="1">
      <alignment horizontal="left" vertical="center" wrapText="1"/>
      <protection locked="0"/>
    </xf>
    <xf numFmtId="0" fontId="39" fillId="12" borderId="1" xfId="54" applyFont="1" applyFill="1" applyBorder="1" applyAlignment="1">
      <alignment horizontal="left" vertical="center" wrapText="1"/>
      <protection locked="0"/>
    </xf>
    <xf numFmtId="0" fontId="36" fillId="0" borderId="28" xfId="0" applyFont="1" applyBorder="1" applyAlignment="1" applyProtection="1">
      <alignment horizontal="center" vertical="center"/>
      <protection locked="0"/>
    </xf>
    <xf numFmtId="0" fontId="36" fillId="0" borderId="29" xfId="0" applyFont="1" applyBorder="1" applyAlignment="1" applyProtection="1">
      <alignment horizontal="center" vertical="center"/>
      <protection locked="0"/>
    </xf>
    <xf numFmtId="0" fontId="36" fillId="12" borderId="28" xfId="0" applyFont="1" applyFill="1" applyBorder="1" applyAlignment="1" applyProtection="1">
      <alignment horizontal="center" vertical="center"/>
      <protection locked="0"/>
    </xf>
    <xf numFmtId="0" fontId="37" fillId="14" borderId="5" xfId="0" applyFont="1" applyFill="1" applyBorder="1" applyAlignment="1" applyProtection="1">
      <alignment horizontal="center" vertical="center"/>
      <protection locked="0"/>
    </xf>
    <xf numFmtId="0" fontId="40" fillId="14" borderId="27" xfId="54" applyFont="1" applyFill="1" applyBorder="1" applyAlignment="1">
      <alignment horizontal="center" vertical="center" wrapText="1"/>
      <protection locked="0"/>
    </xf>
    <xf numFmtId="0" fontId="32" fillId="13" borderId="26" xfId="54" applyFill="1" applyBorder="1" applyAlignment="1">
      <alignment horizontal="center" vertical="center" wrapText="1"/>
      <protection locked="0"/>
    </xf>
    <xf numFmtId="0" fontId="32" fillId="13" borderId="0" xfId="54" applyFill="1" applyAlignment="1">
      <alignment horizontal="center" vertical="center" wrapText="1"/>
      <protection locked="0"/>
    </xf>
    <xf numFmtId="0" fontId="31" fillId="0" borderId="5" xfId="54" applyFont="1" applyBorder="1" applyAlignment="1">
      <alignment horizontal="center" vertical="center"/>
      <protection locked="0"/>
    </xf>
    <xf numFmtId="0" fontId="32" fillId="13" borderId="30" xfId="54" applyFill="1" applyBorder="1" applyAlignment="1">
      <alignment horizontal="center" vertical="center" wrapText="1"/>
      <protection locked="0"/>
    </xf>
    <xf numFmtId="0" fontId="32" fillId="0" borderId="0" xfId="54" applyAlignment="1">
      <alignment vertical="center" wrapText="1"/>
      <protection locked="0"/>
    </xf>
    <xf numFmtId="0" fontId="37" fillId="0" borderId="5" xfId="0" applyFont="1" applyBorder="1" applyAlignment="1" applyProtection="1">
      <alignment horizontal="center" vertical="center"/>
      <protection locked="0"/>
    </xf>
    <xf numFmtId="0" fontId="37" fillId="15" borderId="5" xfId="0" applyFont="1" applyFill="1" applyBorder="1" applyAlignment="1" applyProtection="1">
      <alignment horizontal="center" vertical="center"/>
      <protection locked="0"/>
    </xf>
    <xf numFmtId="0" fontId="37" fillId="16" borderId="5" xfId="0" applyFont="1" applyFill="1" applyBorder="1" applyAlignment="1" applyProtection="1">
      <alignment horizontal="center" vertical="center"/>
      <protection locked="0"/>
    </xf>
    <xf numFmtId="0" fontId="40" fillId="16" borderId="27" xfId="54" applyFont="1" applyFill="1" applyBorder="1" applyAlignment="1">
      <alignment horizontal="center" vertical="center" wrapText="1"/>
      <protection locked="0"/>
    </xf>
    <xf numFmtId="0" fontId="32" fillId="17" borderId="26" xfId="54" applyFill="1" applyBorder="1" applyAlignment="1">
      <alignment horizontal="center" vertical="center" wrapText="1"/>
      <protection locked="0"/>
    </xf>
    <xf numFmtId="0" fontId="32" fillId="17" borderId="26" xfId="54" applyFill="1" applyBorder="1" applyAlignment="1">
      <alignment horizontal="center" vertical="center"/>
      <protection locked="0"/>
    </xf>
    <xf numFmtId="0" fontId="32" fillId="17" borderId="0" xfId="54" applyFill="1" applyAlignment="1">
      <alignment horizontal="center" vertical="center"/>
      <protection locked="0"/>
    </xf>
    <xf numFmtId="0" fontId="32" fillId="17" borderId="30" xfId="54" applyFill="1" applyBorder="1" applyAlignment="1">
      <alignment horizontal="center" vertical="center"/>
      <protection locked="0"/>
    </xf>
    <xf numFmtId="0" fontId="32" fillId="18" borderId="26" xfId="54" applyFill="1" applyBorder="1" applyAlignment="1">
      <alignment horizontal="center" vertical="center" wrapText="1"/>
      <protection locked="0"/>
    </xf>
    <xf numFmtId="0" fontId="37" fillId="17" borderId="5" xfId="0" applyFont="1" applyFill="1" applyBorder="1" applyAlignment="1" applyProtection="1">
      <alignment horizontal="center" vertical="center"/>
      <protection locked="0"/>
    </xf>
    <xf numFmtId="0" fontId="32" fillId="18" borderId="0" xfId="54" applyFill="1" applyAlignment="1">
      <alignment horizontal="center" vertical="center" wrapText="1"/>
      <protection locked="0"/>
    </xf>
    <xf numFmtId="0" fontId="32" fillId="18" borderId="30" xfId="54" applyFill="1" applyBorder="1" applyAlignment="1">
      <alignment horizontal="center" vertical="center" wrapText="1"/>
      <protection locked="0"/>
    </xf>
    <xf numFmtId="0" fontId="41" fillId="0" borderId="0" xfId="54" applyFont="1" applyAlignment="1">
      <alignment horizontal="left" vertical="center" wrapText="1"/>
      <protection locked="0"/>
    </xf>
    <xf numFmtId="0" fontId="37" fillId="18" borderId="5" xfId="0" applyFont="1" applyFill="1" applyBorder="1" applyAlignment="1" applyProtection="1">
      <alignment horizontal="center" vertical="center"/>
      <protection locked="0"/>
    </xf>
    <xf numFmtId="0" fontId="37" fillId="19" borderId="5" xfId="0" applyFont="1" applyFill="1" applyBorder="1" applyAlignment="1" applyProtection="1">
      <alignment horizontal="center" vertical="center"/>
      <protection locked="0"/>
    </xf>
    <xf numFmtId="0" fontId="40" fillId="19" borderId="27" xfId="54" applyFont="1" applyFill="1" applyBorder="1" applyAlignment="1">
      <alignment horizontal="center" vertical="center" wrapText="1"/>
      <protection locked="0"/>
    </xf>
    <xf numFmtId="178" fontId="37" fillId="19" borderId="5" xfId="0" applyNumberFormat="1" applyFont="1" applyFill="1" applyBorder="1" applyAlignment="1" applyProtection="1">
      <alignment horizontal="center" vertical="center"/>
      <protection locked="0"/>
    </xf>
    <xf numFmtId="0" fontId="42" fillId="0" borderId="0" xfId="54" applyFont="1" applyAlignment="1">
      <alignment vertical="center" wrapText="1"/>
      <protection locked="0"/>
    </xf>
    <xf numFmtId="0" fontId="31" fillId="8" borderId="5" xfId="0" applyFont="1" applyFill="1" applyBorder="1" applyAlignment="1" applyProtection="1">
      <alignment horizontal="center" vertical="center"/>
      <protection locked="0"/>
    </xf>
    <xf numFmtId="0" fontId="43" fillId="8" borderId="27" xfId="54" applyFont="1" applyFill="1" applyBorder="1" applyAlignment="1">
      <alignment horizontal="center" vertical="center" wrapText="1"/>
      <protection locked="0"/>
    </xf>
    <xf numFmtId="178" fontId="37" fillId="8" borderId="5" xfId="0" applyNumberFormat="1" applyFont="1" applyFill="1" applyBorder="1" applyAlignment="1" applyProtection="1">
      <alignment horizontal="center" vertical="center"/>
      <protection locked="0"/>
    </xf>
    <xf numFmtId="0" fontId="37" fillId="8" borderId="5" xfId="0" applyFont="1" applyFill="1" applyBorder="1" applyAlignment="1" applyProtection="1">
      <alignment horizontal="center" vertical="center"/>
      <protection locked="0"/>
    </xf>
    <xf numFmtId="0" fontId="32" fillId="13" borderId="31" xfId="54" applyFill="1" applyBorder="1" applyAlignment="1">
      <alignment horizontal="center" vertical="center" wrapText="1"/>
      <protection locked="0"/>
    </xf>
    <xf numFmtId="0" fontId="32" fillId="13" borderId="32" xfId="54" applyFill="1" applyBorder="1" applyAlignment="1">
      <alignment horizontal="center" vertical="center" wrapText="1"/>
      <protection locked="0"/>
    </xf>
    <xf numFmtId="0" fontId="32" fillId="13" borderId="33" xfId="54" applyFill="1" applyBorder="1" applyAlignment="1">
      <alignment horizontal="center" vertical="center" wrapText="1"/>
      <protection locked="0"/>
    </xf>
    <xf numFmtId="0" fontId="32" fillId="17" borderId="31" xfId="54" applyFill="1" applyBorder="1" applyAlignment="1">
      <alignment horizontal="center" vertical="center"/>
      <protection locked="0"/>
    </xf>
    <xf numFmtId="0" fontId="32" fillId="17" borderId="32" xfId="54" applyFill="1" applyBorder="1" applyAlignment="1">
      <alignment horizontal="center" vertical="center"/>
      <protection locked="0"/>
    </xf>
    <xf numFmtId="0" fontId="32" fillId="17" borderId="33" xfId="54" applyFill="1" applyBorder="1" applyAlignment="1">
      <alignment horizontal="center" vertical="center"/>
      <protection locked="0"/>
    </xf>
    <xf numFmtId="0" fontId="32" fillId="18" borderId="31" xfId="54" applyFill="1" applyBorder="1" applyAlignment="1">
      <alignment horizontal="center" vertical="center" wrapText="1"/>
      <protection locked="0"/>
    </xf>
    <xf numFmtId="0" fontId="32" fillId="18" borderId="32" xfId="54" applyFill="1" applyBorder="1" applyAlignment="1">
      <alignment horizontal="center" vertical="center" wrapText="1"/>
      <protection locked="0"/>
    </xf>
    <xf numFmtId="0" fontId="32" fillId="18" borderId="33" xfId="54" applyFill="1" applyBorder="1" applyAlignment="1">
      <alignment horizontal="center" vertical="center" wrapText="1"/>
      <protection locked="0"/>
    </xf>
    <xf numFmtId="49" fontId="44" fillId="2" borderId="2" xfId="0" applyNumberFormat="1" applyFont="1" applyFill="1" applyBorder="1" applyAlignment="1" applyProtection="1">
      <alignment horizontal="center" vertical="center"/>
      <protection locked="0"/>
    </xf>
    <xf numFmtId="49" fontId="44" fillId="2" borderId="8" xfId="0" applyNumberFormat="1" applyFont="1" applyFill="1" applyBorder="1" applyAlignment="1" applyProtection="1">
      <alignment horizontal="center" vertical="center"/>
      <protection locked="0"/>
    </xf>
    <xf numFmtId="49" fontId="44" fillId="2" borderId="8" xfId="0" applyNumberFormat="1" applyFont="1" applyFill="1" applyBorder="1" applyAlignment="1" applyProtection="1">
      <alignment horizontal="center" vertical="center" wrapText="1"/>
      <protection locked="0"/>
    </xf>
    <xf numFmtId="0" fontId="36" fillId="0" borderId="30" xfId="0" applyFont="1" applyBorder="1" applyAlignment="1" applyProtection="1">
      <alignment horizontal="center" vertical="center"/>
      <protection locked="0"/>
    </xf>
    <xf numFmtId="0" fontId="36" fillId="12" borderId="4" xfId="0" applyFont="1" applyFill="1" applyBorder="1" applyAlignment="1" applyProtection="1">
      <alignment horizontal="left" vertical="center"/>
      <protection locked="0"/>
    </xf>
    <xf numFmtId="0" fontId="36" fillId="12" borderId="0" xfId="0" applyFont="1" applyFill="1" applyAlignment="1" applyProtection="1">
      <alignment horizontal="center" vertical="center"/>
      <protection locked="0"/>
    </xf>
    <xf numFmtId="0" fontId="36" fillId="14" borderId="4" xfId="0" applyFont="1" applyFill="1" applyBorder="1" applyAlignment="1" applyProtection="1">
      <alignment horizontal="left" vertical="center"/>
      <protection locked="0"/>
    </xf>
    <xf numFmtId="0" fontId="36" fillId="14" borderId="0" xfId="0" applyFont="1" applyFill="1" applyAlignment="1" applyProtection="1">
      <alignment horizontal="center" vertical="center"/>
      <protection locked="0"/>
    </xf>
    <xf numFmtId="0" fontId="36" fillId="20" borderId="4" xfId="0" applyFont="1" applyFill="1" applyBorder="1" applyAlignment="1" applyProtection="1">
      <alignment horizontal="left" vertical="center"/>
      <protection locked="0"/>
    </xf>
    <xf numFmtId="0" fontId="36" fillId="20" borderId="0" xfId="0" applyFont="1" applyFill="1" applyAlignment="1" applyProtection="1">
      <alignment horizontal="center" vertical="center"/>
      <protection locked="0"/>
    </xf>
    <xf numFmtId="0" fontId="36" fillId="21" borderId="4" xfId="0" applyFont="1" applyFill="1" applyBorder="1" applyAlignment="1" applyProtection="1">
      <alignment horizontal="left" vertical="center"/>
      <protection locked="0"/>
    </xf>
    <xf numFmtId="0" fontId="37" fillId="22" borderId="4" xfId="0" applyFont="1" applyFill="1" applyBorder="1" applyAlignment="1" applyProtection="1">
      <alignment horizontal="left" vertical="center"/>
      <protection locked="0"/>
    </xf>
    <xf numFmtId="0" fontId="37" fillId="22" borderId="0" xfId="0" applyFont="1" applyFill="1" applyAlignment="1" applyProtection="1">
      <alignment horizontal="center" vertical="center"/>
      <protection locked="0"/>
    </xf>
    <xf numFmtId="0" fontId="37" fillId="23" borderId="4" xfId="0" applyFont="1" applyFill="1" applyBorder="1" applyAlignment="1" applyProtection="1">
      <alignment horizontal="left" vertical="center"/>
      <protection locked="0"/>
    </xf>
    <xf numFmtId="0" fontId="37" fillId="23" borderId="0" xfId="0" applyFont="1" applyFill="1" applyAlignment="1" applyProtection="1">
      <alignment horizontal="center" vertical="center"/>
      <protection locked="0"/>
    </xf>
    <xf numFmtId="0" fontId="31" fillId="24" borderId="4" xfId="54" applyFont="1" applyFill="1" applyBorder="1" applyAlignment="1">
      <alignment vertical="center"/>
      <protection locked="0"/>
    </xf>
    <xf numFmtId="0" fontId="45" fillId="24" borderId="0" xfId="54" applyFont="1" applyFill="1" applyAlignment="1">
      <alignment horizontal="center" vertical="center"/>
      <protection locked="0"/>
    </xf>
    <xf numFmtId="0" fontId="31" fillId="24" borderId="0" xfId="54" applyFont="1" applyFill="1" applyAlignment="1">
      <alignment horizontal="center" vertical="center"/>
      <protection locked="0"/>
    </xf>
    <xf numFmtId="0" fontId="37" fillId="24" borderId="0" xfId="0" applyFont="1" applyFill="1" applyAlignment="1" applyProtection="1">
      <alignment horizontal="center" vertical="center"/>
      <protection locked="0"/>
    </xf>
    <xf numFmtId="0" fontId="37" fillId="25" borderId="4" xfId="0" applyFont="1" applyFill="1" applyBorder="1" applyAlignment="1" applyProtection="1">
      <alignment horizontal="left" vertical="center"/>
      <protection locked="0"/>
    </xf>
    <xf numFmtId="0" fontId="37" fillId="25" borderId="0" xfId="0" applyFont="1" applyFill="1" applyAlignment="1" applyProtection="1">
      <alignment horizontal="center" vertical="center"/>
      <protection locked="0"/>
    </xf>
    <xf numFmtId="0" fontId="46" fillId="0" borderId="0" xfId="0" applyFont="1" applyAlignment="1" applyProtection="1">
      <alignment horizontal="center" vertical="center"/>
      <protection locked="0"/>
    </xf>
    <xf numFmtId="0" fontId="37" fillId="26" borderId="4" xfId="0" applyFont="1" applyFill="1" applyBorder="1" applyAlignment="1" applyProtection="1">
      <alignment horizontal="left" vertical="center"/>
      <protection locked="0"/>
    </xf>
    <xf numFmtId="0" fontId="37" fillId="26" borderId="0" xfId="0" applyFont="1" applyFill="1" applyAlignment="1" applyProtection="1">
      <alignment horizontal="center" vertical="center"/>
      <protection locked="0"/>
    </xf>
    <xf numFmtId="49" fontId="37" fillId="0" borderId="0" xfId="0" applyNumberFormat="1" applyFont="1" applyAlignment="1" applyProtection="1">
      <alignment horizontal="center" vertical="center"/>
      <protection locked="0"/>
    </xf>
    <xf numFmtId="49" fontId="37" fillId="26" borderId="0" xfId="0" applyNumberFormat="1" applyFont="1" applyFill="1" applyAlignment="1" applyProtection="1">
      <alignment horizontal="center" vertical="center"/>
      <protection locked="0"/>
    </xf>
    <xf numFmtId="0" fontId="36" fillId="0" borderId="0" xfId="54" applyFont="1" applyAlignment="1">
      <alignment horizontal="center" vertical="center"/>
      <protection locked="0"/>
    </xf>
    <xf numFmtId="0" fontId="36" fillId="0" borderId="26" xfId="54" applyFont="1" applyBorder="1" applyAlignment="1">
      <alignment horizontal="center" vertical="center"/>
      <protection locked="0"/>
    </xf>
    <xf numFmtId="0" fontId="36" fillId="12" borderId="0" xfId="54" applyFont="1" applyFill="1" applyAlignment="1">
      <alignment horizontal="center" vertical="center"/>
      <protection locked="0"/>
    </xf>
    <xf numFmtId="0" fontId="36" fillId="20" borderId="0" xfId="54" applyFont="1" applyFill="1" applyAlignment="1">
      <alignment horizontal="center" vertical="center"/>
      <protection locked="0"/>
    </xf>
    <xf numFmtId="0" fontId="31" fillId="22" borderId="0" xfId="54" applyFont="1" applyFill="1" applyAlignment="1">
      <alignment horizontal="center" vertical="center"/>
      <protection locked="0"/>
    </xf>
    <xf numFmtId="0" fontId="31" fillId="23" borderId="0" xfId="54" applyFont="1" applyFill="1" applyAlignment="1">
      <alignment horizontal="center" vertical="center"/>
      <protection locked="0"/>
    </xf>
    <xf numFmtId="0" fontId="31" fillId="14" borderId="0" xfId="54" applyFont="1" applyFill="1" applyAlignment="1">
      <alignment horizontal="center" vertical="center"/>
      <protection locked="0"/>
    </xf>
    <xf numFmtId="0" fontId="31" fillId="25" borderId="0" xfId="54" applyFont="1" applyFill="1" applyAlignment="1">
      <alignment horizontal="center" vertical="center"/>
      <protection locked="0"/>
    </xf>
    <xf numFmtId="0" fontId="31" fillId="26" borderId="0" xfId="54" applyFont="1" applyFill="1" applyAlignment="1">
      <alignment horizontal="center" vertical="center"/>
      <protection locked="0"/>
    </xf>
    <xf numFmtId="49" fontId="44" fillId="2" borderId="3" xfId="0" applyNumberFormat="1" applyFont="1" applyFill="1" applyBorder="1" applyAlignment="1" applyProtection="1">
      <alignment horizontal="center" vertical="center"/>
      <protection locked="0"/>
    </xf>
    <xf numFmtId="49" fontId="44" fillId="2" borderId="0" xfId="0" applyNumberFormat="1" applyFont="1" applyFill="1" applyAlignment="1" applyProtection="1">
      <alignment horizontal="center" vertical="center"/>
      <protection locked="0"/>
    </xf>
    <xf numFmtId="0" fontId="47" fillId="0" borderId="27" xfId="54" applyFont="1" applyBorder="1" applyAlignment="1">
      <alignment horizontal="center" vertical="center" wrapText="1"/>
      <protection locked="0"/>
    </xf>
    <xf numFmtId="0" fontId="48" fillId="0" borderId="1" xfId="54" applyFont="1" applyBorder="1" applyAlignment="1">
      <alignment horizontal="center" vertical="center" textRotation="255" wrapText="1"/>
      <protection locked="0"/>
    </xf>
    <xf numFmtId="0" fontId="49" fillId="0" borderId="0" xfId="54" applyFont="1" applyAlignment="1">
      <alignment vertical="center" wrapText="1"/>
      <protection locked="0"/>
    </xf>
    <xf numFmtId="0" fontId="36" fillId="0" borderId="34" xfId="0" applyFont="1" applyBorder="1" applyAlignment="1" applyProtection="1">
      <alignment horizontal="center" vertical="center"/>
      <protection locked="0"/>
    </xf>
    <xf numFmtId="0" fontId="36" fillId="12" borderId="5" xfId="0" applyFont="1" applyFill="1" applyBorder="1" applyAlignment="1" applyProtection="1">
      <alignment horizontal="center" vertical="center"/>
      <protection locked="0"/>
    </xf>
    <xf numFmtId="0" fontId="50" fillId="12" borderId="27" xfId="54" applyFont="1" applyFill="1" applyBorder="1" applyAlignment="1">
      <alignment horizontal="center" vertical="center" wrapText="1"/>
      <protection locked="0"/>
    </xf>
    <xf numFmtId="0" fontId="36" fillId="14" borderId="5" xfId="0" applyFont="1" applyFill="1" applyBorder="1" applyAlignment="1" applyProtection="1">
      <alignment horizontal="center" vertical="center"/>
      <protection locked="0"/>
    </xf>
    <xf numFmtId="0" fontId="50" fillId="14" borderId="32" xfId="54" applyFont="1" applyFill="1" applyBorder="1" applyAlignment="1">
      <alignment horizontal="center" vertical="center" wrapText="1"/>
      <protection locked="0"/>
    </xf>
    <xf numFmtId="0" fontId="36" fillId="20" borderId="5" xfId="0" applyFont="1" applyFill="1" applyBorder="1" applyAlignment="1" applyProtection="1">
      <alignment horizontal="center" vertical="center"/>
      <protection locked="0"/>
    </xf>
    <xf numFmtId="0" fontId="51" fillId="20" borderId="27" xfId="54" applyFont="1" applyFill="1" applyBorder="1" applyAlignment="1">
      <alignment horizontal="center" vertical="center" wrapText="1"/>
      <protection locked="0"/>
    </xf>
    <xf numFmtId="0" fontId="49" fillId="0" borderId="0" xfId="54" applyFont="1" applyAlignment="1">
      <alignment vertical="center"/>
      <protection locked="0"/>
    </xf>
    <xf numFmtId="0" fontId="49" fillId="21" borderId="35" xfId="54" applyFont="1" applyFill="1" applyBorder="1" applyAlignment="1">
      <alignment horizontal="center" vertical="center" wrapText="1"/>
      <protection locked="0"/>
    </xf>
    <xf numFmtId="0" fontId="49" fillId="21" borderId="36" xfId="54" applyFont="1" applyFill="1" applyBorder="1" applyAlignment="1">
      <alignment horizontal="center" vertical="center" wrapText="1"/>
      <protection locked="0"/>
    </xf>
    <xf numFmtId="0" fontId="49" fillId="21" borderId="37" xfId="54" applyFont="1" applyFill="1" applyBorder="1" applyAlignment="1">
      <alignment horizontal="center" vertical="center" wrapText="1"/>
      <protection locked="0"/>
    </xf>
    <xf numFmtId="0" fontId="37" fillId="22" borderId="5" xfId="0" applyFont="1" applyFill="1" applyBorder="1" applyAlignment="1" applyProtection="1">
      <alignment horizontal="center" vertical="center"/>
      <protection locked="0"/>
    </xf>
    <xf numFmtId="0" fontId="52" fillId="22" borderId="31" xfId="54" applyFont="1" applyFill="1" applyBorder="1" applyAlignment="1">
      <alignment horizontal="center" vertical="center" wrapText="1"/>
      <protection locked="0"/>
    </xf>
    <xf numFmtId="0" fontId="0" fillId="0" borderId="0" xfId="54" applyFont="1" applyAlignment="1">
      <alignment vertical="center" wrapText="1"/>
      <protection locked="0"/>
    </xf>
    <xf numFmtId="0" fontId="52" fillId="22" borderId="32" xfId="54" applyFont="1" applyFill="1" applyBorder="1" applyAlignment="1">
      <alignment horizontal="center" vertical="center" wrapText="1"/>
      <protection locked="0"/>
    </xf>
    <xf numFmtId="0" fontId="0" fillId="0" borderId="0" xfId="54" applyFont="1" applyAlignment="1">
      <alignment vertical="center"/>
      <protection locked="0"/>
    </xf>
    <xf numFmtId="0" fontId="37" fillId="23" borderId="5" xfId="0" applyFont="1" applyFill="1" applyBorder="1" applyAlignment="1" applyProtection="1">
      <alignment horizontal="center" vertical="center"/>
      <protection locked="0"/>
    </xf>
    <xf numFmtId="0" fontId="52" fillId="23" borderId="32" xfId="54" applyFont="1" applyFill="1" applyBorder="1" applyAlignment="1">
      <alignment horizontal="center" vertical="center" wrapText="1"/>
      <protection locked="0"/>
    </xf>
    <xf numFmtId="0" fontId="0" fillId="24" borderId="35" xfId="54" applyFont="1" applyFill="1" applyBorder="1" applyAlignment="1">
      <alignment horizontal="center" vertical="center"/>
      <protection locked="0"/>
    </xf>
    <xf numFmtId="0" fontId="0" fillId="24" borderId="26" xfId="54" applyFont="1" applyFill="1" applyBorder="1" applyAlignment="1">
      <alignment horizontal="center" vertical="center"/>
      <protection locked="0"/>
    </xf>
    <xf numFmtId="0" fontId="0" fillId="24" borderId="36" xfId="54" applyFont="1" applyFill="1" applyBorder="1" applyAlignment="1">
      <alignment horizontal="center" vertical="center"/>
      <protection locked="0"/>
    </xf>
    <xf numFmtId="0" fontId="0" fillId="24" borderId="0" xfId="54" applyFont="1" applyFill="1" applyAlignment="1">
      <alignment horizontal="center" vertical="center"/>
      <protection locked="0"/>
    </xf>
    <xf numFmtId="0" fontId="0" fillId="24" borderId="37" xfId="54" applyFont="1" applyFill="1" applyBorder="1" applyAlignment="1">
      <alignment horizontal="center" vertical="center"/>
      <protection locked="0"/>
    </xf>
    <xf numFmtId="0" fontId="0" fillId="24" borderId="30" xfId="54" applyFont="1" applyFill="1" applyBorder="1" applyAlignment="1">
      <alignment horizontal="center" vertical="center"/>
      <protection locked="0"/>
    </xf>
    <xf numFmtId="0" fontId="0" fillId="14" borderId="35" xfId="54" applyFont="1" applyFill="1" applyBorder="1" applyAlignment="1">
      <alignment horizontal="center" vertical="center" wrapText="1"/>
      <protection locked="0"/>
    </xf>
    <xf numFmtId="0" fontId="0" fillId="14" borderId="26" xfId="54" applyFont="1" applyFill="1" applyBorder="1" applyAlignment="1">
      <alignment horizontal="center" vertical="center"/>
      <protection locked="0"/>
    </xf>
    <xf numFmtId="0" fontId="0" fillId="14" borderId="36" xfId="54" applyFont="1" applyFill="1" applyBorder="1" applyAlignment="1">
      <alignment horizontal="center" vertical="center"/>
      <protection locked="0"/>
    </xf>
    <xf numFmtId="0" fontId="0" fillId="14" borderId="0" xfId="54" applyFont="1" applyFill="1" applyAlignment="1">
      <alignment horizontal="center" vertical="center"/>
      <protection locked="0"/>
    </xf>
    <xf numFmtId="0" fontId="37" fillId="24" borderId="5" xfId="0" applyFont="1" applyFill="1" applyBorder="1" applyAlignment="1" applyProtection="1">
      <alignment horizontal="center" vertical="center"/>
      <protection locked="0"/>
    </xf>
    <xf numFmtId="0" fontId="0" fillId="14" borderId="37" xfId="54" applyFont="1" applyFill="1" applyBorder="1" applyAlignment="1">
      <alignment horizontal="center" vertical="center"/>
      <protection locked="0"/>
    </xf>
    <xf numFmtId="0" fontId="0" fillId="14" borderId="30" xfId="54" applyFont="1" applyFill="1" applyBorder="1" applyAlignment="1">
      <alignment horizontal="center" vertical="center"/>
      <protection locked="0"/>
    </xf>
    <xf numFmtId="0" fontId="0" fillId="0" borderId="36" xfId="54" applyFont="1" applyBorder="1" applyAlignment="1">
      <alignment vertical="center"/>
      <protection locked="0"/>
    </xf>
    <xf numFmtId="0" fontId="37" fillId="25" borderId="5" xfId="0" applyFont="1" applyFill="1" applyBorder="1" applyAlignment="1" applyProtection="1">
      <alignment horizontal="center" vertical="center"/>
      <protection locked="0"/>
    </xf>
    <xf numFmtId="0" fontId="43" fillId="25" borderId="32" xfId="54" applyFont="1" applyFill="1" applyBorder="1" applyAlignment="1">
      <alignment horizontal="center" vertical="center" wrapText="1"/>
      <protection locked="0"/>
    </xf>
    <xf numFmtId="0" fontId="43" fillId="25" borderId="33" xfId="54" applyFont="1" applyFill="1" applyBorder="1" applyAlignment="1">
      <alignment horizontal="center" vertical="center" wrapText="1"/>
      <protection locked="0"/>
    </xf>
    <xf numFmtId="0" fontId="37" fillId="26" borderId="5" xfId="0" applyFont="1" applyFill="1" applyBorder="1" applyAlignment="1" applyProtection="1">
      <alignment horizontal="center" vertical="center"/>
      <protection locked="0"/>
    </xf>
    <xf numFmtId="0" fontId="53" fillId="26" borderId="0" xfId="54" applyFont="1" applyFill="1" applyAlignment="1">
      <alignment horizontal="center" vertical="center" wrapText="1"/>
      <protection locked="0"/>
    </xf>
    <xf numFmtId="0" fontId="54" fillId="2" borderId="2" xfId="54" applyFont="1" applyFill="1" applyBorder="1" applyAlignment="1">
      <alignment horizontal="center" vertical="center"/>
      <protection locked="0"/>
    </xf>
    <xf numFmtId="0" fontId="54" fillId="2" borderId="8" xfId="54" applyFont="1" applyFill="1" applyBorder="1" applyAlignment="1">
      <alignment horizontal="center" vertical="center"/>
      <protection locked="0"/>
    </xf>
    <xf numFmtId="0" fontId="32" fillId="8" borderId="25" xfId="54" applyFill="1" applyBorder="1" applyAlignment="1">
      <alignment horizontal="center" vertical="center"/>
      <protection locked="0"/>
    </xf>
    <xf numFmtId="0" fontId="32" fillId="8" borderId="26" xfId="54" applyFill="1" applyBorder="1" applyAlignment="1">
      <alignment horizontal="center" vertical="center"/>
      <protection locked="0"/>
    </xf>
    <xf numFmtId="0" fontId="32" fillId="0" borderId="4" xfId="54" applyBorder="1" applyAlignment="1">
      <alignment horizontal="center" vertical="center"/>
      <protection locked="0"/>
    </xf>
    <xf numFmtId="0" fontId="32" fillId="0" borderId="0" xfId="54" applyAlignment="1">
      <alignment horizontal="center" vertical="center"/>
      <protection locked="0"/>
    </xf>
    <xf numFmtId="0" fontId="53" fillId="26" borderId="30" xfId="54" applyFont="1" applyFill="1" applyBorder="1" applyAlignment="1">
      <alignment horizontal="center" vertical="center" wrapText="1"/>
      <protection locked="0"/>
    </xf>
    <xf numFmtId="0" fontId="55" fillId="0" borderId="0" xfId="54" applyFont="1" applyAlignment="1">
      <alignment vertical="center"/>
      <protection locked="0"/>
    </xf>
    <xf numFmtId="0" fontId="49" fillId="21" borderId="26" xfId="54" applyFont="1" applyFill="1" applyBorder="1" applyAlignment="1">
      <alignment horizontal="center" vertical="center" wrapText="1"/>
      <protection locked="0"/>
    </xf>
    <xf numFmtId="0" fontId="49" fillId="21" borderId="31" xfId="54" applyFont="1" applyFill="1" applyBorder="1" applyAlignment="1">
      <alignment horizontal="center" vertical="center" wrapText="1"/>
      <protection locked="0"/>
    </xf>
    <xf numFmtId="0" fontId="49" fillId="21" borderId="0" xfId="54" applyFont="1" applyFill="1" applyAlignment="1">
      <alignment horizontal="center" vertical="center" wrapText="1"/>
      <protection locked="0"/>
    </xf>
    <xf numFmtId="0" fontId="49" fillId="21" borderId="32" xfId="54" applyFont="1" applyFill="1" applyBorder="1" applyAlignment="1">
      <alignment horizontal="center" vertical="center" wrapText="1"/>
      <protection locked="0"/>
    </xf>
    <xf numFmtId="0" fontId="49" fillId="21" borderId="30" xfId="54" applyFont="1" applyFill="1" applyBorder="1" applyAlignment="1">
      <alignment horizontal="center" vertical="center" wrapText="1"/>
      <protection locked="0"/>
    </xf>
    <xf numFmtId="0" fontId="49" fillId="21" borderId="33" xfId="54" applyFont="1" applyFill="1" applyBorder="1" applyAlignment="1">
      <alignment horizontal="center" vertical="center" wrapText="1"/>
      <protection locked="0"/>
    </xf>
    <xf numFmtId="0" fontId="0" fillId="24" borderId="31" xfId="54" applyFont="1" applyFill="1" applyBorder="1" applyAlignment="1">
      <alignment horizontal="center" vertical="center"/>
      <protection locked="0"/>
    </xf>
    <xf numFmtId="0" fontId="0" fillId="24" borderId="32" xfId="54" applyFont="1" applyFill="1" applyBorder="1" applyAlignment="1">
      <alignment horizontal="center" vertical="center"/>
      <protection locked="0"/>
    </xf>
    <xf numFmtId="0" fontId="0" fillId="24" borderId="33" xfId="54" applyFont="1" applyFill="1" applyBorder="1" applyAlignment="1">
      <alignment horizontal="center" vertical="center"/>
      <protection locked="0"/>
    </xf>
    <xf numFmtId="0" fontId="0" fillId="14" borderId="31" xfId="54" applyFont="1" applyFill="1" applyBorder="1" applyAlignment="1">
      <alignment horizontal="center" vertical="center"/>
      <protection locked="0"/>
    </xf>
    <xf numFmtId="0" fontId="0" fillId="14" borderId="32" xfId="54" applyFont="1" applyFill="1" applyBorder="1" applyAlignment="1">
      <alignment horizontal="center" vertical="center"/>
      <protection locked="0"/>
    </xf>
    <xf numFmtId="0" fontId="0" fillId="14" borderId="33" xfId="54" applyFont="1" applyFill="1" applyBorder="1" applyAlignment="1">
      <alignment horizontal="center" vertical="center"/>
      <protection locked="0"/>
    </xf>
    <xf numFmtId="0" fontId="54" fillId="2" borderId="3" xfId="54" applyFont="1" applyFill="1" applyBorder="1" applyAlignment="1">
      <alignment horizontal="center" vertical="center"/>
      <protection locked="0"/>
    </xf>
    <xf numFmtId="0" fontId="32" fillId="8" borderId="29" xfId="54" applyFill="1" applyBorder="1" applyAlignment="1">
      <alignment horizontal="center" vertical="center"/>
      <protection locked="0"/>
    </xf>
    <xf numFmtId="0" fontId="32" fillId="0" borderId="5" xfId="54" applyBorder="1" applyAlignment="1">
      <alignment horizontal="center" vertical="center"/>
      <protection locked="0"/>
    </xf>
    <xf numFmtId="49" fontId="56" fillId="0" borderId="0" xfId="0" applyNumberFormat="1" applyFont="1" applyProtection="1">
      <alignment vertical="center"/>
      <protection locked="0"/>
    </xf>
    <xf numFmtId="0" fontId="37" fillId="27" borderId="4" xfId="0" applyFont="1" applyFill="1" applyBorder="1" applyAlignment="1" applyProtection="1">
      <alignment horizontal="left" vertical="center"/>
      <protection locked="0"/>
    </xf>
    <xf numFmtId="0" fontId="31" fillId="27" borderId="0" xfId="54" applyFont="1" applyFill="1" applyAlignment="1">
      <alignment horizontal="center" vertical="center"/>
      <protection locked="0"/>
    </xf>
    <xf numFmtId="0" fontId="37" fillId="27" borderId="0" xfId="0" applyFont="1" applyFill="1" applyAlignment="1" applyProtection="1">
      <alignment horizontal="center" vertical="center"/>
      <protection locked="0"/>
    </xf>
    <xf numFmtId="0" fontId="31" fillId="0" borderId="4" xfId="0" applyFont="1" applyBorder="1" applyAlignment="1" applyProtection="1">
      <alignment horizontal="left" vertical="center"/>
      <protection locked="0"/>
    </xf>
    <xf numFmtId="0" fontId="31" fillId="0" borderId="0" xfId="0" applyFont="1" applyAlignment="1" applyProtection="1">
      <alignment horizontal="center" vertical="center"/>
      <protection locked="0"/>
    </xf>
    <xf numFmtId="0" fontId="37" fillId="28" borderId="4" xfId="0" applyFont="1" applyFill="1" applyBorder="1" applyAlignment="1" applyProtection="1">
      <alignment horizontal="left" vertical="center"/>
      <protection locked="0"/>
    </xf>
    <xf numFmtId="0" fontId="31" fillId="28" borderId="0" xfId="54" applyFont="1" applyFill="1" applyAlignment="1">
      <alignment horizontal="center" vertical="center"/>
      <protection locked="0"/>
    </xf>
    <xf numFmtId="0" fontId="37" fillId="28" borderId="0" xfId="0" applyFont="1" applyFill="1" applyAlignment="1" applyProtection="1">
      <alignment horizontal="center" vertical="center"/>
      <protection locked="0"/>
    </xf>
    <xf numFmtId="0" fontId="31" fillId="29" borderId="4" xfId="54" applyFont="1" applyFill="1" applyBorder="1" applyAlignment="1">
      <alignment vertical="center"/>
      <protection locked="0"/>
    </xf>
    <xf numFmtId="0" fontId="31" fillId="29" borderId="0" xfId="54" applyFont="1" applyFill="1" applyAlignment="1">
      <alignment horizontal="center" vertical="center"/>
      <protection locked="0"/>
    </xf>
    <xf numFmtId="0" fontId="37" fillId="0" borderId="25" xfId="0" applyFont="1" applyBorder="1" applyAlignment="1" applyProtection="1">
      <alignment horizontal="left" vertical="center"/>
      <protection locked="0"/>
    </xf>
    <xf numFmtId="0" fontId="31" fillId="0" borderId="26" xfId="54" applyFont="1" applyBorder="1" applyAlignment="1">
      <alignment horizontal="center" vertical="center"/>
      <protection locked="0"/>
    </xf>
    <xf numFmtId="0" fontId="37" fillId="0" borderId="26" xfId="0" applyFont="1" applyBorder="1" applyAlignment="1" applyProtection="1">
      <alignment horizontal="center" vertical="center"/>
      <protection locked="0"/>
    </xf>
    <xf numFmtId="0" fontId="37" fillId="0" borderId="38" xfId="0" applyFont="1" applyBorder="1" applyAlignment="1" applyProtection="1">
      <alignment horizontal="left" vertical="center"/>
      <protection locked="0"/>
    </xf>
    <xf numFmtId="0" fontId="37" fillId="0" borderId="30" xfId="0" applyFont="1" applyBorder="1" applyAlignment="1" applyProtection="1">
      <alignment horizontal="center" vertical="center"/>
      <protection locked="0"/>
    </xf>
    <xf numFmtId="0" fontId="37" fillId="0" borderId="6" xfId="0" applyFont="1" applyBorder="1" applyAlignment="1" applyProtection="1">
      <alignment horizontal="left" vertical="center"/>
      <protection locked="0"/>
    </xf>
    <xf numFmtId="0" fontId="37" fillId="0" borderId="9" xfId="0" applyFont="1" applyBorder="1" applyAlignment="1" applyProtection="1">
      <alignment horizontal="center" vertical="center"/>
      <protection locked="0"/>
    </xf>
    <xf numFmtId="0" fontId="57" fillId="30" borderId="2" xfId="54" applyFont="1" applyFill="1" applyBorder="1" applyAlignment="1">
      <alignment horizontal="center" vertical="center"/>
      <protection locked="0"/>
    </xf>
    <xf numFmtId="0" fontId="57" fillId="30" borderId="8" xfId="54" applyFont="1" applyFill="1" applyBorder="1" applyAlignment="1">
      <alignment horizontal="center" vertical="center"/>
      <protection locked="0"/>
    </xf>
    <xf numFmtId="0" fontId="58" fillId="0" borderId="39" xfId="54" applyFont="1" applyBorder="1" applyAlignment="1">
      <alignment horizontal="center" vertical="center"/>
      <protection locked="0"/>
    </xf>
    <xf numFmtId="0" fontId="6" fillId="0" borderId="40" xfId="54" applyFont="1" applyBorder="1" applyAlignment="1">
      <alignment horizontal="center" vertical="center"/>
      <protection locked="0"/>
    </xf>
    <xf numFmtId="0" fontId="59" fillId="0" borderId="6" xfId="54" applyFont="1" applyBorder="1" applyAlignment="1">
      <alignment horizontal="center" vertical="center"/>
      <protection locked="0"/>
    </xf>
    <xf numFmtId="0" fontId="14" fillId="0" borderId="9" xfId="54" applyFont="1" applyBorder="1" applyAlignment="1">
      <alignment horizontal="center" vertical="center"/>
      <protection locked="0"/>
    </xf>
    <xf numFmtId="0" fontId="60" fillId="0" borderId="0" xfId="54" applyFont="1" applyAlignment="1">
      <alignment vertical="center"/>
      <protection locked="0"/>
    </xf>
    <xf numFmtId="49" fontId="31" fillId="0" borderId="0" xfId="54" applyNumberFormat="1" applyFont="1" applyAlignment="1">
      <alignment vertical="center"/>
      <protection locked="0"/>
    </xf>
    <xf numFmtId="0" fontId="14" fillId="0" borderId="0" xfId="54" applyFont="1" applyAlignment="1">
      <alignment vertical="center"/>
      <protection locked="0"/>
    </xf>
    <xf numFmtId="0" fontId="14" fillId="0" borderId="0" xfId="54" applyFont="1" applyAlignment="1">
      <alignment vertical="center" wrapText="1"/>
      <protection locked="0"/>
    </xf>
    <xf numFmtId="0" fontId="6" fillId="0" borderId="0" xfId="54" applyFont="1" applyAlignment="1">
      <alignment vertical="center" wrapText="1"/>
      <protection locked="0"/>
    </xf>
    <xf numFmtId="178" fontId="31" fillId="8" borderId="5" xfId="0" applyNumberFormat="1" applyFont="1" applyFill="1" applyBorder="1" applyAlignment="1" applyProtection="1">
      <alignment horizontal="center" vertical="center"/>
      <protection locked="0"/>
    </xf>
    <xf numFmtId="0" fontId="37" fillId="27" borderId="5" xfId="0" applyFont="1" applyFill="1" applyBorder="1" applyAlignment="1" applyProtection="1">
      <alignment horizontal="center" vertical="center"/>
      <protection locked="0"/>
    </xf>
    <xf numFmtId="0" fontId="40" fillId="27" borderId="26" xfId="54" applyFont="1" applyFill="1" applyBorder="1" applyAlignment="1">
      <alignment horizontal="center" vertical="center" wrapText="1"/>
      <protection locked="0"/>
    </xf>
    <xf numFmtId="0" fontId="32" fillId="0" borderId="41" xfId="54" applyBorder="1" applyAlignment="1">
      <alignment horizontal="center" vertical="center" wrapText="1"/>
      <protection locked="0"/>
    </xf>
    <xf numFmtId="0" fontId="32" fillId="28" borderId="35" xfId="54" applyFill="1" applyBorder="1" applyAlignment="1">
      <alignment horizontal="left" vertical="center" wrapText="1"/>
      <protection locked="0"/>
    </xf>
    <xf numFmtId="0" fontId="31" fillId="0" borderId="5" xfId="0" applyFont="1" applyBorder="1" applyAlignment="1" applyProtection="1">
      <alignment horizontal="center" vertical="center"/>
      <protection locked="0"/>
    </xf>
    <xf numFmtId="0" fontId="40" fillId="27" borderId="0" xfId="54" applyFont="1" applyFill="1" applyAlignment="1">
      <alignment horizontal="center" vertical="center" wrapText="1"/>
      <protection locked="0"/>
    </xf>
    <xf numFmtId="0" fontId="32" fillId="0" borderId="42" xfId="54" applyBorder="1" applyAlignment="1">
      <alignment horizontal="center" vertical="center" wrapText="1"/>
      <protection locked="0"/>
    </xf>
    <xf numFmtId="0" fontId="32" fillId="28" borderId="36" xfId="54" applyFill="1" applyBorder="1" applyAlignment="1">
      <alignment horizontal="left" vertical="center" wrapText="1"/>
      <protection locked="0"/>
    </xf>
    <xf numFmtId="0" fontId="37" fillId="28" borderId="5" xfId="0" applyFont="1" applyFill="1" applyBorder="1" applyAlignment="1" applyProtection="1">
      <alignment horizontal="center" vertical="center"/>
      <protection locked="0"/>
    </xf>
    <xf numFmtId="0" fontId="32" fillId="28" borderId="37" xfId="54" applyFill="1" applyBorder="1" applyAlignment="1">
      <alignment horizontal="left" vertical="center" wrapText="1"/>
      <protection locked="0"/>
    </xf>
    <xf numFmtId="0" fontId="32" fillId="29" borderId="1" xfId="54" applyFill="1" applyBorder="1" applyAlignment="1">
      <alignment horizontal="left" vertical="center" wrapText="1"/>
      <protection locked="0"/>
    </xf>
    <xf numFmtId="0" fontId="31" fillId="29" borderId="5" xfId="54" applyFont="1" applyFill="1" applyBorder="1" applyAlignment="1">
      <alignment horizontal="center" vertical="center"/>
      <protection locked="0"/>
    </xf>
    <xf numFmtId="0" fontId="40" fillId="27" borderId="32" xfId="54" applyFont="1" applyFill="1" applyBorder="1" applyAlignment="1">
      <alignment horizontal="center" vertical="center" wrapText="1"/>
      <protection locked="0"/>
    </xf>
    <xf numFmtId="0" fontId="32" fillId="0" borderId="33" xfId="54" applyBorder="1" applyAlignment="1">
      <alignment horizontal="center" vertical="center" wrapText="1"/>
      <protection locked="0"/>
    </xf>
    <xf numFmtId="0" fontId="37" fillId="0" borderId="29" xfId="0" applyFont="1" applyBorder="1" applyAlignment="1" applyProtection="1">
      <alignment horizontal="center" vertical="center"/>
      <protection locked="0"/>
    </xf>
    <xf numFmtId="0" fontId="52" fillId="0" borderId="31" xfId="54" applyFont="1" applyBorder="1" applyAlignment="1">
      <alignment horizontal="center" vertical="center" wrapText="1"/>
      <protection locked="0"/>
    </xf>
    <xf numFmtId="0" fontId="52" fillId="0" borderId="32" xfId="54" applyFont="1" applyBorder="1" applyAlignment="1">
      <alignment horizontal="center" vertical="center" wrapText="1"/>
      <protection locked="0"/>
    </xf>
    <xf numFmtId="0" fontId="37" fillId="0" borderId="34" xfId="0" applyFont="1" applyBorder="1" applyAlignment="1" applyProtection="1">
      <alignment horizontal="center" vertical="center"/>
      <protection locked="0"/>
    </xf>
    <xf numFmtId="0" fontId="37" fillId="0" borderId="7" xfId="0" applyFont="1" applyBorder="1" applyAlignment="1" applyProtection="1">
      <alignment horizontal="center" vertical="center"/>
      <protection locked="0"/>
    </xf>
    <xf numFmtId="0" fontId="52" fillId="0" borderId="33" xfId="54" applyFont="1" applyBorder="1" applyAlignment="1">
      <alignment horizontal="center" vertical="center" wrapText="1"/>
      <protection locked="0"/>
    </xf>
    <xf numFmtId="0" fontId="57" fillId="30" borderId="3" xfId="54" applyFont="1" applyFill="1" applyBorder="1" applyAlignment="1">
      <alignment horizontal="center" vertical="center"/>
      <protection locked="0"/>
    </xf>
    <xf numFmtId="0" fontId="6" fillId="0" borderId="43" xfId="54" applyFont="1" applyBorder="1" applyAlignment="1">
      <alignment horizontal="center" vertical="center"/>
      <protection locked="0"/>
    </xf>
    <xf numFmtId="0" fontId="14" fillId="0" borderId="7" xfId="54" applyFont="1" applyBorder="1" applyAlignment="1">
      <alignment horizontal="center" vertical="center"/>
      <protection locked="0"/>
    </xf>
    <xf numFmtId="0" fontId="32" fillId="0" borderId="0" xfId="54" applyAlignment="1">
      <alignment horizontal="center" vertical="center" wrapText="1"/>
      <protection locked="0"/>
    </xf>
    <xf numFmtId="0" fontId="6" fillId="0" borderId="0" xfId="54" applyFont="1" applyAlignment="1">
      <alignment horizontal="center" vertical="center"/>
      <protection locked="0"/>
    </xf>
    <xf numFmtId="0" fontId="6" fillId="0" borderId="0" xfId="54" applyFont="1" applyAlignment="1">
      <alignment vertical="center"/>
      <protection locked="0"/>
    </xf>
    <xf numFmtId="0" fontId="32" fillId="28" borderId="26" xfId="54" applyFill="1" applyBorder="1" applyAlignment="1">
      <alignment horizontal="left" vertical="center" wrapText="1"/>
      <protection locked="0"/>
    </xf>
    <xf numFmtId="0" fontId="32" fillId="28" borderId="31" xfId="54" applyFill="1" applyBorder="1" applyAlignment="1">
      <alignment horizontal="left" vertical="center" wrapText="1"/>
      <protection locked="0"/>
    </xf>
    <xf numFmtId="0" fontId="32" fillId="28" borderId="0" xfId="54" applyFill="1" applyAlignment="1">
      <alignment horizontal="left" vertical="center" wrapText="1"/>
      <protection locked="0"/>
    </xf>
    <xf numFmtId="0" fontId="32" fillId="28" borderId="32" xfId="54" applyFill="1" applyBorder="1" applyAlignment="1">
      <alignment horizontal="left" vertical="center" wrapText="1"/>
      <protection locked="0"/>
    </xf>
    <xf numFmtId="0" fontId="32" fillId="28" borderId="30" xfId="54" applyFill="1" applyBorder="1" applyAlignment="1">
      <alignment horizontal="left" vertical="center" wrapText="1"/>
      <protection locked="0"/>
    </xf>
    <xf numFmtId="0" fontId="32" fillId="28" borderId="33" xfId="54" applyFill="1" applyBorder="1" applyAlignment="1">
      <alignment horizontal="left" vertical="center" wrapText="1"/>
      <protection locked="0"/>
    </xf>
    <xf numFmtId="0" fontId="61" fillId="0" borderId="0" xfId="54" applyFont="1" applyAlignment="1">
      <alignment vertical="center" wrapText="1"/>
      <protection locked="0"/>
    </xf>
    <xf numFmtId="0" fontId="62" fillId="0" borderId="25" xfId="0" applyFont="1" applyBorder="1" applyAlignment="1" applyProtection="1">
      <alignment horizontal="left" vertical="center"/>
      <protection locked="0"/>
    </xf>
    <xf numFmtId="0" fontId="62" fillId="0" borderId="26" xfId="0" applyFont="1" applyBorder="1" applyAlignment="1" applyProtection="1">
      <alignment horizontal="center" vertical="center"/>
      <protection locked="0"/>
    </xf>
    <xf numFmtId="0" fontId="62" fillId="0" borderId="4" xfId="0" applyFont="1" applyBorder="1" applyAlignment="1" applyProtection="1">
      <alignment horizontal="left" vertical="center"/>
      <protection locked="0"/>
    </xf>
    <xf numFmtId="0" fontId="62" fillId="0" borderId="0" xfId="0" applyFont="1" applyAlignment="1" applyProtection="1">
      <alignment horizontal="center" vertical="center"/>
      <protection locked="0"/>
    </xf>
    <xf numFmtId="0" fontId="62" fillId="0" borderId="6" xfId="0" applyFont="1" applyBorder="1" applyAlignment="1" applyProtection="1">
      <alignment horizontal="left" vertical="center"/>
      <protection locked="0"/>
    </xf>
    <xf numFmtId="0" fontId="62" fillId="0" borderId="9" xfId="0" applyFont="1" applyBorder="1" applyAlignment="1" applyProtection="1">
      <alignment horizontal="center" vertical="center"/>
      <protection locked="0"/>
    </xf>
    <xf numFmtId="49" fontId="55" fillId="0" borderId="0" xfId="54" applyNumberFormat="1" applyFont="1" applyAlignment="1">
      <alignment vertical="center"/>
      <protection locked="0"/>
    </xf>
    <xf numFmtId="49" fontId="57" fillId="30" borderId="2" xfId="54" applyNumberFormat="1" applyFont="1" applyFill="1" applyBorder="1" applyAlignment="1">
      <alignment horizontal="center" vertical="center"/>
      <protection locked="0"/>
    </xf>
    <xf numFmtId="49" fontId="57" fillId="30" borderId="8" xfId="54" applyNumberFormat="1" applyFont="1" applyFill="1" applyBorder="1" applyAlignment="1">
      <alignment horizontal="center" vertical="center"/>
      <protection locked="0"/>
    </xf>
    <xf numFmtId="49" fontId="58" fillId="0" borderId="25" xfId="54" applyNumberFormat="1" applyFont="1" applyBorder="1" applyAlignment="1">
      <alignment horizontal="center" vertical="center" wrapText="1"/>
      <protection locked="0"/>
    </xf>
    <xf numFmtId="49" fontId="58" fillId="0" borderId="26" xfId="54" applyNumberFormat="1" applyFont="1" applyBorder="1" applyAlignment="1">
      <alignment horizontal="center" vertical="center" wrapText="1"/>
      <protection locked="0"/>
    </xf>
    <xf numFmtId="49" fontId="58" fillId="0" borderId="4" xfId="54" applyNumberFormat="1" applyFont="1" applyBorder="1" applyAlignment="1">
      <alignment horizontal="center" vertical="center" wrapText="1"/>
      <protection locked="0"/>
    </xf>
    <xf numFmtId="49" fontId="58" fillId="0" borderId="0" xfId="54" applyNumberFormat="1" applyFont="1" applyAlignment="1">
      <alignment horizontal="center" vertical="center" wrapText="1"/>
      <protection locked="0"/>
    </xf>
    <xf numFmtId="49" fontId="58" fillId="0" borderId="38" xfId="54" applyNumberFormat="1" applyFont="1" applyBorder="1" applyAlignment="1">
      <alignment horizontal="center" vertical="center" wrapText="1"/>
      <protection locked="0"/>
    </xf>
    <xf numFmtId="49" fontId="58" fillId="0" borderId="30" xfId="54" applyNumberFormat="1" applyFont="1" applyBorder="1" applyAlignment="1">
      <alignment horizontal="center" vertical="center" wrapText="1"/>
      <protection locked="0"/>
    </xf>
    <xf numFmtId="49" fontId="58" fillId="0" borderId="26" xfId="54" applyNumberFormat="1" applyFont="1" applyBorder="1" applyAlignment="1">
      <alignment horizontal="center" vertical="center"/>
      <protection locked="0"/>
    </xf>
    <xf numFmtId="49" fontId="58" fillId="0" borderId="4" xfId="54" applyNumberFormat="1" applyFont="1" applyBorder="1" applyAlignment="1">
      <alignment horizontal="center" vertical="center"/>
      <protection locked="0"/>
    </xf>
    <xf numFmtId="49" fontId="58" fillId="0" borderId="0" xfId="54" applyNumberFormat="1" applyFont="1" applyAlignment="1">
      <alignment horizontal="center" vertical="center"/>
      <protection locked="0"/>
    </xf>
    <xf numFmtId="49" fontId="60" fillId="0" borderId="4" xfId="54" applyNumberFormat="1" applyFont="1" applyBorder="1" applyAlignment="1">
      <alignment horizontal="center" vertical="center"/>
      <protection locked="0"/>
    </xf>
    <xf numFmtId="49" fontId="60" fillId="0" borderId="0" xfId="54" applyNumberFormat="1" applyFont="1" applyAlignment="1">
      <alignment horizontal="center" vertical="center"/>
      <protection locked="0"/>
    </xf>
    <xf numFmtId="49" fontId="59" fillId="0" borderId="4" xfId="54" applyNumberFormat="1" applyFont="1" applyBorder="1" applyAlignment="1">
      <alignment horizontal="center" vertical="center" wrapText="1"/>
      <protection locked="0"/>
    </xf>
    <xf numFmtId="49" fontId="59" fillId="0" borderId="0" xfId="54" applyNumberFormat="1" applyFont="1" applyAlignment="1">
      <alignment horizontal="center" vertical="center" wrapText="1"/>
      <protection locked="0"/>
    </xf>
    <xf numFmtId="49" fontId="59" fillId="0" borderId="25" xfId="54" applyNumberFormat="1" applyFont="1" applyBorder="1" applyAlignment="1">
      <alignment horizontal="center" vertical="center" wrapText="1"/>
      <protection locked="0"/>
    </xf>
    <xf numFmtId="49" fontId="59" fillId="0" borderId="26" xfId="54" applyNumberFormat="1" applyFont="1" applyBorder="1" applyAlignment="1">
      <alignment horizontal="center" vertical="center" wrapText="1"/>
      <protection locked="0"/>
    </xf>
    <xf numFmtId="49" fontId="59" fillId="0" borderId="38" xfId="54" applyNumberFormat="1" applyFont="1" applyBorder="1" applyAlignment="1">
      <alignment horizontal="center" vertical="center" wrapText="1"/>
      <protection locked="0"/>
    </xf>
    <xf numFmtId="49" fontId="59" fillId="0" borderId="30" xfId="54" applyNumberFormat="1" applyFont="1" applyBorder="1" applyAlignment="1">
      <alignment horizontal="center" vertical="center" wrapText="1"/>
      <protection locked="0"/>
    </xf>
    <xf numFmtId="49" fontId="59" fillId="0" borderId="0" xfId="54" applyNumberFormat="1" applyFont="1" applyAlignment="1">
      <alignment horizontal="center" vertical="center"/>
      <protection locked="0"/>
    </xf>
    <xf numFmtId="49" fontId="59" fillId="0" borderId="38" xfId="54" applyNumberFormat="1" applyFont="1" applyBorder="1" applyAlignment="1">
      <alignment horizontal="center" vertical="center"/>
      <protection locked="0"/>
    </xf>
    <xf numFmtId="49" fontId="59" fillId="0" borderId="30" xfId="54" applyNumberFormat="1" applyFont="1" applyBorder="1" applyAlignment="1">
      <alignment horizontal="center" vertical="center"/>
      <protection locked="0"/>
    </xf>
    <xf numFmtId="49" fontId="59" fillId="0" borderId="6" xfId="54" applyNumberFormat="1" applyFont="1" applyBorder="1" applyAlignment="1">
      <alignment horizontal="center" vertical="center"/>
      <protection locked="0"/>
    </xf>
    <xf numFmtId="49" fontId="59" fillId="0" borderId="9" xfId="54" applyNumberFormat="1" applyFont="1" applyBorder="1" applyAlignment="1">
      <alignment horizontal="center" vertical="center"/>
      <protection locked="0"/>
    </xf>
    <xf numFmtId="0" fontId="28" fillId="8" borderId="2" xfId="0" applyFont="1" applyFill="1" applyBorder="1" applyAlignment="1" applyProtection="1">
      <alignment horizontal="center" vertical="center"/>
      <protection locked="0"/>
    </xf>
    <xf numFmtId="0" fontId="28" fillId="8" borderId="8" xfId="0" applyFont="1" applyFill="1" applyBorder="1" applyAlignment="1" applyProtection="1">
      <alignment horizontal="center" vertical="center"/>
      <protection locked="0"/>
    </xf>
    <xf numFmtId="0" fontId="28" fillId="8" borderId="4" xfId="0" applyFont="1" applyFill="1" applyBorder="1" applyAlignment="1" applyProtection="1">
      <alignment horizontal="center" vertical="center"/>
      <protection locked="0"/>
    </xf>
    <xf numFmtId="0" fontId="28" fillId="8" borderId="0" xfId="0" applyFont="1" applyFill="1" applyAlignment="1" applyProtection="1">
      <alignment horizontal="center" vertical="center"/>
      <protection locked="0"/>
    </xf>
    <xf numFmtId="0" fontId="28" fillId="8" borderId="6" xfId="0" applyFont="1" applyFill="1" applyBorder="1" applyAlignment="1" applyProtection="1">
      <alignment horizontal="center" vertical="center"/>
      <protection locked="0"/>
    </xf>
    <xf numFmtId="0" fontId="28" fillId="8" borderId="9" xfId="0" applyFont="1" applyFill="1" applyBorder="1" applyAlignment="1" applyProtection="1">
      <alignment horizontal="center" vertical="center"/>
      <protection locked="0"/>
    </xf>
    <xf numFmtId="0" fontId="11" fillId="0" borderId="0" xfId="0" applyFont="1" applyAlignment="1" applyProtection="1">
      <alignment horizontal="center" vertical="center"/>
      <protection locked="0"/>
    </xf>
    <xf numFmtId="0" fontId="17" fillId="8" borderId="2" xfId="0" applyFont="1" applyFill="1" applyBorder="1" applyAlignment="1" applyProtection="1">
      <alignment horizontal="center" vertical="center"/>
      <protection locked="0"/>
    </xf>
    <xf numFmtId="0" fontId="17" fillId="8" borderId="8" xfId="0" applyFont="1" applyFill="1" applyBorder="1" applyAlignment="1" applyProtection="1">
      <alignment horizontal="center" vertical="center"/>
      <protection locked="0"/>
    </xf>
    <xf numFmtId="0" fontId="17" fillId="8" borderId="4" xfId="0" applyFont="1" applyFill="1" applyBorder="1" applyAlignment="1" applyProtection="1">
      <alignment horizontal="center" vertical="center"/>
      <protection locked="0"/>
    </xf>
    <xf numFmtId="0" fontId="17" fillId="8" borderId="0" xfId="0" applyFont="1" applyFill="1" applyAlignment="1" applyProtection="1">
      <alignment horizontal="center" vertical="center"/>
      <protection locked="0"/>
    </xf>
    <xf numFmtId="0" fontId="11" fillId="0" borderId="10" xfId="0" applyFont="1" applyBorder="1" applyAlignment="1" applyProtection="1">
      <alignment horizontal="center" vertical="center" wrapText="1"/>
      <protection locked="0"/>
    </xf>
    <xf numFmtId="0" fontId="11" fillId="0" borderId="44" xfId="0" applyFont="1" applyBorder="1" applyAlignment="1" applyProtection="1">
      <alignment horizontal="center" vertical="center" wrapText="1"/>
      <protection locked="0"/>
    </xf>
    <xf numFmtId="0" fontId="11" fillId="0" borderId="4"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6"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11" fillId="0" borderId="0" xfId="0" applyFont="1" applyAlignment="1" applyProtection="1">
      <alignment vertical="center" wrapText="1"/>
      <protection locked="0"/>
    </xf>
    <xf numFmtId="0" fontId="17" fillId="8" borderId="2" xfId="0" applyFont="1" applyFill="1" applyBorder="1" applyAlignment="1" applyProtection="1">
      <alignment horizontal="center" vertical="center" wrapText="1"/>
      <protection locked="0"/>
    </xf>
    <xf numFmtId="0" fontId="17" fillId="8" borderId="8" xfId="0" applyFont="1" applyFill="1" applyBorder="1" applyAlignment="1" applyProtection="1">
      <alignment horizontal="center" vertical="center" wrapText="1"/>
      <protection locked="0"/>
    </xf>
    <xf numFmtId="0" fontId="17" fillId="8" borderId="23" xfId="0" applyFont="1" applyFill="1" applyBorder="1" applyAlignment="1" applyProtection="1">
      <alignment horizontal="center" vertical="center" wrapText="1"/>
      <protection locked="0"/>
    </xf>
    <xf numFmtId="0" fontId="17" fillId="8" borderId="24" xfId="0" applyFont="1" applyFill="1" applyBorder="1" applyAlignment="1" applyProtection="1">
      <alignment horizontal="center" vertical="center" wrapText="1"/>
      <protection locked="0"/>
    </xf>
    <xf numFmtId="0" fontId="11" fillId="0" borderId="4" xfId="0" applyFont="1" applyBorder="1" applyAlignment="1" applyProtection="1">
      <alignment horizontal="center" vertical="center"/>
      <protection locked="0"/>
    </xf>
    <xf numFmtId="0" fontId="11" fillId="0" borderId="23" xfId="0" applyFont="1" applyBorder="1" applyAlignment="1" applyProtection="1">
      <alignment horizontal="center" vertical="center"/>
      <protection locked="0"/>
    </xf>
    <xf numFmtId="0" fontId="11" fillId="0" borderId="24" xfId="0" applyFont="1" applyBorder="1" applyAlignment="1" applyProtection="1">
      <alignment horizontal="center" vertical="center"/>
      <protection locked="0"/>
    </xf>
    <xf numFmtId="0" fontId="11" fillId="0" borderId="45" xfId="0" applyFont="1" applyBorder="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0" fontId="11" fillId="0" borderId="46" xfId="0" applyFont="1" applyBorder="1" applyAlignment="1" applyProtection="1">
      <alignment horizontal="left" vertical="center" wrapText="1"/>
      <protection locked="0"/>
    </xf>
    <xf numFmtId="0" fontId="11" fillId="0" borderId="24" xfId="0" applyFont="1" applyBorder="1" applyAlignment="1" applyProtection="1">
      <alignment horizontal="left" vertical="center" wrapText="1"/>
      <protection locked="0"/>
    </xf>
    <xf numFmtId="0" fontId="1" fillId="0" borderId="45" xfId="0" applyFont="1" applyBorder="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1" fillId="0" borderId="47" xfId="0" applyFont="1" applyBorder="1" applyAlignment="1" applyProtection="1">
      <alignment horizontal="center" vertical="center" wrapText="1"/>
      <protection locked="0"/>
    </xf>
    <xf numFmtId="0" fontId="1" fillId="0" borderId="44" xfId="0" applyFont="1" applyBorder="1" applyAlignment="1" applyProtection="1">
      <alignment horizontal="center" vertical="center" wrapText="1"/>
      <protection locked="0"/>
    </xf>
    <xf numFmtId="0" fontId="11" fillId="0" borderId="25" xfId="0" applyFont="1" applyBorder="1" applyAlignment="1" applyProtection="1">
      <alignment horizontal="center" vertical="center" wrapText="1"/>
      <protection locked="0"/>
    </xf>
    <xf numFmtId="0" fontId="11" fillId="0" borderId="26" xfId="0" applyFont="1" applyBorder="1" applyAlignment="1" applyProtection="1">
      <alignment horizontal="center" vertical="center" wrapText="1"/>
      <protection locked="0"/>
    </xf>
    <xf numFmtId="0" fontId="1" fillId="0" borderId="48" xfId="0" applyFont="1" applyBorder="1" applyAlignment="1" applyProtection="1">
      <alignment horizontal="center" vertical="center" wrapText="1"/>
      <protection locked="0"/>
    </xf>
    <xf numFmtId="0" fontId="1" fillId="0" borderId="26" xfId="0" applyFont="1" applyBorder="1" applyAlignment="1" applyProtection="1">
      <alignment horizontal="center" vertical="center" wrapText="1"/>
      <protection locked="0"/>
    </xf>
    <xf numFmtId="0" fontId="11" fillId="0" borderId="23" xfId="0" applyFont="1" applyBorder="1" applyAlignment="1" applyProtection="1">
      <alignment horizontal="center" vertical="center" wrapText="1"/>
      <protection locked="0"/>
    </xf>
    <xf numFmtId="0" fontId="11" fillId="0" borderId="24" xfId="0" applyFont="1" applyBorder="1" applyAlignment="1" applyProtection="1">
      <alignment horizontal="center" vertical="center" wrapText="1"/>
      <protection locked="0"/>
    </xf>
    <xf numFmtId="0" fontId="1" fillId="0" borderId="46" xfId="0" applyFont="1" applyBorder="1" applyAlignment="1" applyProtection="1">
      <alignment horizontal="center" vertical="center" wrapText="1"/>
      <protection locked="0"/>
    </xf>
    <xf numFmtId="0" fontId="1" fillId="0" borderId="24" xfId="0" applyFont="1" applyBorder="1" applyAlignment="1" applyProtection="1">
      <alignment horizontal="center" vertical="center" wrapText="1"/>
      <protection locked="0"/>
    </xf>
    <xf numFmtId="0" fontId="28" fillId="31" borderId="2" xfId="0" applyFont="1" applyFill="1" applyBorder="1" applyAlignment="1" applyProtection="1">
      <alignment horizontal="center" vertical="center"/>
      <protection locked="0"/>
    </xf>
    <xf numFmtId="0" fontId="28" fillId="31" borderId="8" xfId="0" applyFont="1" applyFill="1" applyBorder="1" applyAlignment="1" applyProtection="1">
      <alignment horizontal="center" vertical="center"/>
      <protection locked="0"/>
    </xf>
    <xf numFmtId="0" fontId="28" fillId="31" borderId="4" xfId="0" applyFont="1" applyFill="1" applyBorder="1" applyAlignment="1" applyProtection="1">
      <alignment horizontal="center" vertical="center"/>
      <protection locked="0"/>
    </xf>
    <xf numFmtId="0" fontId="28" fillId="31" borderId="0" xfId="0" applyFont="1" applyFill="1" applyAlignment="1" applyProtection="1">
      <alignment horizontal="center" vertical="center"/>
      <protection locked="0"/>
    </xf>
    <xf numFmtId="0" fontId="19" fillId="32" borderId="4" xfId="54" applyFont="1" applyFill="1" applyBorder="1" applyAlignment="1">
      <alignment horizontal="center" vertical="center"/>
      <protection locked="0"/>
    </xf>
    <xf numFmtId="0" fontId="19" fillId="32" borderId="0" xfId="54" applyFont="1" applyFill="1" applyAlignment="1">
      <alignment horizontal="center" vertical="center"/>
      <protection locked="0"/>
    </xf>
    <xf numFmtId="0" fontId="5" fillId="0" borderId="4" xfId="54" applyFont="1" applyBorder="1" applyAlignment="1">
      <alignment horizontal="left" vertical="center" wrapText="1"/>
      <protection locked="0"/>
    </xf>
    <xf numFmtId="0" fontId="5" fillId="0" borderId="0" xfId="54" applyFont="1" applyAlignment="1">
      <alignment horizontal="left" vertical="center" wrapText="1"/>
      <protection locked="0"/>
    </xf>
    <xf numFmtId="0" fontId="55" fillId="0" borderId="26" xfId="54" applyFont="1" applyBorder="1" applyAlignment="1">
      <alignment vertical="center"/>
      <protection locked="0"/>
    </xf>
    <xf numFmtId="0" fontId="55" fillId="0" borderId="9" xfId="54" applyFont="1" applyBorder="1" applyAlignment="1">
      <alignment vertical="center"/>
      <protection locked="0"/>
    </xf>
    <xf numFmtId="0" fontId="17" fillId="8" borderId="3" xfId="0" applyFont="1" applyFill="1" applyBorder="1" applyAlignment="1" applyProtection="1">
      <alignment horizontal="center" vertical="center"/>
      <protection locked="0"/>
    </xf>
    <xf numFmtId="0" fontId="63" fillId="0" borderId="0" xfId="0" applyFont="1" applyProtection="1">
      <alignment vertical="center"/>
      <protection locked="0"/>
    </xf>
    <xf numFmtId="0" fontId="63" fillId="8" borderId="2" xfId="0" applyFont="1" applyFill="1" applyBorder="1" applyAlignment="1" applyProtection="1">
      <alignment horizontal="center" vertical="center"/>
      <protection locked="0"/>
    </xf>
    <xf numFmtId="0" fontId="17" fillId="8" borderId="5" xfId="0" applyFont="1" applyFill="1" applyBorder="1" applyAlignment="1" applyProtection="1">
      <alignment horizontal="center" vertical="center"/>
      <protection locked="0"/>
    </xf>
    <xf numFmtId="0" fontId="63" fillId="8" borderId="4" xfId="0" applyFont="1" applyFill="1" applyBorder="1" applyAlignment="1" applyProtection="1">
      <alignment horizontal="center" vertical="center"/>
      <protection locked="0"/>
    </xf>
    <xf numFmtId="0" fontId="11" fillId="0" borderId="11" xfId="0" applyFont="1" applyBorder="1" applyAlignment="1" applyProtection="1">
      <alignment horizontal="center" vertical="center" wrapText="1"/>
      <protection locked="0"/>
    </xf>
    <xf numFmtId="0" fontId="19" fillId="0" borderId="0" xfId="0" applyFont="1" applyAlignment="1" applyProtection="1">
      <alignment vertical="center" wrapText="1"/>
      <protection locked="0"/>
    </xf>
    <xf numFmtId="0" fontId="19" fillId="0" borderId="10" xfId="0" applyFont="1" applyBorder="1" applyAlignment="1" applyProtection="1">
      <alignment horizontal="center" vertical="center" wrapText="1"/>
      <protection locked="0"/>
    </xf>
    <xf numFmtId="0" fontId="11" fillId="0" borderId="5"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1" fillId="0" borderId="7" xfId="0" applyFont="1" applyBorder="1" applyAlignment="1" applyProtection="1">
      <alignment horizontal="center" vertical="center" wrapText="1"/>
      <protection locked="0"/>
    </xf>
    <xf numFmtId="0" fontId="19" fillId="0" borderId="23" xfId="0" applyFont="1" applyBorder="1" applyAlignment="1" applyProtection="1">
      <alignment horizontal="center" vertical="center" wrapText="1"/>
      <protection locked="0"/>
    </xf>
    <xf numFmtId="0" fontId="23" fillId="0" borderId="4" xfId="0" applyFont="1" applyBorder="1" applyAlignment="1" applyProtection="1">
      <alignment horizontal="center" vertical="center" wrapText="1"/>
      <protection locked="0"/>
    </xf>
    <xf numFmtId="0" fontId="17" fillId="8" borderId="3" xfId="0" applyFont="1" applyFill="1" applyBorder="1" applyAlignment="1" applyProtection="1">
      <alignment horizontal="center" vertical="center" wrapText="1"/>
      <protection locked="0"/>
    </xf>
    <xf numFmtId="0" fontId="63" fillId="0" borderId="0" xfId="0" applyFont="1" applyAlignment="1" applyProtection="1">
      <alignment vertical="center" wrapText="1"/>
      <protection locked="0"/>
    </xf>
    <xf numFmtId="0" fontId="23" fillId="0" borderId="6" xfId="0" applyFont="1" applyBorder="1" applyAlignment="1" applyProtection="1">
      <alignment horizontal="center" vertical="center" wrapText="1"/>
      <protection locked="0"/>
    </xf>
    <xf numFmtId="0" fontId="17" fillId="8" borderId="28" xfId="0" applyFont="1" applyFill="1" applyBorder="1" applyAlignment="1" applyProtection="1">
      <alignment horizontal="center" vertical="center" wrapText="1"/>
      <protection locked="0"/>
    </xf>
    <xf numFmtId="0" fontId="11" fillId="0" borderId="5" xfId="0" applyFont="1" applyBorder="1" applyAlignment="1" applyProtection="1">
      <alignment horizontal="center" vertical="center"/>
      <protection locked="0"/>
    </xf>
    <xf numFmtId="0" fontId="19" fillId="0" borderId="0" xfId="0" applyFont="1" applyProtection="1">
      <alignment vertical="center"/>
      <protection locked="0"/>
    </xf>
    <xf numFmtId="0" fontId="11" fillId="0" borderId="28" xfId="0" applyFont="1" applyBorder="1" applyAlignment="1" applyProtection="1">
      <alignment horizontal="center" vertical="center"/>
      <protection locked="0"/>
    </xf>
    <xf numFmtId="0" fontId="11" fillId="0" borderId="5" xfId="0" applyFont="1" applyBorder="1" applyAlignment="1" applyProtection="1">
      <alignment horizontal="left" vertical="center" wrapText="1"/>
      <protection locked="0"/>
    </xf>
    <xf numFmtId="0" fontId="11" fillId="0" borderId="28" xfId="0" applyFont="1" applyBorder="1" applyAlignment="1" applyProtection="1">
      <alignment horizontal="left" vertical="center" wrapText="1"/>
      <protection locked="0"/>
    </xf>
    <xf numFmtId="0" fontId="1" fillId="0" borderId="49" xfId="0" applyFont="1" applyBorder="1" applyAlignment="1" applyProtection="1">
      <alignment horizontal="center" vertical="center" wrapText="1"/>
      <protection locked="0"/>
    </xf>
    <xf numFmtId="0" fontId="1" fillId="0" borderId="50" xfId="0" applyFont="1" applyBorder="1" applyAlignment="1" applyProtection="1">
      <alignment horizontal="center" vertical="center" wrapText="1"/>
      <protection locked="0"/>
    </xf>
    <xf numFmtId="0" fontId="1" fillId="0" borderId="51" xfId="0" applyFont="1" applyBorder="1" applyAlignment="1" applyProtection="1">
      <alignment horizontal="center" vertical="center" wrapText="1"/>
      <protection locked="0"/>
    </xf>
    <xf numFmtId="0" fontId="1" fillId="0" borderId="13" xfId="0" applyFont="1" applyBorder="1" applyAlignment="1" applyProtection="1">
      <alignment horizontal="center" vertical="center" wrapText="1"/>
      <protection locked="0"/>
    </xf>
    <xf numFmtId="0" fontId="19" fillId="0" borderId="4" xfId="54" applyFont="1" applyBorder="1" applyAlignment="1">
      <alignment horizontal="center" vertical="center" wrapText="1"/>
      <protection locked="0"/>
    </xf>
    <xf numFmtId="0" fontId="1" fillId="0" borderId="52" xfId="0" applyFont="1" applyBorder="1" applyAlignment="1" applyProtection="1">
      <alignment horizontal="center" vertical="center" wrapText="1"/>
      <protection locked="0"/>
    </xf>
    <xf numFmtId="0" fontId="1" fillId="0" borderId="53" xfId="0" applyFont="1" applyBorder="1" applyAlignment="1" applyProtection="1">
      <alignment horizontal="center" vertical="center" wrapText="1"/>
      <protection locked="0"/>
    </xf>
    <xf numFmtId="0" fontId="1" fillId="0" borderId="54" xfId="0" applyFont="1" applyBorder="1" applyAlignment="1" applyProtection="1">
      <alignment horizontal="center" vertical="center" wrapText="1"/>
      <protection locked="0"/>
    </xf>
    <xf numFmtId="0" fontId="59" fillId="0" borderId="23" xfId="0" applyFont="1" applyBorder="1" applyAlignment="1" applyProtection="1">
      <alignment horizontal="center" vertical="center" wrapText="1"/>
      <protection locked="0"/>
    </xf>
    <xf numFmtId="0" fontId="19" fillId="0" borderId="0" xfId="0" applyFont="1" applyAlignment="1" applyProtection="1">
      <alignment horizontal="center" vertical="center"/>
      <protection locked="0"/>
    </xf>
    <xf numFmtId="0" fontId="19" fillId="0" borderId="6" xfId="0" applyFont="1" applyBorder="1" applyAlignment="1" applyProtection="1">
      <alignment horizontal="center" vertical="center" wrapText="1"/>
      <protection locked="0"/>
    </xf>
    <xf numFmtId="0" fontId="6" fillId="0" borderId="0" xfId="54" applyFont="1" applyAlignment="1">
      <alignment horizontal="center" vertical="center" wrapText="1"/>
      <protection locked="0"/>
    </xf>
    <xf numFmtId="0" fontId="62" fillId="0" borderId="29" xfId="0" applyFont="1" applyBorder="1" applyAlignment="1" applyProtection="1">
      <alignment horizontal="center" vertical="center"/>
      <protection locked="0"/>
    </xf>
    <xf numFmtId="0" fontId="62" fillId="0" borderId="5" xfId="0" applyFont="1" applyBorder="1" applyAlignment="1" applyProtection="1">
      <alignment horizontal="center" vertical="center"/>
      <protection locked="0"/>
    </xf>
    <xf numFmtId="0" fontId="0" fillId="0" borderId="29" xfId="54" applyFont="1" applyBorder="1" applyAlignment="1">
      <alignment vertical="center" wrapText="1"/>
      <protection locked="0"/>
    </xf>
    <xf numFmtId="0" fontId="0" fillId="0" borderId="7" xfId="54" applyFont="1" applyBorder="1" applyAlignment="1">
      <alignment vertical="center" wrapText="1"/>
      <protection locked="0"/>
    </xf>
    <xf numFmtId="0" fontId="32" fillId="0" borderId="6" xfId="54" applyBorder="1" applyAlignment="1">
      <alignment horizontal="center" vertical="center"/>
      <protection locked="0"/>
    </xf>
    <xf numFmtId="0" fontId="32" fillId="0" borderId="9" xfId="54" applyBorder="1" applyAlignment="1">
      <alignment horizontal="center" vertical="center"/>
      <protection locked="0"/>
    </xf>
    <xf numFmtId="0" fontId="0" fillId="0" borderId="0" xfId="54" applyFont="1" applyAlignment="1">
      <alignment horizontal="center" vertical="center"/>
      <protection locked="0"/>
    </xf>
    <xf numFmtId="49" fontId="57" fillId="30" borderId="3" xfId="54" applyNumberFormat="1" applyFont="1" applyFill="1" applyBorder="1" applyAlignment="1">
      <alignment horizontal="center" vertical="center"/>
      <protection locked="0"/>
    </xf>
    <xf numFmtId="0" fontId="64" fillId="0" borderId="0" xfId="54" applyFont="1" applyAlignment="1">
      <alignment vertical="center" wrapText="1"/>
      <protection locked="0"/>
    </xf>
    <xf numFmtId="49" fontId="58" fillId="0" borderId="29" xfId="54" applyNumberFormat="1" applyFont="1" applyBorder="1" applyAlignment="1">
      <alignment horizontal="center" vertical="center" wrapText="1"/>
      <protection locked="0"/>
    </xf>
    <xf numFmtId="49" fontId="58" fillId="0" borderId="5" xfId="54" applyNumberFormat="1" applyFont="1" applyBorder="1" applyAlignment="1">
      <alignment horizontal="center" vertical="center" wrapText="1"/>
      <protection locked="0"/>
    </xf>
    <xf numFmtId="49" fontId="58" fillId="0" borderId="34" xfId="54" applyNumberFormat="1" applyFont="1" applyBorder="1" applyAlignment="1">
      <alignment horizontal="center" vertical="center" wrapText="1"/>
      <protection locked="0"/>
    </xf>
    <xf numFmtId="49" fontId="58" fillId="0" borderId="29" xfId="54" applyNumberFormat="1" applyFont="1" applyBorder="1" applyAlignment="1">
      <alignment horizontal="center" vertical="center"/>
      <protection locked="0"/>
    </xf>
    <xf numFmtId="49" fontId="58" fillId="0" borderId="5" xfId="54" applyNumberFormat="1" applyFont="1" applyBorder="1" applyAlignment="1">
      <alignment horizontal="center" vertical="center"/>
      <protection locked="0"/>
    </xf>
    <xf numFmtId="49" fontId="60" fillId="0" borderId="5" xfId="54" applyNumberFormat="1" applyFont="1" applyBorder="1" applyAlignment="1">
      <alignment horizontal="center" vertical="center"/>
      <protection locked="0"/>
    </xf>
    <xf numFmtId="49" fontId="59" fillId="0" borderId="5" xfId="54" applyNumberFormat="1" applyFont="1" applyBorder="1" applyAlignment="1">
      <alignment horizontal="center" vertical="center" wrapText="1"/>
      <protection locked="0"/>
    </xf>
    <xf numFmtId="49" fontId="59" fillId="0" borderId="29" xfId="54" applyNumberFormat="1" applyFont="1" applyBorder="1" applyAlignment="1">
      <alignment horizontal="center" vertical="center" wrapText="1"/>
      <protection locked="0"/>
    </xf>
    <xf numFmtId="49" fontId="59" fillId="0" borderId="34" xfId="54" applyNumberFormat="1" applyFont="1" applyBorder="1" applyAlignment="1">
      <alignment horizontal="center" vertical="center" wrapText="1"/>
      <protection locked="0"/>
    </xf>
    <xf numFmtId="49" fontId="59" fillId="0" borderId="5" xfId="54" applyNumberFormat="1" applyFont="1" applyBorder="1" applyAlignment="1">
      <alignment horizontal="center" vertical="center"/>
      <protection locked="0"/>
    </xf>
    <xf numFmtId="49" fontId="59" fillId="0" borderId="34" xfId="54" applyNumberFormat="1" applyFont="1" applyBorder="1" applyAlignment="1">
      <alignment horizontal="center" vertical="center"/>
      <protection locked="0"/>
    </xf>
    <xf numFmtId="49" fontId="59" fillId="0" borderId="7" xfId="54" applyNumberFormat="1" applyFont="1" applyBorder="1" applyAlignment="1">
      <alignment horizontal="center" vertical="center"/>
      <protection locked="0"/>
    </xf>
    <xf numFmtId="0" fontId="63" fillId="8" borderId="8" xfId="0" applyFont="1" applyFill="1" applyBorder="1" applyAlignment="1" applyProtection="1">
      <alignment horizontal="center" vertical="center"/>
      <protection locked="0"/>
    </xf>
    <xf numFmtId="0" fontId="63" fillId="8" borderId="0" xfId="0" applyFont="1" applyFill="1" applyAlignment="1" applyProtection="1">
      <alignment horizontal="center" vertical="center"/>
      <protection locked="0"/>
    </xf>
    <xf numFmtId="0" fontId="19" fillId="0" borderId="44" xfId="0" applyFont="1" applyBorder="1" applyAlignment="1" applyProtection="1">
      <alignment horizontal="center" vertical="center" wrapText="1"/>
      <protection locked="0"/>
    </xf>
    <xf numFmtId="0" fontId="19" fillId="0" borderId="55"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56" xfId="0" applyFont="1" applyBorder="1" applyAlignment="1" applyProtection="1">
      <alignment horizontal="center" vertical="center" wrapText="1"/>
      <protection locked="0"/>
    </xf>
    <xf numFmtId="0" fontId="19" fillId="0" borderId="57" xfId="0" applyFont="1" applyBorder="1" applyAlignment="1" applyProtection="1">
      <alignment horizontal="center" vertical="center" wrapText="1"/>
      <protection locked="0"/>
    </xf>
    <xf numFmtId="0" fontId="19" fillId="0" borderId="24" xfId="0" applyFont="1" applyBorder="1" applyAlignment="1" applyProtection="1">
      <alignment horizontal="center" vertical="center" wrapText="1"/>
      <protection locked="0"/>
    </xf>
    <xf numFmtId="0" fontId="23" fillId="0" borderId="0" xfId="0" applyFont="1" applyAlignment="1" applyProtection="1">
      <alignment horizontal="center" vertical="center" wrapText="1"/>
      <protection locked="0"/>
    </xf>
    <xf numFmtId="0" fontId="23" fillId="0" borderId="57" xfId="0" applyFont="1" applyBorder="1" applyAlignment="1" applyProtection="1">
      <alignment horizontal="center" vertical="center" wrapText="1"/>
      <protection locked="0"/>
    </xf>
    <xf numFmtId="0" fontId="23" fillId="0" borderId="9" xfId="0" applyFont="1" applyBorder="1" applyAlignment="1" applyProtection="1">
      <alignment horizontal="center" vertical="center" wrapText="1"/>
      <protection locked="0"/>
    </xf>
    <xf numFmtId="0" fontId="23" fillId="0" borderId="58" xfId="0" applyFont="1" applyBorder="1" applyAlignment="1" applyProtection="1">
      <alignment horizontal="center" vertical="center" wrapText="1"/>
      <protection locked="0"/>
    </xf>
    <xf numFmtId="0" fontId="19" fillId="0" borderId="49" xfId="0" applyFont="1" applyBorder="1" applyAlignment="1" applyProtection="1">
      <alignment horizontal="center" vertical="center" wrapText="1"/>
      <protection locked="0"/>
    </xf>
    <xf numFmtId="0" fontId="19" fillId="0" borderId="53" xfId="0" applyFont="1" applyBorder="1" applyAlignment="1" applyProtection="1">
      <alignment horizontal="center" vertical="center" wrapText="1"/>
      <protection locked="0"/>
    </xf>
    <xf numFmtId="0" fontId="19" fillId="0" borderId="45" xfId="0" applyFont="1" applyBorder="1" applyAlignment="1" applyProtection="1">
      <alignment horizontal="center" vertical="center" wrapText="1"/>
      <protection locked="0"/>
    </xf>
    <xf numFmtId="0" fontId="19" fillId="0" borderId="0" xfId="54" applyFont="1" applyAlignment="1">
      <alignment horizontal="center" vertical="center" wrapText="1"/>
      <protection locked="0"/>
    </xf>
    <xf numFmtId="0" fontId="19" fillId="0" borderId="57" xfId="54" applyFont="1" applyBorder="1" applyAlignment="1">
      <alignment horizontal="center" vertical="center" wrapText="1"/>
      <protection locked="0"/>
    </xf>
    <xf numFmtId="0" fontId="19" fillId="0" borderId="44" xfId="54" applyFont="1" applyBorder="1" applyAlignment="1">
      <alignment horizontal="center" vertical="center" wrapText="1"/>
      <protection locked="0"/>
    </xf>
    <xf numFmtId="0" fontId="19" fillId="0" borderId="24" xfId="54" applyFont="1" applyBorder="1" applyAlignment="1">
      <alignment horizontal="center" vertical="center" wrapText="1"/>
      <protection locked="0"/>
    </xf>
    <xf numFmtId="0" fontId="19" fillId="0" borderId="45" xfId="54" applyFont="1" applyBorder="1" applyAlignment="1">
      <alignment horizontal="center" vertical="center" wrapText="1"/>
      <protection locked="0"/>
    </xf>
    <xf numFmtId="0" fontId="59" fillId="0" borderId="24" xfId="0" applyFont="1" applyBorder="1" applyAlignment="1" applyProtection="1">
      <alignment horizontal="center" vertical="center" wrapText="1"/>
      <protection locked="0"/>
    </xf>
    <xf numFmtId="0" fontId="59" fillId="0" borderId="56" xfId="0" applyFont="1" applyBorder="1" applyAlignment="1" applyProtection="1">
      <alignment horizontal="center" vertical="center" wrapText="1"/>
      <protection locked="0"/>
    </xf>
    <xf numFmtId="0" fontId="19" fillId="0" borderId="46" xfId="54" applyFont="1" applyBorder="1" applyAlignment="1">
      <alignment horizontal="center" vertical="center" wrapText="1"/>
      <protection locked="0"/>
    </xf>
    <xf numFmtId="0" fontId="19" fillId="0" borderId="9" xfId="0" applyFont="1" applyBorder="1" applyAlignment="1" applyProtection="1">
      <alignment horizontal="center" vertical="center" wrapText="1"/>
      <protection locked="0"/>
    </xf>
    <xf numFmtId="0" fontId="32" fillId="0" borderId="7" xfId="54" applyBorder="1" applyAlignment="1">
      <alignment horizontal="center" vertical="center"/>
      <protection locked="0"/>
    </xf>
    <xf numFmtId="0" fontId="28" fillId="8" borderId="3" xfId="0" applyFont="1" applyFill="1" applyBorder="1" applyAlignment="1" applyProtection="1">
      <alignment horizontal="center" vertical="center"/>
      <protection locked="0"/>
    </xf>
    <xf numFmtId="0" fontId="28" fillId="8" borderId="5" xfId="0" applyFont="1" applyFill="1" applyBorder="1" applyAlignment="1" applyProtection="1">
      <alignment horizontal="center" vertical="center"/>
      <protection locked="0"/>
    </xf>
    <xf numFmtId="0" fontId="28" fillId="8" borderId="7" xfId="0" applyFont="1" applyFill="1" applyBorder="1" applyAlignment="1" applyProtection="1">
      <alignment horizontal="center" vertical="center"/>
      <protection locked="0"/>
    </xf>
    <xf numFmtId="0" fontId="63" fillId="8" borderId="3" xfId="0" applyFont="1" applyFill="1" applyBorder="1" applyAlignment="1" applyProtection="1">
      <alignment horizontal="center" vertical="center"/>
      <protection locked="0"/>
    </xf>
    <xf numFmtId="0" fontId="63" fillId="8" borderId="5" xfId="0" applyFont="1" applyFill="1" applyBorder="1" applyAlignment="1" applyProtection="1">
      <alignment horizontal="center" vertical="center"/>
      <protection locked="0"/>
    </xf>
    <xf numFmtId="0" fontId="19" fillId="0" borderId="11" xfId="0" applyFont="1" applyBorder="1" applyAlignment="1" applyProtection="1">
      <alignment horizontal="center" vertical="center" wrapText="1"/>
      <protection locked="0"/>
    </xf>
    <xf numFmtId="0" fontId="19" fillId="0" borderId="59" xfId="0" applyFont="1" applyBorder="1" applyAlignment="1" applyProtection="1">
      <alignment horizontal="center" vertical="center" wrapText="1"/>
      <protection locked="0"/>
    </xf>
    <xf numFmtId="0" fontId="19" fillId="0" borderId="60" xfId="0" applyFont="1" applyBorder="1" applyAlignment="1" applyProtection="1">
      <alignment horizontal="center" vertical="center" wrapText="1"/>
      <protection locked="0"/>
    </xf>
    <xf numFmtId="0" fontId="19" fillId="0" borderId="28" xfId="0" applyFont="1" applyBorder="1" applyAlignment="1" applyProtection="1">
      <alignment horizontal="center" vertical="center" wrapText="1"/>
      <protection locked="0"/>
    </xf>
    <xf numFmtId="0" fontId="23" fillId="0" borderId="5" xfId="0" applyFont="1" applyBorder="1" applyAlignment="1" applyProtection="1">
      <alignment horizontal="center" vertical="center" wrapText="1"/>
      <protection locked="0"/>
    </xf>
    <xf numFmtId="0" fontId="23" fillId="0" borderId="7" xfId="0" applyFont="1" applyBorder="1" applyAlignment="1" applyProtection="1">
      <alignment horizontal="center" vertical="center" wrapText="1"/>
      <protection locked="0"/>
    </xf>
    <xf numFmtId="0" fontId="63" fillId="8" borderId="24" xfId="0" applyFont="1" applyFill="1" applyBorder="1" applyAlignment="1" applyProtection="1">
      <alignment horizontal="center" vertical="center"/>
      <protection locked="0"/>
    </xf>
    <xf numFmtId="0" fontId="63" fillId="8" borderId="28" xfId="0" applyFont="1" applyFill="1" applyBorder="1" applyAlignment="1" applyProtection="1">
      <alignment horizontal="center" vertical="center"/>
      <protection locked="0"/>
    </xf>
    <xf numFmtId="0" fontId="19" fillId="0" borderId="5" xfId="0" applyFont="1" applyBorder="1" applyAlignment="1" applyProtection="1">
      <alignment horizontal="center" vertical="center" wrapText="1"/>
      <protection locked="0"/>
    </xf>
    <xf numFmtId="0" fontId="19" fillId="0" borderId="47"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19" fillId="0" borderId="61" xfId="0" applyFont="1" applyBorder="1" applyAlignment="1" applyProtection="1">
      <alignment horizontal="center" vertical="center" wrapText="1"/>
      <protection locked="0"/>
    </xf>
    <xf numFmtId="0" fontId="19" fillId="0" borderId="62" xfId="0" applyFont="1" applyBorder="1" applyAlignment="1" applyProtection="1">
      <alignment horizontal="center" vertical="center" wrapText="1"/>
      <protection locked="0"/>
    </xf>
    <xf numFmtId="0" fontId="19" fillId="0" borderId="5" xfId="54" applyFont="1" applyBorder="1" applyAlignment="1">
      <alignment horizontal="center" vertical="center" wrapText="1"/>
      <protection locked="0"/>
    </xf>
    <xf numFmtId="0" fontId="19" fillId="0" borderId="28" xfId="54" applyFont="1" applyBorder="1" applyAlignment="1">
      <alignment horizontal="center" vertical="center" wrapText="1"/>
      <protection locked="0"/>
    </xf>
    <xf numFmtId="0" fontId="19" fillId="0" borderId="58" xfId="0" applyFont="1" applyBorder="1" applyAlignment="1" applyProtection="1">
      <alignment horizontal="center" vertical="center" wrapText="1"/>
      <protection locked="0"/>
    </xf>
    <xf numFmtId="0" fontId="19" fillId="0" borderId="63" xfId="0" applyFont="1" applyBorder="1" applyAlignment="1" applyProtection="1">
      <alignment horizontal="center" vertical="center" wrapText="1"/>
      <protection locked="0"/>
    </xf>
    <xf numFmtId="0" fontId="19" fillId="0" borderId="7" xfId="0" applyFont="1" applyBorder="1" applyAlignment="1" applyProtection="1">
      <alignment horizontal="center" vertical="center" wrapText="1"/>
      <protection locked="0"/>
    </xf>
    <xf numFmtId="0" fontId="28" fillId="31" borderId="3" xfId="0" applyFont="1" applyFill="1" applyBorder="1" applyAlignment="1" applyProtection="1">
      <alignment horizontal="center" vertical="center"/>
      <protection locked="0"/>
    </xf>
    <xf numFmtId="0" fontId="28" fillId="31" borderId="5" xfId="0" applyFont="1" applyFill="1" applyBorder="1" applyAlignment="1" applyProtection="1">
      <alignment horizontal="center" vertical="center"/>
      <protection locked="0"/>
    </xf>
    <xf numFmtId="0" fontId="19" fillId="32" borderId="5" xfId="54" applyFont="1" applyFill="1" applyBorder="1" applyAlignment="1">
      <alignment horizontal="center" vertical="center"/>
      <protection locked="0"/>
    </xf>
    <xf numFmtId="0" fontId="6" fillId="0" borderId="5" xfId="54" applyFont="1" applyBorder="1" applyAlignment="1">
      <alignment horizontal="center" vertical="center"/>
      <protection locked="0"/>
    </xf>
    <xf numFmtId="49" fontId="65" fillId="0" borderId="0" xfId="54" applyNumberFormat="1" applyFont="1" applyAlignment="1">
      <alignment vertical="center"/>
      <protection locked="0"/>
    </xf>
    <xf numFmtId="49" fontId="14" fillId="0" borderId="0" xfId="54" applyNumberFormat="1" applyFont="1" applyAlignment="1">
      <alignment vertical="center"/>
      <protection locked="0"/>
    </xf>
    <xf numFmtId="49" fontId="66" fillId="0" borderId="0" xfId="54" applyNumberFormat="1" applyFont="1" applyAlignment="1">
      <alignment horizontal="center" vertical="center"/>
      <protection locked="0"/>
    </xf>
    <xf numFmtId="49" fontId="6" fillId="0" borderId="0" xfId="54" applyNumberFormat="1" applyFont="1" applyAlignment="1">
      <alignment horizontal="center" vertical="center" wrapText="1"/>
      <protection locked="0"/>
    </xf>
    <xf numFmtId="49" fontId="14" fillId="0" borderId="0" xfId="54" applyNumberFormat="1" applyFont="1" applyAlignment="1">
      <alignment horizontal="center" vertical="center"/>
      <protection locked="0"/>
    </xf>
    <xf numFmtId="49" fontId="6" fillId="0" borderId="0" xfId="54" applyNumberFormat="1" applyFont="1" applyAlignment="1">
      <alignment horizontal="center" vertical="center"/>
      <protection locked="0"/>
    </xf>
    <xf numFmtId="49" fontId="14" fillId="0" borderId="0" xfId="54" applyNumberFormat="1" applyFont="1" applyAlignment="1">
      <alignment horizontal="center" vertical="center" wrapText="1"/>
      <protection locked="0"/>
    </xf>
    <xf numFmtId="0" fontId="66" fillId="0" borderId="0" xfId="54" applyFont="1" applyAlignment="1">
      <alignment horizontal="center" vertical="center"/>
      <protection locked="0"/>
    </xf>
    <xf numFmtId="0" fontId="14" fillId="0" borderId="0" xfId="54" applyFont="1" applyAlignment="1">
      <alignment horizontal="center" vertical="center" wrapText="1"/>
      <protection locked="0"/>
    </xf>
    <xf numFmtId="0" fontId="67" fillId="0" borderId="0" xfId="54" applyFont="1" applyAlignment="1">
      <alignment horizontal="center" vertical="center"/>
      <protection locked="0"/>
    </xf>
    <xf numFmtId="0" fontId="5" fillId="0" borderId="0" xfId="54" applyFont="1" applyAlignment="1">
      <alignment horizontal="center" vertical="center"/>
      <protection locked="0"/>
    </xf>
    <xf numFmtId="0" fontId="19" fillId="0" borderId="0" xfId="54" applyFont="1" applyAlignment="1">
      <alignment horizontal="center" vertical="center"/>
      <protection locked="0"/>
    </xf>
    <xf numFmtId="0" fontId="59" fillId="0" borderId="0" xfId="54" applyFont="1" applyAlignment="1">
      <alignment horizontal="center" vertical="center"/>
      <protection locked="0"/>
    </xf>
    <xf numFmtId="0" fontId="68" fillId="0" borderId="0" xfId="54" applyFont="1" applyAlignment="1">
      <alignment horizontal="center" vertical="center" wrapText="1"/>
      <protection locked="0"/>
    </xf>
    <xf numFmtId="0" fontId="23" fillId="0" borderId="0" xfId="54" applyFont="1" applyAlignment="1">
      <alignment horizontal="center" vertical="center" wrapText="1"/>
      <protection locked="0"/>
    </xf>
    <xf numFmtId="0" fontId="5" fillId="32" borderId="4" xfId="54" applyFont="1" applyFill="1" applyBorder="1" applyAlignment="1">
      <alignment horizontal="left" vertical="center" wrapText="1"/>
      <protection locked="0"/>
    </xf>
    <xf numFmtId="0" fontId="5" fillId="32" borderId="0" xfId="54" applyFont="1" applyFill="1" applyAlignment="1">
      <alignment horizontal="left" vertical="center" wrapText="1"/>
      <protection locked="0"/>
    </xf>
    <xf numFmtId="0" fontId="5" fillId="0" borderId="6" xfId="54" applyFont="1" applyBorder="1" applyAlignment="1">
      <alignment horizontal="left" vertical="center" wrapText="1"/>
      <protection locked="0"/>
    </xf>
    <xf numFmtId="0" fontId="5" fillId="0" borderId="9" xfId="54" applyFont="1" applyBorder="1" applyAlignment="1">
      <alignment horizontal="left" vertical="center" wrapText="1"/>
      <protection locked="0"/>
    </xf>
    <xf numFmtId="0" fontId="6" fillId="32" borderId="0" xfId="54" applyFont="1" applyFill="1" applyAlignment="1">
      <alignment horizontal="center" vertical="center" wrapText="1"/>
      <protection locked="0"/>
    </xf>
    <xf numFmtId="0" fontId="6" fillId="32" borderId="0" xfId="54" applyFont="1" applyFill="1" applyAlignment="1">
      <alignment horizontal="center" vertical="center"/>
      <protection locked="0"/>
    </xf>
    <xf numFmtId="0" fontId="6" fillId="0" borderId="9" xfId="54" applyFont="1" applyBorder="1" applyAlignment="1">
      <alignment horizontal="center" vertical="center"/>
      <protection locked="0"/>
    </xf>
    <xf numFmtId="0" fontId="6" fillId="32" borderId="5" xfId="54" applyFont="1" applyFill="1" applyBorder="1" applyAlignment="1">
      <alignment horizontal="center" vertical="center"/>
      <protection locked="0"/>
    </xf>
    <xf numFmtId="0" fontId="6" fillId="0" borderId="7" xfId="54" applyFont="1" applyBorder="1" applyAlignment="1">
      <alignment horizontal="center" vertical="center"/>
      <protection locked="0"/>
    </xf>
    <xf numFmtId="0" fontId="14" fillId="0" borderId="0" xfId="54" applyFont="1" applyAlignment="1">
      <alignment horizontal="center" vertical="center"/>
      <protection locked="0"/>
    </xf>
    <xf numFmtId="0" fontId="65" fillId="0" borderId="0" xfId="0" applyFont="1" applyAlignment="1" applyProtection="1">
      <alignment horizontal="center" vertical="center"/>
      <protection locked="0"/>
    </xf>
    <xf numFmtId="0" fontId="6" fillId="0" borderId="0" xfId="0" applyFont="1" applyAlignment="1" applyProtection="1">
      <alignment horizontal="center" vertical="center"/>
      <protection locked="0"/>
    </xf>
    <xf numFmtId="0" fontId="63" fillId="0" borderId="0" xfId="0" applyFont="1" applyAlignment="1" applyProtection="1">
      <alignment horizontal="center" vertical="center"/>
      <protection locked="0"/>
    </xf>
    <xf numFmtId="0" fontId="6" fillId="0" borderId="0" xfId="0" applyFont="1" applyProtection="1">
      <alignment vertical="center"/>
      <protection locked="0"/>
    </xf>
    <xf numFmtId="0" fontId="6" fillId="0" borderId="0" xfId="0" applyFont="1" applyAlignment="1" applyProtection="1">
      <alignment horizontal="center" vertical="center" wrapText="1"/>
      <protection locked="0"/>
    </xf>
    <xf numFmtId="0" fontId="69" fillId="0" borderId="0" xfId="0" applyFont="1" applyAlignment="1" applyProtection="1">
      <alignment horizontal="center" vertical="center" wrapText="1"/>
      <protection locked="0"/>
    </xf>
    <xf numFmtId="0" fontId="58" fillId="0" borderId="0" xfId="0" applyFont="1" applyAlignment="1" applyProtection="1">
      <alignment horizontal="center" vertical="center"/>
      <protection locked="0"/>
    </xf>
    <xf numFmtId="0" fontId="28" fillId="0" borderId="0" xfId="0" applyFont="1" applyProtection="1">
      <alignment vertical="center"/>
      <protection locked="0"/>
    </xf>
    <xf numFmtId="0" fontId="1" fillId="0" borderId="0" xfId="0" applyFont="1" applyAlignment="1" applyProtection="1">
      <alignment horizontal="center" vertical="center"/>
      <protection locked="0"/>
    </xf>
    <xf numFmtId="0" fontId="55" fillId="0" borderId="0" xfId="0" applyFont="1" applyAlignment="1" applyProtection="1">
      <alignment horizontal="left" vertical="center"/>
      <protection locked="0"/>
    </xf>
    <xf numFmtId="49" fontId="55" fillId="0" borderId="0" xfId="0" applyNumberFormat="1" applyFont="1" applyAlignment="1" applyProtection="1">
      <alignment horizontal="center" vertical="center"/>
      <protection locked="0"/>
    </xf>
    <xf numFmtId="0" fontId="55" fillId="0" borderId="0" xfId="0" applyFont="1" applyAlignment="1" applyProtection="1">
      <alignment horizontal="center" vertical="center"/>
      <protection locked="0"/>
    </xf>
    <xf numFmtId="0" fontId="62" fillId="33" borderId="35" xfId="0" applyFont="1" applyFill="1" applyBorder="1" applyAlignment="1" applyProtection="1">
      <alignment horizontal="left" vertical="center"/>
      <protection locked="0"/>
    </xf>
    <xf numFmtId="49" fontId="62" fillId="33" borderId="26" xfId="0" applyNumberFormat="1" applyFont="1" applyFill="1" applyBorder="1" applyAlignment="1" applyProtection="1">
      <alignment horizontal="center" vertical="center"/>
      <protection locked="0"/>
    </xf>
    <xf numFmtId="0" fontId="62" fillId="33" borderId="26" xfId="0" applyFont="1" applyFill="1" applyBorder="1" applyAlignment="1" applyProtection="1">
      <alignment horizontal="center" vertical="center"/>
      <protection locked="0"/>
    </xf>
    <xf numFmtId="0" fontId="62" fillId="8" borderId="36" xfId="0" applyFont="1" applyFill="1" applyBorder="1" applyAlignment="1" applyProtection="1">
      <alignment horizontal="left" vertical="center"/>
      <protection locked="0"/>
    </xf>
    <xf numFmtId="49" fontId="62" fillId="8" borderId="0" xfId="0" applyNumberFormat="1" applyFont="1" applyFill="1" applyAlignment="1" applyProtection="1">
      <alignment horizontal="center" vertical="center"/>
      <protection locked="0"/>
    </xf>
    <xf numFmtId="0" fontId="62" fillId="8" borderId="0" xfId="0" applyFont="1" applyFill="1" applyAlignment="1" applyProtection="1">
      <alignment horizontal="center" vertical="center"/>
      <protection locked="0"/>
    </xf>
    <xf numFmtId="0" fontId="62" fillId="33" borderId="36" xfId="0" applyFont="1" applyFill="1" applyBorder="1" applyAlignment="1" applyProtection="1">
      <alignment horizontal="left" vertical="center"/>
      <protection locked="0"/>
    </xf>
    <xf numFmtId="49" fontId="62" fillId="33" borderId="0" xfId="0" applyNumberFormat="1" applyFont="1" applyFill="1" applyAlignment="1" applyProtection="1">
      <alignment horizontal="center" vertical="center"/>
      <protection locked="0"/>
    </xf>
    <xf numFmtId="0" fontId="62" fillId="33" borderId="0" xfId="0" applyFont="1" applyFill="1" applyAlignment="1" applyProtection="1">
      <alignment horizontal="center" vertical="center"/>
      <protection locked="0"/>
    </xf>
    <xf numFmtId="0" fontId="62" fillId="34" borderId="36" xfId="0" applyFont="1" applyFill="1" applyBorder="1" applyAlignment="1" applyProtection="1">
      <alignment horizontal="left" vertical="center"/>
      <protection locked="0"/>
    </xf>
    <xf numFmtId="49" fontId="62" fillId="34" borderId="0" xfId="0" applyNumberFormat="1" applyFont="1" applyFill="1" applyAlignment="1" applyProtection="1">
      <alignment horizontal="center" vertical="center"/>
      <protection locked="0"/>
    </xf>
    <xf numFmtId="0" fontId="62" fillId="34" borderId="0" xfId="0" applyFont="1" applyFill="1" applyAlignment="1" applyProtection="1">
      <alignment horizontal="center" vertical="center"/>
      <protection locked="0"/>
    </xf>
    <xf numFmtId="0" fontId="55" fillId="8" borderId="36" xfId="0" applyFont="1" applyFill="1" applyBorder="1" applyAlignment="1" applyProtection="1">
      <alignment horizontal="left" vertical="center"/>
      <protection locked="0"/>
    </xf>
    <xf numFmtId="49" fontId="55" fillId="8" borderId="0" xfId="0" applyNumberFormat="1" applyFont="1" applyFill="1" applyAlignment="1" applyProtection="1">
      <alignment horizontal="center" vertical="center"/>
      <protection locked="0"/>
    </xf>
    <xf numFmtId="0" fontId="55" fillId="8" borderId="0" xfId="0" applyFont="1" applyFill="1" applyAlignment="1" applyProtection="1">
      <alignment horizontal="center" vertical="center"/>
      <protection locked="0"/>
    </xf>
    <xf numFmtId="0" fontId="62" fillId="35" borderId="36" xfId="0" applyFont="1" applyFill="1" applyBorder="1" applyAlignment="1" applyProtection="1">
      <alignment horizontal="left" vertical="center"/>
      <protection locked="0"/>
    </xf>
    <xf numFmtId="49" fontId="62" fillId="35" borderId="0" xfId="0" applyNumberFormat="1" applyFont="1" applyFill="1" applyAlignment="1" applyProtection="1">
      <alignment horizontal="center" vertical="center"/>
      <protection locked="0"/>
    </xf>
    <xf numFmtId="0" fontId="62" fillId="35" borderId="0" xfId="0" applyFont="1" applyFill="1" applyAlignment="1" applyProtection="1">
      <alignment horizontal="center" vertical="center"/>
      <protection locked="0"/>
    </xf>
    <xf numFmtId="0" fontId="62" fillId="36" borderId="36" xfId="0" applyFont="1" applyFill="1" applyBorder="1" applyAlignment="1" applyProtection="1">
      <alignment horizontal="left" vertical="center"/>
      <protection locked="0"/>
    </xf>
    <xf numFmtId="49" fontId="62" fillId="36" borderId="0" xfId="0" applyNumberFormat="1" applyFont="1" applyFill="1" applyAlignment="1" applyProtection="1">
      <alignment horizontal="center" vertical="center"/>
      <protection locked="0"/>
    </xf>
    <xf numFmtId="0" fontId="62" fillId="36" borderId="0" xfId="0" applyFont="1" applyFill="1" applyAlignment="1" applyProtection="1">
      <alignment horizontal="center" vertical="center"/>
      <protection locked="0"/>
    </xf>
    <xf numFmtId="0" fontId="62" fillId="37" borderId="36" xfId="0" applyFont="1" applyFill="1" applyBorder="1" applyAlignment="1" applyProtection="1">
      <alignment horizontal="left" vertical="center"/>
      <protection locked="0"/>
    </xf>
    <xf numFmtId="49" fontId="62" fillId="37" borderId="0" xfId="0" applyNumberFormat="1" applyFont="1" applyFill="1" applyAlignment="1" applyProtection="1">
      <alignment horizontal="center" vertical="center"/>
      <protection locked="0"/>
    </xf>
    <xf numFmtId="0" fontId="62" fillId="37" borderId="0" xfId="0" applyFont="1" applyFill="1" applyAlignment="1" applyProtection="1">
      <alignment horizontal="center" vertical="center"/>
      <protection locked="0"/>
    </xf>
    <xf numFmtId="0" fontId="62" fillId="8" borderId="37" xfId="0" applyFont="1" applyFill="1" applyBorder="1" applyAlignment="1" applyProtection="1">
      <alignment horizontal="left" vertical="center"/>
      <protection locked="0"/>
    </xf>
    <xf numFmtId="49" fontId="62" fillId="8" borderId="30" xfId="0" applyNumberFormat="1" applyFont="1" applyFill="1" applyBorder="1" applyAlignment="1" applyProtection="1">
      <alignment horizontal="center" vertical="center"/>
      <protection locked="0"/>
    </xf>
    <xf numFmtId="0" fontId="62" fillId="8" borderId="30" xfId="0" applyFont="1" applyFill="1" applyBorder="1" applyAlignment="1" applyProtection="1">
      <alignment horizontal="center" vertical="center"/>
      <protection locked="0"/>
    </xf>
    <xf numFmtId="0" fontId="62" fillId="38" borderId="35" xfId="0" applyFont="1" applyFill="1" applyBorder="1" applyAlignment="1" applyProtection="1">
      <alignment horizontal="left" vertical="center"/>
      <protection locked="0"/>
    </xf>
    <xf numFmtId="49" fontId="62" fillId="38" borderId="26" xfId="0" applyNumberFormat="1" applyFont="1" applyFill="1" applyBorder="1" applyAlignment="1" applyProtection="1">
      <alignment horizontal="center" vertical="center"/>
      <protection locked="0"/>
    </xf>
    <xf numFmtId="0" fontId="62" fillId="38" borderId="26" xfId="0" applyFont="1" applyFill="1" applyBorder="1" applyAlignment="1" applyProtection="1">
      <alignment horizontal="center" vertical="center"/>
      <protection locked="0"/>
    </xf>
    <xf numFmtId="0" fontId="62" fillId="38" borderId="36" xfId="0" applyFont="1" applyFill="1" applyBorder="1" applyAlignment="1" applyProtection="1">
      <alignment horizontal="left" vertical="center"/>
      <protection locked="0"/>
    </xf>
    <xf numFmtId="49" fontId="62" fillId="38" borderId="0" xfId="0" applyNumberFormat="1" applyFont="1" applyFill="1" applyAlignment="1" applyProtection="1">
      <alignment horizontal="center" vertical="center"/>
      <protection locked="0"/>
    </xf>
    <xf numFmtId="0" fontId="62" fillId="38" borderId="0" xfId="0" applyFont="1" applyFill="1" applyAlignment="1" applyProtection="1">
      <alignment horizontal="center" vertical="center"/>
      <protection locked="0"/>
    </xf>
    <xf numFmtId="0" fontId="62" fillId="38" borderId="37" xfId="0" applyFont="1" applyFill="1" applyBorder="1" applyAlignment="1" applyProtection="1">
      <alignment horizontal="left" vertical="center"/>
      <protection locked="0"/>
    </xf>
    <xf numFmtId="49" fontId="62" fillId="38" borderId="30" xfId="0" applyNumberFormat="1" applyFont="1" applyFill="1" applyBorder="1" applyAlignment="1" applyProtection="1">
      <alignment horizontal="center" vertical="center"/>
      <protection locked="0"/>
    </xf>
    <xf numFmtId="0" fontId="62" fillId="38" borderId="30" xfId="0" applyFont="1" applyFill="1" applyBorder="1" applyAlignment="1" applyProtection="1">
      <alignment horizontal="center" vertical="center"/>
      <protection locked="0"/>
    </xf>
    <xf numFmtId="0" fontId="62" fillId="8" borderId="35" xfId="0" applyFont="1" applyFill="1" applyBorder="1" applyAlignment="1" applyProtection="1">
      <alignment horizontal="left" vertical="center"/>
      <protection locked="0"/>
    </xf>
    <xf numFmtId="49" fontId="62" fillId="8" borderId="26" xfId="0" applyNumberFormat="1" applyFont="1" applyFill="1" applyBorder="1" applyAlignment="1" applyProtection="1">
      <alignment horizontal="center" vertical="center"/>
      <protection locked="0"/>
    </xf>
    <xf numFmtId="0" fontId="62" fillId="8" borderId="26" xfId="0" applyFont="1" applyFill="1" applyBorder="1" applyAlignment="1" applyProtection="1">
      <alignment horizontal="center" vertical="center"/>
      <protection locked="0"/>
    </xf>
    <xf numFmtId="0" fontId="62" fillId="39" borderId="36" xfId="0" applyFont="1" applyFill="1" applyBorder="1" applyAlignment="1" applyProtection="1">
      <alignment horizontal="left" vertical="center"/>
      <protection locked="0"/>
    </xf>
    <xf numFmtId="49" fontId="62" fillId="39" borderId="0" xfId="0" applyNumberFormat="1" applyFont="1" applyFill="1" applyAlignment="1" applyProtection="1">
      <alignment horizontal="center" vertical="center"/>
      <protection locked="0"/>
    </xf>
    <xf numFmtId="0" fontId="62" fillId="39" borderId="0" xfId="0" applyFont="1" applyFill="1" applyAlignment="1" applyProtection="1">
      <alignment horizontal="center" vertical="center"/>
      <protection locked="0"/>
    </xf>
    <xf numFmtId="49" fontId="62" fillId="0" borderId="0" xfId="0" applyNumberFormat="1" applyFont="1" applyAlignment="1" applyProtection="1">
      <alignment horizontal="center" vertical="center"/>
      <protection locked="0"/>
    </xf>
    <xf numFmtId="49" fontId="70" fillId="2" borderId="0" xfId="0" applyNumberFormat="1" applyFont="1" applyFill="1" applyAlignment="1" applyProtection="1">
      <alignment horizontal="center" vertical="center"/>
      <protection locked="0"/>
    </xf>
    <xf numFmtId="0" fontId="62" fillId="33" borderId="31" xfId="0" applyFont="1" applyFill="1" applyBorder="1" applyAlignment="1" applyProtection="1">
      <alignment horizontal="center" vertical="center"/>
      <protection locked="0"/>
    </xf>
    <xf numFmtId="0" fontId="62" fillId="8" borderId="32" xfId="0" applyFont="1" applyFill="1" applyBorder="1" applyAlignment="1" applyProtection="1">
      <alignment horizontal="center" vertical="center"/>
      <protection locked="0"/>
    </xf>
    <xf numFmtId="0" fontId="62" fillId="33" borderId="32" xfId="0" applyFont="1" applyFill="1" applyBorder="1" applyAlignment="1" applyProtection="1">
      <alignment horizontal="center" vertical="center"/>
      <protection locked="0"/>
    </xf>
    <xf numFmtId="0" fontId="62" fillId="34" borderId="32" xfId="0" applyFont="1" applyFill="1" applyBorder="1" applyAlignment="1" applyProtection="1">
      <alignment horizontal="center" vertical="center"/>
      <protection locked="0"/>
    </xf>
    <xf numFmtId="0" fontId="55" fillId="8" borderId="32" xfId="0" applyFont="1" applyFill="1" applyBorder="1" applyAlignment="1" applyProtection="1">
      <alignment horizontal="center" vertical="center"/>
      <protection locked="0"/>
    </xf>
    <xf numFmtId="0" fontId="62" fillId="35" borderId="32" xfId="0" applyFont="1" applyFill="1" applyBorder="1" applyAlignment="1" applyProtection="1">
      <alignment horizontal="center" vertical="center"/>
      <protection locked="0"/>
    </xf>
    <xf numFmtId="0" fontId="62" fillId="36" borderId="32" xfId="0" applyFont="1" applyFill="1" applyBorder="1" applyAlignment="1" applyProtection="1">
      <alignment horizontal="center" vertical="center"/>
      <protection locked="0"/>
    </xf>
    <xf numFmtId="0" fontId="62" fillId="37" borderId="32" xfId="0" applyFont="1" applyFill="1" applyBorder="1" applyAlignment="1" applyProtection="1">
      <alignment horizontal="center" vertical="center"/>
      <protection locked="0"/>
    </xf>
    <xf numFmtId="0" fontId="62" fillId="8" borderId="33" xfId="0" applyFont="1" applyFill="1" applyBorder="1" applyAlignment="1" applyProtection="1">
      <alignment horizontal="center" vertical="center"/>
      <protection locked="0"/>
    </xf>
    <xf numFmtId="0" fontId="62" fillId="38" borderId="31" xfId="0" applyFont="1" applyFill="1" applyBorder="1" applyAlignment="1" applyProtection="1">
      <alignment horizontal="center" vertical="center"/>
      <protection locked="0"/>
    </xf>
    <xf numFmtId="0" fontId="62" fillId="38" borderId="32" xfId="0" applyFont="1" applyFill="1" applyBorder="1" applyAlignment="1" applyProtection="1">
      <alignment horizontal="center" vertical="center"/>
      <protection locked="0"/>
    </xf>
    <xf numFmtId="179" fontId="62" fillId="33" borderId="0" xfId="0" applyNumberFormat="1" applyFont="1" applyFill="1" applyAlignment="1" applyProtection="1">
      <alignment horizontal="center" vertical="center"/>
      <protection locked="0"/>
    </xf>
    <xf numFmtId="0" fontId="62" fillId="38" borderId="33" xfId="0" applyFont="1" applyFill="1" applyBorder="1" applyAlignment="1" applyProtection="1">
      <alignment horizontal="center" vertical="center"/>
      <protection locked="0"/>
    </xf>
    <xf numFmtId="0" fontId="62" fillId="8" borderId="31" xfId="0" applyFont="1" applyFill="1" applyBorder="1" applyAlignment="1" applyProtection="1">
      <alignment horizontal="center" vertical="center"/>
      <protection locked="0"/>
    </xf>
    <xf numFmtId="0" fontId="62" fillId="39" borderId="32" xfId="0" applyFont="1" applyFill="1" applyBorder="1" applyAlignment="1" applyProtection="1">
      <alignment horizontal="center" vertical="center"/>
      <protection locked="0"/>
    </xf>
    <xf numFmtId="0" fontId="62" fillId="0" borderId="32" xfId="0" applyFont="1" applyBorder="1" applyAlignment="1" applyProtection="1">
      <alignment horizontal="center" vertical="center"/>
      <protection locked="0"/>
    </xf>
    <xf numFmtId="0" fontId="62" fillId="8" borderId="32" xfId="0" applyFont="1" applyFill="1" applyBorder="1" applyAlignment="1" applyProtection="1">
      <alignment horizontal="center" vertical="center" wrapText="1"/>
      <protection locked="0"/>
    </xf>
    <xf numFmtId="0" fontId="62" fillId="0" borderId="32" xfId="0" applyFont="1" applyBorder="1" applyAlignment="1" applyProtection="1">
      <alignment horizontal="center" vertical="center" wrapText="1"/>
      <protection locked="0"/>
    </xf>
    <xf numFmtId="0" fontId="40" fillId="8" borderId="27" xfId="54" applyFont="1" applyFill="1" applyBorder="1" applyAlignment="1">
      <alignment horizontal="center" vertical="center" wrapText="1"/>
      <protection locked="0"/>
    </xf>
    <xf numFmtId="0" fontId="32" fillId="34" borderId="35" xfId="54" applyFill="1" applyBorder="1" applyAlignment="1">
      <alignment horizontal="left" vertical="center" wrapText="1"/>
      <protection locked="0"/>
    </xf>
    <xf numFmtId="0" fontId="32" fillId="34" borderId="26" xfId="54" applyFill="1" applyBorder="1" applyAlignment="1">
      <alignment horizontal="left" vertical="center" wrapText="1"/>
      <protection locked="0"/>
    </xf>
    <xf numFmtId="0" fontId="32" fillId="8" borderId="27" xfId="54" applyFill="1" applyBorder="1" applyAlignment="1">
      <alignment horizontal="center" vertical="center" wrapText="1"/>
      <protection locked="0"/>
    </xf>
    <xf numFmtId="0" fontId="32" fillId="34" borderId="36" xfId="54" applyFill="1" applyBorder="1" applyAlignment="1">
      <alignment horizontal="left" vertical="center" wrapText="1"/>
      <protection locked="0"/>
    </xf>
    <xf numFmtId="0" fontId="32" fillId="34" borderId="0" xfId="54" applyFill="1" applyAlignment="1">
      <alignment horizontal="left" vertical="center" wrapText="1"/>
      <protection locked="0"/>
    </xf>
    <xf numFmtId="0" fontId="32" fillId="34" borderId="37" xfId="54" applyFill="1" applyBorder="1" applyAlignment="1">
      <alignment horizontal="left" vertical="center" wrapText="1"/>
      <protection locked="0"/>
    </xf>
    <xf numFmtId="0" fontId="32" fillId="34" borderId="30" xfId="54" applyFill="1" applyBorder="1" applyAlignment="1">
      <alignment horizontal="left" vertical="center" wrapText="1"/>
      <protection locked="0"/>
    </xf>
    <xf numFmtId="0" fontId="14" fillId="35" borderId="35" xfId="54" applyFont="1" applyFill="1" applyBorder="1" applyAlignment="1">
      <alignment horizontal="left" vertical="center" wrapText="1"/>
      <protection locked="0"/>
    </xf>
    <xf numFmtId="0" fontId="14" fillId="35" borderId="26" xfId="54" applyFont="1" applyFill="1" applyBorder="1" applyAlignment="1">
      <alignment horizontal="left" vertical="center" wrapText="1"/>
      <protection locked="0"/>
    </xf>
    <xf numFmtId="0" fontId="14" fillId="35" borderId="36" xfId="54" applyFont="1" applyFill="1" applyBorder="1" applyAlignment="1">
      <alignment horizontal="left" vertical="center" wrapText="1"/>
      <protection locked="0"/>
    </xf>
    <xf numFmtId="0" fontId="14" fillId="35" borderId="0" xfId="54" applyFont="1" applyFill="1" applyAlignment="1">
      <alignment horizontal="left" vertical="center" wrapText="1"/>
      <protection locked="0"/>
    </xf>
    <xf numFmtId="0" fontId="14" fillId="35" borderId="37" xfId="54" applyFont="1" applyFill="1" applyBorder="1" applyAlignment="1">
      <alignment horizontal="left" vertical="center" wrapText="1"/>
      <protection locked="0"/>
    </xf>
    <xf numFmtId="0" fontId="14" fillId="35" borderId="30" xfId="54" applyFont="1" applyFill="1" applyBorder="1" applyAlignment="1">
      <alignment horizontal="left" vertical="center" wrapText="1"/>
      <protection locked="0"/>
    </xf>
    <xf numFmtId="0" fontId="32" fillId="36" borderId="35" xfId="54" applyFill="1" applyBorder="1" applyAlignment="1">
      <alignment horizontal="left" vertical="center" wrapText="1"/>
      <protection locked="0"/>
    </xf>
    <xf numFmtId="0" fontId="32" fillId="36" borderId="26" xfId="54" applyFill="1" applyBorder="1" applyAlignment="1">
      <alignment horizontal="left" vertical="center" wrapText="1"/>
      <protection locked="0"/>
    </xf>
    <xf numFmtId="0" fontId="32" fillId="36" borderId="36" xfId="54" applyFill="1" applyBorder="1" applyAlignment="1">
      <alignment horizontal="left" vertical="center" wrapText="1"/>
      <protection locked="0"/>
    </xf>
    <xf numFmtId="0" fontId="32" fillId="36" borderId="0" xfId="54" applyFill="1" applyAlignment="1">
      <alignment horizontal="left" vertical="center" wrapText="1"/>
      <protection locked="0"/>
    </xf>
    <xf numFmtId="0" fontId="32" fillId="36" borderId="37" xfId="54" applyFill="1" applyBorder="1" applyAlignment="1">
      <alignment horizontal="left" vertical="center" wrapText="1"/>
      <protection locked="0"/>
    </xf>
    <xf numFmtId="0" fontId="32" fillId="36" borderId="30" xfId="54" applyFill="1" applyBorder="1" applyAlignment="1">
      <alignment horizontal="left" vertical="center" wrapText="1"/>
      <protection locked="0"/>
    </xf>
    <xf numFmtId="0" fontId="32" fillId="37" borderId="35" xfId="54" applyFill="1" applyBorder="1" applyAlignment="1">
      <alignment horizontal="left" vertical="center" wrapText="1"/>
      <protection locked="0"/>
    </xf>
    <xf numFmtId="0" fontId="32" fillId="37" borderId="26" xfId="54" applyFill="1" applyBorder="1" applyAlignment="1">
      <alignment horizontal="left" vertical="center" wrapText="1"/>
      <protection locked="0"/>
    </xf>
    <xf numFmtId="0" fontId="32" fillId="37" borderId="36" xfId="54" applyFill="1" applyBorder="1" applyAlignment="1">
      <alignment horizontal="left" vertical="center" wrapText="1"/>
      <protection locked="0"/>
    </xf>
    <xf numFmtId="0" fontId="32" fillId="37" borderId="0" xfId="54" applyFill="1" applyAlignment="1">
      <alignment horizontal="left" vertical="center" wrapText="1"/>
      <protection locked="0"/>
    </xf>
    <xf numFmtId="0" fontId="32" fillId="37" borderId="37" xfId="54" applyFill="1" applyBorder="1" applyAlignment="1">
      <alignment horizontal="left" vertical="center" wrapText="1"/>
      <protection locked="0"/>
    </xf>
    <xf numFmtId="0" fontId="32" fillId="37" borderId="30" xfId="54" applyFill="1" applyBorder="1" applyAlignment="1">
      <alignment horizontal="left" vertical="center" wrapText="1"/>
      <protection locked="0"/>
    </xf>
    <xf numFmtId="0" fontId="40" fillId="38" borderId="31" xfId="54" applyFont="1" applyFill="1" applyBorder="1" applyAlignment="1">
      <alignment horizontal="center" vertical="center" wrapText="1"/>
      <protection locked="0"/>
    </xf>
    <xf numFmtId="0" fontId="32" fillId="38" borderId="35" xfId="54" applyFill="1" applyBorder="1" applyAlignment="1">
      <alignment horizontal="left" vertical="center" wrapText="1"/>
      <protection locked="0"/>
    </xf>
    <xf numFmtId="0" fontId="6" fillId="0" borderId="35" xfId="54" applyFont="1" applyBorder="1" applyAlignment="1">
      <alignment horizontal="left" vertical="center" wrapText="1"/>
      <protection locked="0"/>
    </xf>
    <xf numFmtId="0" fontId="6" fillId="0" borderId="31" xfId="54" applyFont="1" applyBorder="1" applyAlignment="1">
      <alignment horizontal="left" vertical="center" wrapText="1"/>
      <protection locked="0"/>
    </xf>
    <xf numFmtId="0" fontId="32" fillId="38" borderId="32" xfId="54" applyFill="1" applyBorder="1" applyAlignment="1">
      <alignment horizontal="center" vertical="center" wrapText="1"/>
      <protection locked="0"/>
    </xf>
    <xf numFmtId="0" fontId="32" fillId="38" borderId="36" xfId="54" applyFill="1" applyBorder="1" applyAlignment="1">
      <alignment horizontal="left" vertical="center" wrapText="1"/>
      <protection locked="0"/>
    </xf>
    <xf numFmtId="0" fontId="6" fillId="0" borderId="36" xfId="54" applyFont="1" applyBorder="1" applyAlignment="1">
      <alignment horizontal="left" vertical="center" wrapText="1"/>
      <protection locked="0"/>
    </xf>
    <xf numFmtId="0" fontId="6" fillId="0" borderId="32" xfId="54" applyFont="1" applyBorder="1" applyAlignment="1">
      <alignment horizontal="left" vertical="center" wrapText="1"/>
      <protection locked="0"/>
    </xf>
    <xf numFmtId="0" fontId="32" fillId="38" borderId="33" xfId="54" applyFill="1" applyBorder="1" applyAlignment="1">
      <alignment horizontal="center" vertical="center" wrapText="1"/>
      <protection locked="0"/>
    </xf>
    <xf numFmtId="0" fontId="32" fillId="38" borderId="37" xfId="54" applyFill="1" applyBorder="1" applyAlignment="1">
      <alignment horizontal="left" vertical="center" wrapText="1"/>
      <protection locked="0"/>
    </xf>
    <xf numFmtId="0" fontId="6" fillId="0" borderId="37" xfId="54" applyFont="1" applyBorder="1" applyAlignment="1">
      <alignment horizontal="left" vertical="center" wrapText="1"/>
      <protection locked="0"/>
    </xf>
    <xf numFmtId="0" fontId="6" fillId="0" borderId="33" xfId="54" applyFont="1" applyBorder="1" applyAlignment="1">
      <alignment horizontal="left" vertical="center" wrapText="1"/>
      <protection locked="0"/>
    </xf>
    <xf numFmtId="0" fontId="40" fillId="8" borderId="31" xfId="54" applyFont="1" applyFill="1" applyBorder="1" applyAlignment="1">
      <alignment horizontal="center" vertical="center" wrapText="1"/>
      <protection locked="0"/>
    </xf>
    <xf numFmtId="0" fontId="32" fillId="8" borderId="31" xfId="54" applyFill="1" applyBorder="1" applyAlignment="1">
      <alignment horizontal="left" vertical="center" wrapText="1"/>
      <protection locked="0"/>
    </xf>
    <xf numFmtId="0" fontId="32" fillId="39" borderId="35" xfId="54" applyFill="1" applyBorder="1" applyAlignment="1">
      <alignment horizontal="left" vertical="center" wrapText="1"/>
      <protection locked="0"/>
    </xf>
    <xf numFmtId="0" fontId="32" fillId="39" borderId="31" xfId="54" applyFill="1" applyBorder="1" applyAlignment="1">
      <alignment horizontal="left" vertical="center" wrapText="1"/>
      <protection locked="0"/>
    </xf>
    <xf numFmtId="0" fontId="40" fillId="8" borderId="32" xfId="54" applyFont="1" applyFill="1" applyBorder="1" applyAlignment="1">
      <alignment horizontal="center" vertical="center" wrapText="1"/>
      <protection locked="0"/>
    </xf>
    <xf numFmtId="0" fontId="32" fillId="8" borderId="32" xfId="54" applyFill="1" applyBorder="1" applyAlignment="1">
      <alignment horizontal="left" vertical="center" wrapText="1"/>
      <protection locked="0"/>
    </xf>
    <xf numFmtId="0" fontId="32" fillId="39" borderId="36" xfId="54" applyFill="1" applyBorder="1" applyAlignment="1">
      <alignment horizontal="left" vertical="center" wrapText="1"/>
      <protection locked="0"/>
    </xf>
    <xf numFmtId="0" fontId="32" fillId="39" borderId="32" xfId="54" applyFill="1" applyBorder="1" applyAlignment="1">
      <alignment horizontal="left" vertical="center" wrapText="1"/>
      <protection locked="0"/>
    </xf>
    <xf numFmtId="0" fontId="52" fillId="8" borderId="31" xfId="54" applyFont="1" applyFill="1" applyBorder="1" applyAlignment="1">
      <alignment horizontal="center" vertical="center" wrapText="1"/>
      <protection locked="0"/>
    </xf>
    <xf numFmtId="0" fontId="31" fillId="8" borderId="31" xfId="54" applyFont="1" applyFill="1" applyBorder="1" applyAlignment="1">
      <alignment horizontal="left" vertical="center" wrapText="1"/>
      <protection locked="0"/>
    </xf>
    <xf numFmtId="0" fontId="31" fillId="8" borderId="35" xfId="54" applyFont="1" applyFill="1" applyBorder="1" applyAlignment="1">
      <alignment horizontal="left" vertical="center" wrapText="1"/>
      <protection locked="0"/>
    </xf>
    <xf numFmtId="0" fontId="52" fillId="8" borderId="32" xfId="54" applyFont="1" applyFill="1" applyBorder="1" applyAlignment="1">
      <alignment horizontal="center" vertical="center" wrapText="1"/>
      <protection locked="0"/>
    </xf>
    <xf numFmtId="0" fontId="31" fillId="8" borderId="32" xfId="54" applyFont="1" applyFill="1" applyBorder="1" applyAlignment="1">
      <alignment horizontal="left" vertical="center" wrapText="1"/>
      <protection locked="0"/>
    </xf>
    <xf numFmtId="0" fontId="31" fillId="8" borderId="36" xfId="54" applyFont="1" applyFill="1" applyBorder="1" applyAlignment="1">
      <alignment horizontal="left" vertical="center" wrapText="1"/>
      <protection locked="0"/>
    </xf>
    <xf numFmtId="0" fontId="32" fillId="34" borderId="31" xfId="54" applyFill="1" applyBorder="1" applyAlignment="1">
      <alignment horizontal="left" vertical="center" wrapText="1"/>
      <protection locked="0"/>
    </xf>
    <xf numFmtId="0" fontId="32" fillId="34" borderId="32" xfId="54" applyFill="1" applyBorder="1" applyAlignment="1">
      <alignment horizontal="left" vertical="center" wrapText="1"/>
      <protection locked="0"/>
    </xf>
    <xf numFmtId="0" fontId="32" fillId="34" borderId="33" xfId="54" applyFill="1" applyBorder="1" applyAlignment="1">
      <alignment horizontal="left" vertical="center" wrapText="1"/>
      <protection locked="0"/>
    </xf>
    <xf numFmtId="0" fontId="14" fillId="35" borderId="31" xfId="54" applyFont="1" applyFill="1" applyBorder="1" applyAlignment="1">
      <alignment horizontal="left" vertical="center" wrapText="1"/>
      <protection locked="0"/>
    </xf>
    <xf numFmtId="0" fontId="14" fillId="35" borderId="32" xfId="54" applyFont="1" applyFill="1" applyBorder="1" applyAlignment="1">
      <alignment horizontal="left" vertical="center" wrapText="1"/>
      <protection locked="0"/>
    </xf>
    <xf numFmtId="0" fontId="14" fillId="35" borderId="33" xfId="54" applyFont="1" applyFill="1" applyBorder="1" applyAlignment="1">
      <alignment horizontal="left" vertical="center" wrapText="1"/>
      <protection locked="0"/>
    </xf>
    <xf numFmtId="0" fontId="32" fillId="36" borderId="31" xfId="54" applyFill="1" applyBorder="1" applyAlignment="1">
      <alignment horizontal="left" vertical="center" wrapText="1"/>
      <protection locked="0"/>
    </xf>
    <xf numFmtId="0" fontId="32" fillId="36" borderId="32" xfId="54" applyFill="1" applyBorder="1" applyAlignment="1">
      <alignment horizontal="left" vertical="center" wrapText="1"/>
      <protection locked="0"/>
    </xf>
    <xf numFmtId="0" fontId="32" fillId="36" borderId="33" xfId="54" applyFill="1" applyBorder="1" applyAlignment="1">
      <alignment horizontal="left" vertical="center" wrapText="1"/>
      <protection locked="0"/>
    </xf>
    <xf numFmtId="0" fontId="32" fillId="37" borderId="31" xfId="54" applyFill="1" applyBorder="1" applyAlignment="1">
      <alignment horizontal="left" vertical="center" wrapText="1"/>
      <protection locked="0"/>
    </xf>
    <xf numFmtId="0" fontId="32" fillId="37" borderId="32" xfId="54" applyFill="1" applyBorder="1" applyAlignment="1">
      <alignment horizontal="left" vertical="center" wrapText="1"/>
      <protection locked="0"/>
    </xf>
    <xf numFmtId="0" fontId="32" fillId="37" borderId="33" xfId="54" applyFill="1" applyBorder="1" applyAlignment="1">
      <alignment horizontal="left" vertical="center" wrapText="1"/>
      <protection locked="0"/>
    </xf>
    <xf numFmtId="0" fontId="5" fillId="0" borderId="0" xfId="54" applyFont="1" applyAlignment="1">
      <alignment vertical="center" wrapText="1"/>
      <protection locked="0"/>
    </xf>
    <xf numFmtId="0" fontId="5" fillId="0" borderId="36" xfId="54" applyFont="1" applyBorder="1" applyAlignment="1">
      <alignment vertical="center" wrapText="1"/>
      <protection locked="0"/>
    </xf>
    <xf numFmtId="0" fontId="56" fillId="0" borderId="0" xfId="0" applyFont="1" applyProtection="1">
      <alignment vertical="center"/>
      <protection locked="0"/>
    </xf>
    <xf numFmtId="0" fontId="55" fillId="0" borderId="0" xfId="0" applyFont="1" applyProtection="1">
      <alignment vertical="center"/>
      <protection locked="0"/>
    </xf>
    <xf numFmtId="0" fontId="44" fillId="0" borderId="0" xfId="0" applyFont="1" applyProtection="1">
      <alignment vertical="center"/>
      <protection locked="0"/>
    </xf>
    <xf numFmtId="178" fontId="55" fillId="0" borderId="0" xfId="0" applyNumberFormat="1" applyFont="1" applyProtection="1">
      <alignment vertical="center"/>
      <protection locked="0"/>
    </xf>
    <xf numFmtId="49" fontId="71" fillId="0" borderId="0" xfId="0" applyNumberFormat="1" applyFont="1" applyProtection="1">
      <alignment vertical="center"/>
      <protection locked="0"/>
    </xf>
    <xf numFmtId="14" fontId="55" fillId="0" borderId="0" xfId="0" applyNumberFormat="1" applyFont="1" applyProtection="1">
      <alignment vertical="center"/>
      <protection locked="0"/>
    </xf>
    <xf numFmtId="0" fontId="40" fillId="0" borderId="0" xfId="54" applyFont="1" applyAlignment="1">
      <alignment vertical="center" wrapText="1"/>
      <protection locked="0"/>
    </xf>
    <xf numFmtId="0" fontId="72" fillId="0" borderId="0" xfId="54" applyFont="1" applyAlignment="1">
      <alignment vertical="center" wrapText="1"/>
      <protection locked="0"/>
    </xf>
    <xf numFmtId="0" fontId="52" fillId="0" borderId="0" xfId="54" applyFont="1" applyAlignment="1">
      <alignment vertical="center" wrapText="1"/>
      <protection locked="0"/>
    </xf>
    <xf numFmtId="0" fontId="73" fillId="0" borderId="0" xfId="54" applyFont="1" applyAlignment="1">
      <alignment vertical="center" wrapText="1"/>
      <protection locked="0"/>
    </xf>
    <xf numFmtId="0" fontId="74" fillId="0" borderId="0" xfId="54" applyFont="1" applyAlignment="1">
      <alignment vertical="center"/>
      <protection locked="0"/>
    </xf>
    <xf numFmtId="0" fontId="62" fillId="40" borderId="35" xfId="0" applyFont="1" applyFill="1" applyBorder="1" applyAlignment="1" applyProtection="1">
      <alignment horizontal="left" vertical="center"/>
      <protection locked="0"/>
    </xf>
    <xf numFmtId="49" fontId="62" fillId="40" borderId="26" xfId="0" applyNumberFormat="1" applyFont="1" applyFill="1" applyBorder="1" applyAlignment="1" applyProtection="1">
      <alignment horizontal="center" vertical="center"/>
      <protection locked="0"/>
    </xf>
    <xf numFmtId="0" fontId="62" fillId="40" borderId="26" xfId="0" applyFont="1" applyFill="1" applyBorder="1" applyAlignment="1" applyProtection="1">
      <alignment horizontal="center" vertical="center"/>
      <protection locked="0"/>
    </xf>
    <xf numFmtId="0" fontId="62" fillId="0" borderId="36" xfId="0" applyFont="1" applyBorder="1" applyAlignment="1" applyProtection="1">
      <alignment horizontal="left" vertical="center"/>
      <protection locked="0"/>
    </xf>
    <xf numFmtId="0" fontId="62" fillId="40" borderId="36" xfId="0" applyFont="1" applyFill="1" applyBorder="1" applyAlignment="1" applyProtection="1">
      <alignment horizontal="left" vertical="center"/>
      <protection locked="0"/>
    </xf>
    <xf numFmtId="49" fontId="62" fillId="40" borderId="0" xfId="0" applyNumberFormat="1" applyFont="1" applyFill="1" applyAlignment="1" applyProtection="1">
      <alignment horizontal="center" vertical="center"/>
      <protection locked="0"/>
    </xf>
    <xf numFmtId="0" fontId="62" fillId="40" borderId="0" xfId="0" applyFont="1" applyFill="1" applyAlignment="1" applyProtection="1">
      <alignment horizontal="center" vertical="center"/>
      <protection locked="0"/>
    </xf>
    <xf numFmtId="0" fontId="62" fillId="41" borderId="36" xfId="0" applyFont="1" applyFill="1" applyBorder="1" applyAlignment="1" applyProtection="1">
      <alignment horizontal="left" vertical="center"/>
      <protection locked="0"/>
    </xf>
    <xf numFmtId="49" fontId="62" fillId="41" borderId="0" xfId="0" applyNumberFormat="1" applyFont="1" applyFill="1" applyAlignment="1" applyProtection="1">
      <alignment horizontal="center" vertical="center"/>
      <protection locked="0"/>
    </xf>
    <xf numFmtId="0" fontId="62" fillId="41" borderId="0" xfId="0" applyFont="1" applyFill="1" applyAlignment="1" applyProtection="1">
      <alignment horizontal="center" vertical="center"/>
      <protection locked="0"/>
    </xf>
    <xf numFmtId="0" fontId="62" fillId="40" borderId="37" xfId="0" applyFont="1" applyFill="1" applyBorder="1" applyAlignment="1" applyProtection="1">
      <alignment horizontal="left" vertical="center"/>
      <protection locked="0"/>
    </xf>
    <xf numFmtId="49" fontId="62" fillId="40" borderId="30" xfId="0" applyNumberFormat="1" applyFont="1" applyFill="1" applyBorder="1" applyAlignment="1" applyProtection="1">
      <alignment horizontal="center" vertical="center"/>
      <protection locked="0"/>
    </xf>
    <xf numFmtId="0" fontId="62" fillId="40" borderId="30" xfId="0" applyFont="1" applyFill="1" applyBorder="1" applyAlignment="1" applyProtection="1">
      <alignment horizontal="center" vertical="center"/>
      <protection locked="0"/>
    </xf>
    <xf numFmtId="0" fontId="75" fillId="0" borderId="0" xfId="54" applyFont="1" applyAlignment="1">
      <alignment vertical="center"/>
      <protection locked="0"/>
    </xf>
    <xf numFmtId="0" fontId="62" fillId="42" borderId="36" xfId="0" applyFont="1" applyFill="1" applyBorder="1" applyAlignment="1" applyProtection="1">
      <alignment horizontal="left" vertical="center"/>
      <protection locked="0"/>
    </xf>
    <xf numFmtId="49" fontId="62" fillId="3" borderId="0" xfId="0" applyNumberFormat="1" applyFont="1" applyFill="1" applyAlignment="1" applyProtection="1">
      <alignment horizontal="center" vertical="center"/>
      <protection locked="0"/>
    </xf>
    <xf numFmtId="0" fontId="62" fillId="3" borderId="0" xfId="0" applyFont="1" applyFill="1" applyAlignment="1" applyProtection="1">
      <alignment horizontal="center" vertical="center"/>
      <protection locked="0"/>
    </xf>
    <xf numFmtId="0" fontId="62" fillId="42" borderId="37" xfId="0" applyFont="1" applyFill="1" applyBorder="1" applyAlignment="1" applyProtection="1">
      <alignment horizontal="left" vertical="center"/>
      <protection locked="0"/>
    </xf>
    <xf numFmtId="49" fontId="62" fillId="33" borderId="30" xfId="0" applyNumberFormat="1" applyFont="1" applyFill="1" applyBorder="1" applyAlignment="1" applyProtection="1">
      <alignment horizontal="center" vertical="center"/>
      <protection locked="0"/>
    </xf>
    <xf numFmtId="0" fontId="62" fillId="33" borderId="30" xfId="0" applyFont="1" applyFill="1" applyBorder="1" applyAlignment="1" applyProtection="1">
      <alignment horizontal="center" vertical="center"/>
      <protection locked="0"/>
    </xf>
    <xf numFmtId="49" fontId="6" fillId="0" borderId="4" xfId="54" applyNumberFormat="1" applyFont="1" applyBorder="1" applyAlignment="1">
      <alignment horizontal="center" vertical="center" wrapText="1"/>
      <protection locked="0"/>
    </xf>
    <xf numFmtId="49" fontId="14" fillId="0" borderId="4" xfId="54" applyNumberFormat="1" applyFont="1" applyBorder="1" applyAlignment="1">
      <alignment horizontal="center" vertical="center" wrapText="1"/>
      <protection locked="0"/>
    </xf>
    <xf numFmtId="49" fontId="6" fillId="0" borderId="25" xfId="54" applyNumberFormat="1" applyFont="1" applyBorder="1" applyAlignment="1">
      <alignment horizontal="center" vertical="center"/>
      <protection locked="0"/>
    </xf>
    <xf numFmtId="49" fontId="6" fillId="0" borderId="26" xfId="54" applyNumberFormat="1" applyFont="1" applyBorder="1" applyAlignment="1">
      <alignment horizontal="center" vertical="center"/>
      <protection locked="0"/>
    </xf>
    <xf numFmtId="49" fontId="14" fillId="0" borderId="4" xfId="54" applyNumberFormat="1" applyFont="1" applyBorder="1" applyAlignment="1">
      <alignment horizontal="center" vertical="center"/>
      <protection locked="0"/>
    </xf>
    <xf numFmtId="49" fontId="14" fillId="0" borderId="25" xfId="54" applyNumberFormat="1" applyFont="1" applyBorder="1" applyAlignment="1">
      <alignment horizontal="center" vertical="center"/>
      <protection locked="0"/>
    </xf>
    <xf numFmtId="49" fontId="14" fillId="0" borderId="26" xfId="54" applyNumberFormat="1" applyFont="1" applyBorder="1" applyAlignment="1">
      <alignment horizontal="center" vertical="center"/>
      <protection locked="0"/>
    </xf>
    <xf numFmtId="49" fontId="14" fillId="0" borderId="39" xfId="54" applyNumberFormat="1" applyFont="1" applyBorder="1" applyAlignment="1">
      <alignment horizontal="center" vertical="center"/>
      <protection locked="0"/>
    </xf>
    <xf numFmtId="49" fontId="14" fillId="0" borderId="40" xfId="54" applyNumberFormat="1" applyFont="1" applyBorder="1" applyAlignment="1">
      <alignment horizontal="center" vertical="center"/>
      <protection locked="0"/>
    </xf>
    <xf numFmtId="49" fontId="14" fillId="0" borderId="6" xfId="54" applyNumberFormat="1" applyFont="1" applyBorder="1" applyAlignment="1">
      <alignment horizontal="center" vertical="center"/>
      <protection locked="0"/>
    </xf>
    <xf numFmtId="49" fontId="14" fillId="0" borderId="9" xfId="54" applyNumberFormat="1" applyFont="1" applyBorder="1" applyAlignment="1">
      <alignment horizontal="center" vertical="center"/>
      <protection locked="0"/>
    </xf>
    <xf numFmtId="49" fontId="57" fillId="30" borderId="4" xfId="54" applyNumberFormat="1" applyFont="1" applyFill="1" applyBorder="1" applyAlignment="1">
      <alignment horizontal="center" vertical="center"/>
      <protection locked="0"/>
    </xf>
    <xf numFmtId="49" fontId="57" fillId="30" borderId="0" xfId="54" applyNumberFormat="1" applyFont="1" applyFill="1" applyAlignment="1">
      <alignment horizontal="center" vertical="center"/>
      <protection locked="0"/>
    </xf>
    <xf numFmtId="49" fontId="14" fillId="8" borderId="4" xfId="54" applyNumberFormat="1" applyFont="1" applyFill="1" applyBorder="1" applyAlignment="1">
      <alignment horizontal="center" vertical="center" wrapText="1"/>
      <protection locked="0"/>
    </xf>
    <xf numFmtId="49" fontId="14" fillId="8" borderId="0" xfId="54" applyNumberFormat="1" applyFont="1" applyFill="1" applyAlignment="1">
      <alignment horizontal="center" vertical="center"/>
      <protection locked="0"/>
    </xf>
    <xf numFmtId="0" fontId="57" fillId="30" borderId="0" xfId="54" applyFont="1" applyFill="1" applyAlignment="1">
      <alignment horizontal="center" vertical="center"/>
      <protection locked="0"/>
    </xf>
    <xf numFmtId="0" fontId="6" fillId="8" borderId="0" xfId="54" applyFont="1" applyFill="1" applyAlignment="1">
      <alignment horizontal="center" vertical="center" wrapText="1"/>
      <protection locked="0"/>
    </xf>
    <xf numFmtId="0" fontId="62" fillId="40" borderId="31" xfId="0" applyFont="1" applyFill="1" applyBorder="1" applyAlignment="1" applyProtection="1">
      <alignment horizontal="center" vertical="center"/>
      <protection locked="0"/>
    </xf>
    <xf numFmtId="0" fontId="62" fillId="40" borderId="32" xfId="0" applyFont="1" applyFill="1" applyBorder="1" applyAlignment="1" applyProtection="1">
      <alignment horizontal="center" vertical="center"/>
      <protection locked="0"/>
    </xf>
    <xf numFmtId="0" fontId="62" fillId="41" borderId="32" xfId="0" applyFont="1" applyFill="1" applyBorder="1" applyAlignment="1" applyProtection="1">
      <alignment horizontal="center" vertical="center"/>
      <protection locked="0"/>
    </xf>
    <xf numFmtId="0" fontId="62" fillId="40" borderId="33" xfId="0" applyFont="1" applyFill="1" applyBorder="1" applyAlignment="1" applyProtection="1">
      <alignment horizontal="center" vertical="center"/>
      <protection locked="0"/>
    </xf>
    <xf numFmtId="0" fontId="62" fillId="3" borderId="32" xfId="0" applyFont="1" applyFill="1" applyBorder="1" applyAlignment="1" applyProtection="1">
      <alignment horizontal="center" vertical="center"/>
      <protection locked="0"/>
    </xf>
    <xf numFmtId="0" fontId="62" fillId="33" borderId="33" xfId="0" applyFont="1" applyFill="1" applyBorder="1" applyAlignment="1" applyProtection="1">
      <alignment horizontal="center" vertical="center"/>
      <protection locked="0"/>
    </xf>
    <xf numFmtId="49" fontId="6" fillId="0" borderId="5" xfId="54" applyNumberFormat="1" applyFont="1" applyBorder="1" applyAlignment="1">
      <alignment horizontal="center" vertical="center" wrapText="1"/>
      <protection locked="0"/>
    </xf>
    <xf numFmtId="49" fontId="14" fillId="0" borderId="5" xfId="54" applyNumberFormat="1" applyFont="1" applyBorder="1" applyAlignment="1">
      <alignment horizontal="center" vertical="center" wrapText="1"/>
      <protection locked="0"/>
    </xf>
    <xf numFmtId="49" fontId="6" fillId="0" borderId="29" xfId="54" applyNumberFormat="1" applyFont="1" applyBorder="1" applyAlignment="1">
      <alignment horizontal="center" vertical="center"/>
      <protection locked="0"/>
    </xf>
    <xf numFmtId="49" fontId="14" fillId="0" borderId="5" xfId="54" applyNumberFormat="1" applyFont="1" applyBorder="1" applyAlignment="1">
      <alignment horizontal="center" vertical="center"/>
      <protection locked="0"/>
    </xf>
    <xf numFmtId="49" fontId="14" fillId="0" borderId="29" xfId="54" applyNumberFormat="1" applyFont="1" applyBorder="1" applyAlignment="1">
      <alignment horizontal="center" vertical="center"/>
      <protection locked="0"/>
    </xf>
    <xf numFmtId="49" fontId="14" fillId="0" borderId="43" xfId="54" applyNumberFormat="1" applyFont="1" applyBorder="1" applyAlignment="1">
      <alignment horizontal="center" vertical="center"/>
      <protection locked="0"/>
    </xf>
    <xf numFmtId="49" fontId="14" fillId="0" borderId="7" xfId="54" applyNumberFormat="1" applyFont="1" applyBorder="1" applyAlignment="1">
      <alignment horizontal="center" vertical="center"/>
      <protection locked="0"/>
    </xf>
    <xf numFmtId="0" fontId="57" fillId="30" borderId="5" xfId="54" applyFont="1" applyFill="1" applyBorder="1" applyAlignment="1">
      <alignment horizontal="center" vertical="center"/>
      <protection locked="0"/>
    </xf>
    <xf numFmtId="0" fontId="6" fillId="0" borderId="5" xfId="54" applyFont="1" applyBorder="1" applyAlignment="1">
      <alignment horizontal="center" vertical="center" wrapText="1"/>
      <protection locked="0"/>
    </xf>
    <xf numFmtId="0" fontId="6" fillId="8" borderId="5" xfId="54" applyFont="1" applyFill="1" applyBorder="1" applyAlignment="1">
      <alignment horizontal="center" vertical="center" wrapText="1"/>
      <protection locked="0"/>
    </xf>
    <xf numFmtId="0" fontId="52" fillId="8" borderId="33" xfId="54" applyFont="1" applyFill="1" applyBorder="1" applyAlignment="1">
      <alignment horizontal="center" vertical="center" wrapText="1"/>
      <protection locked="0"/>
    </xf>
    <xf numFmtId="0" fontId="31" fillId="8" borderId="33" xfId="54" applyFont="1" applyFill="1" applyBorder="1" applyAlignment="1">
      <alignment horizontal="left" vertical="center" wrapText="1"/>
      <protection locked="0"/>
    </xf>
    <xf numFmtId="0" fontId="43" fillId="40" borderId="26" xfId="54" applyFont="1" applyFill="1" applyBorder="1" applyAlignment="1">
      <alignment horizontal="center" vertical="center" wrapText="1"/>
      <protection locked="0"/>
    </xf>
    <xf numFmtId="0" fontId="73" fillId="0" borderId="35" xfId="54" applyFont="1" applyBorder="1" applyAlignment="1">
      <alignment horizontal="left" vertical="center" wrapText="1"/>
      <protection locked="0"/>
    </xf>
    <xf numFmtId="0" fontId="43" fillId="40" borderId="0" xfId="54" applyFont="1" applyFill="1" applyAlignment="1">
      <alignment horizontal="center" vertical="center" wrapText="1"/>
      <protection locked="0"/>
    </xf>
    <xf numFmtId="0" fontId="73" fillId="0" borderId="36" xfId="54" applyFont="1" applyBorder="1" applyAlignment="1">
      <alignment horizontal="left" vertical="center" wrapText="1"/>
      <protection locked="0"/>
    </xf>
    <xf numFmtId="0" fontId="73" fillId="0" borderId="4" xfId="54" applyFont="1" applyBorder="1" applyAlignment="1">
      <alignment horizontal="left" vertical="top" wrapText="1"/>
      <protection locked="0"/>
    </xf>
    <xf numFmtId="0" fontId="73" fillId="0" borderId="5" xfId="54" applyFont="1" applyBorder="1" applyAlignment="1">
      <alignment horizontal="left" vertical="top" wrapText="1"/>
      <protection locked="0"/>
    </xf>
    <xf numFmtId="0" fontId="43" fillId="40" borderId="30" xfId="54" applyFont="1" applyFill="1" applyBorder="1" applyAlignment="1">
      <alignment horizontal="center" vertical="center" wrapText="1"/>
      <protection locked="0"/>
    </xf>
    <xf numFmtId="0" fontId="76" fillId="40" borderId="0" xfId="54" applyFont="1" applyFill="1" applyAlignment="1">
      <alignment horizontal="center" vertical="center" wrapText="1"/>
      <protection locked="0"/>
    </xf>
    <xf numFmtId="0" fontId="73" fillId="0" borderId="6" xfId="54" applyFont="1" applyBorder="1" applyAlignment="1">
      <alignment horizontal="left" vertical="top" wrapText="1"/>
      <protection locked="0"/>
    </xf>
    <xf numFmtId="0" fontId="73" fillId="0" borderId="7" xfId="54" applyFont="1" applyBorder="1" applyAlignment="1">
      <alignment horizontal="left" vertical="top" wrapText="1"/>
      <protection locked="0"/>
    </xf>
    <xf numFmtId="0" fontId="40" fillId="40" borderId="40" xfId="54" applyFont="1" applyFill="1" applyBorder="1" applyAlignment="1">
      <alignment horizontal="center" vertical="center" wrapText="1"/>
      <protection locked="0"/>
    </xf>
    <xf numFmtId="0" fontId="73" fillId="0" borderId="42" xfId="54" applyFont="1" applyBorder="1" applyAlignment="1">
      <alignment horizontal="left" vertical="center" wrapText="1"/>
      <protection locked="0"/>
    </xf>
    <xf numFmtId="0" fontId="32" fillId="41" borderId="64" xfId="54" applyFill="1" applyBorder="1" applyAlignment="1">
      <alignment horizontal="center" vertical="center" wrapText="1"/>
      <protection locked="0"/>
    </xf>
    <xf numFmtId="0" fontId="32" fillId="41" borderId="37" xfId="54" applyFill="1" applyBorder="1" applyAlignment="1">
      <alignment horizontal="center" vertical="center" wrapText="1"/>
      <protection locked="0"/>
    </xf>
    <xf numFmtId="0" fontId="32" fillId="41" borderId="1" xfId="54" applyFill="1" applyBorder="1" applyAlignment="1">
      <alignment horizontal="center" vertical="center" wrapText="1"/>
      <protection locked="0"/>
    </xf>
    <xf numFmtId="0" fontId="32" fillId="41" borderId="65" xfId="54" applyFill="1" applyBorder="1" applyAlignment="1">
      <alignment horizontal="center" vertical="center" wrapText="1"/>
      <protection locked="0"/>
    </xf>
    <xf numFmtId="0" fontId="73" fillId="0" borderId="64" xfId="54" applyFont="1" applyBorder="1" applyAlignment="1">
      <alignment horizontal="left" vertical="center" wrapText="1"/>
      <protection locked="0"/>
    </xf>
    <xf numFmtId="0" fontId="32" fillId="41" borderId="35" xfId="54" applyFill="1" applyBorder="1" applyAlignment="1">
      <alignment horizontal="center" vertical="center" wrapText="1"/>
      <protection locked="0"/>
    </xf>
    <xf numFmtId="0" fontId="32" fillId="42" borderId="1" xfId="54" applyFill="1" applyBorder="1" applyAlignment="1">
      <alignment horizontal="left" vertical="center" wrapText="1"/>
      <protection locked="0"/>
    </xf>
    <xf numFmtId="0" fontId="32" fillId="42" borderId="1" xfId="54" applyFill="1" applyBorder="1" applyAlignment="1">
      <alignment vertical="center"/>
      <protection locked="0"/>
    </xf>
    <xf numFmtId="0" fontId="40" fillId="8" borderId="33" xfId="54" applyFont="1" applyFill="1" applyBorder="1" applyAlignment="1">
      <alignment horizontal="center" vertical="center" wrapText="1"/>
      <protection locked="0"/>
    </xf>
    <xf numFmtId="0" fontId="32" fillId="42" borderId="1" xfId="54" applyFill="1" applyBorder="1" applyAlignment="1">
      <alignment horizontal="center" vertical="center" wrapText="1"/>
      <protection locked="0"/>
    </xf>
    <xf numFmtId="0" fontId="32" fillId="42" borderId="1" xfId="54" applyFill="1" applyBorder="1" applyAlignment="1">
      <alignment horizontal="center" vertical="center"/>
      <protection locked="0"/>
    </xf>
    <xf numFmtId="0" fontId="2" fillId="30" borderId="2" xfId="54" applyFont="1" applyFill="1" applyBorder="1" applyAlignment="1">
      <alignment horizontal="center" vertical="center"/>
      <protection locked="0"/>
    </xf>
    <xf numFmtId="0" fontId="2" fillId="30" borderId="8" xfId="54" applyFont="1" applyFill="1" applyBorder="1" applyAlignment="1">
      <alignment horizontal="center" vertical="center"/>
      <protection locked="0"/>
    </xf>
    <xf numFmtId="0" fontId="6" fillId="7" borderId="4" xfId="54" applyFont="1" applyFill="1" applyBorder="1" applyAlignment="1">
      <alignment horizontal="center" vertical="center"/>
      <protection locked="0"/>
    </xf>
    <xf numFmtId="0" fontId="6" fillId="7" borderId="0" xfId="54" applyFont="1" applyFill="1" applyAlignment="1">
      <alignment horizontal="center" vertical="center"/>
      <protection locked="0"/>
    </xf>
    <xf numFmtId="0" fontId="6" fillId="7" borderId="0" xfId="54" applyFont="1" applyFill="1" applyAlignment="1">
      <alignment vertical="center"/>
      <protection locked="0"/>
    </xf>
    <xf numFmtId="0" fontId="14" fillId="0" borderId="25" xfId="54" applyFont="1" applyBorder="1" applyAlignment="1">
      <alignment horizontal="center" vertical="center"/>
      <protection locked="0"/>
    </xf>
    <xf numFmtId="0" fontId="14" fillId="0" borderId="26" xfId="54" applyFont="1" applyBorder="1" applyAlignment="1">
      <alignment horizontal="center" vertical="center"/>
      <protection locked="0"/>
    </xf>
    <xf numFmtId="0" fontId="6" fillId="23" borderId="41" xfId="54" applyFont="1" applyFill="1" applyBorder="1" applyAlignment="1">
      <alignment horizontal="center" vertical="center"/>
      <protection locked="0"/>
    </xf>
    <xf numFmtId="0" fontId="14" fillId="0" borderId="4" xfId="54" applyFont="1" applyBorder="1" applyAlignment="1">
      <alignment horizontal="center" vertical="center"/>
      <protection locked="0"/>
    </xf>
    <xf numFmtId="0" fontId="6" fillId="23" borderId="42" xfId="54" applyFont="1" applyFill="1" applyBorder="1" applyAlignment="1">
      <alignment horizontal="center" vertical="center"/>
      <protection locked="0"/>
    </xf>
    <xf numFmtId="0" fontId="32" fillId="0" borderId="4" xfId="54" applyBorder="1" applyAlignment="1">
      <alignment vertical="center"/>
      <protection locked="0"/>
    </xf>
    <xf numFmtId="0" fontId="14" fillId="0" borderId="4" xfId="54" applyFont="1" applyBorder="1" applyAlignment="1">
      <alignment horizontal="center" vertical="center" wrapText="1"/>
      <protection locked="0"/>
    </xf>
    <xf numFmtId="0" fontId="6" fillId="0" borderId="4" xfId="54" applyFont="1" applyBorder="1" applyAlignment="1">
      <alignment vertical="center"/>
      <protection locked="0"/>
    </xf>
    <xf numFmtId="0" fontId="6" fillId="0" borderId="4" xfId="54" applyFont="1" applyBorder="1" applyAlignment="1">
      <alignment horizontal="center" vertical="center"/>
      <protection locked="0"/>
    </xf>
    <xf numFmtId="0" fontId="6" fillId="23" borderId="42" xfId="54" applyFont="1" applyFill="1" applyBorder="1" applyAlignment="1">
      <alignment vertical="center"/>
      <protection locked="0"/>
    </xf>
    <xf numFmtId="0" fontId="14" fillId="0" borderId="6" xfId="54" applyFont="1" applyBorder="1" applyAlignment="1">
      <alignment horizontal="center" vertical="center"/>
      <protection locked="0"/>
    </xf>
    <xf numFmtId="0" fontId="6" fillId="23" borderId="66" xfId="54" applyFont="1" applyFill="1" applyBorder="1" applyAlignment="1">
      <alignment vertical="center"/>
      <protection locked="0"/>
    </xf>
    <xf numFmtId="0" fontId="77" fillId="30" borderId="8" xfId="54" applyFont="1" applyFill="1" applyBorder="1" applyAlignment="1">
      <alignment horizontal="center" vertical="center"/>
      <protection locked="0"/>
    </xf>
    <xf numFmtId="0" fontId="78" fillId="8" borderId="67" xfId="54" applyFont="1" applyFill="1" applyBorder="1" applyAlignment="1">
      <alignment horizontal="center" vertical="center"/>
      <protection locked="0"/>
    </xf>
    <xf numFmtId="0" fontId="6" fillId="8" borderId="68" xfId="54" applyFont="1" applyFill="1" applyBorder="1" applyAlignment="1">
      <alignment horizontal="left" vertical="center" wrapText="1"/>
      <protection locked="0"/>
    </xf>
    <xf numFmtId="0" fontId="6" fillId="8" borderId="69" xfId="54" applyFont="1" applyFill="1" applyBorder="1" applyAlignment="1">
      <alignment horizontal="left" vertical="center" wrapText="1"/>
      <protection locked="0"/>
    </xf>
    <xf numFmtId="0" fontId="78" fillId="8" borderId="70" xfId="54" applyFont="1" applyFill="1" applyBorder="1" applyAlignment="1">
      <alignment horizontal="center" vertical="center"/>
      <protection locked="0"/>
    </xf>
    <xf numFmtId="0" fontId="6" fillId="8" borderId="71" xfId="54" applyFont="1" applyFill="1" applyBorder="1" applyAlignment="1">
      <alignment horizontal="left" vertical="center" wrapText="1"/>
      <protection locked="0"/>
    </xf>
    <xf numFmtId="0" fontId="6" fillId="8" borderId="72" xfId="54" applyFont="1" applyFill="1" applyBorder="1" applyAlignment="1">
      <alignment horizontal="left" vertical="center" wrapText="1"/>
      <protection locked="0"/>
    </xf>
    <xf numFmtId="0" fontId="79" fillId="0" borderId="4" xfId="54" applyFont="1" applyBorder="1" applyAlignment="1">
      <alignment horizontal="center" vertical="center"/>
      <protection locked="0"/>
    </xf>
    <xf numFmtId="0" fontId="6" fillId="0" borderId="73" xfId="54" applyFont="1" applyBorder="1" applyAlignment="1">
      <alignment horizontal="left" vertical="center" wrapText="1"/>
      <protection locked="0"/>
    </xf>
    <xf numFmtId="0" fontId="6" fillId="0" borderId="0" xfId="54" applyFont="1" applyAlignment="1">
      <alignment horizontal="left" vertical="center" wrapText="1"/>
      <protection locked="0"/>
    </xf>
    <xf numFmtId="0" fontId="79" fillId="0" borderId="70" xfId="54" applyFont="1" applyBorder="1" applyAlignment="1">
      <alignment horizontal="center" vertical="center"/>
      <protection locked="0"/>
    </xf>
    <xf numFmtId="0" fontId="6" fillId="0" borderId="71" xfId="54" applyFont="1" applyBorder="1" applyAlignment="1">
      <alignment horizontal="left" vertical="center" wrapText="1"/>
      <protection locked="0"/>
    </xf>
    <xf numFmtId="0" fontId="6" fillId="0" borderId="72" xfId="54" applyFont="1" applyBorder="1" applyAlignment="1">
      <alignment horizontal="left" vertical="center" wrapText="1"/>
      <protection locked="0"/>
    </xf>
    <xf numFmtId="0" fontId="80" fillId="8" borderId="4" xfId="54" applyFont="1" applyFill="1" applyBorder="1" applyAlignment="1">
      <alignment horizontal="center" vertical="center"/>
      <protection locked="0"/>
    </xf>
    <xf numFmtId="0" fontId="6" fillId="8" borderId="73" xfId="54" applyFont="1" applyFill="1" applyBorder="1" applyAlignment="1">
      <alignment horizontal="left" vertical="center" wrapText="1"/>
      <protection locked="0"/>
    </xf>
    <xf numFmtId="0" fontId="6" fillId="8" borderId="0" xfId="54" applyFont="1" applyFill="1" applyAlignment="1">
      <alignment horizontal="left" vertical="center" wrapText="1"/>
      <protection locked="0"/>
    </xf>
    <xf numFmtId="0" fontId="73" fillId="0" borderId="26" xfId="54" applyFont="1" applyBorder="1" applyAlignment="1">
      <alignment horizontal="left" vertical="center" wrapText="1"/>
      <protection locked="0"/>
    </xf>
    <xf numFmtId="0" fontId="73" fillId="0" borderId="31" xfId="54" applyFont="1" applyBorder="1" applyAlignment="1">
      <alignment horizontal="left" vertical="center" wrapText="1"/>
      <protection locked="0"/>
    </xf>
    <xf numFmtId="0" fontId="73" fillId="0" borderId="0" xfId="54" applyFont="1" applyAlignment="1">
      <alignment horizontal="left" vertical="center" wrapText="1"/>
      <protection locked="0"/>
    </xf>
    <xf numFmtId="0" fontId="73" fillId="0" borderId="32" xfId="54" applyFont="1" applyBorder="1" applyAlignment="1">
      <alignment horizontal="left" vertical="center" wrapText="1"/>
      <protection locked="0"/>
    </xf>
    <xf numFmtId="0" fontId="73" fillId="0" borderId="37" xfId="54" applyFont="1" applyBorder="1" applyAlignment="1">
      <alignment horizontal="left" vertical="center" wrapText="1"/>
      <protection locked="0"/>
    </xf>
    <xf numFmtId="0" fontId="73" fillId="0" borderId="33" xfId="54" applyFont="1" applyBorder="1" applyAlignment="1">
      <alignment horizontal="left" vertical="center" wrapText="1"/>
      <protection locked="0"/>
    </xf>
    <xf numFmtId="0" fontId="32" fillId="42" borderId="1" xfId="54" applyFill="1" applyBorder="1" applyAlignment="1">
      <alignment horizontal="center" wrapText="1"/>
      <protection locked="0"/>
    </xf>
    <xf numFmtId="0" fontId="32" fillId="42" borderId="41" xfId="54" applyFill="1" applyBorder="1" applyAlignment="1">
      <alignment horizontal="center" wrapText="1"/>
      <protection locked="0"/>
    </xf>
    <xf numFmtId="0" fontId="32" fillId="42" borderId="64" xfId="54" applyFill="1" applyBorder="1" applyAlignment="1">
      <alignment horizontal="center" vertical="top" wrapText="1"/>
      <protection locked="0"/>
    </xf>
    <xf numFmtId="0" fontId="32" fillId="42" borderId="1" xfId="54" applyFill="1" applyBorder="1" applyAlignment="1">
      <alignment horizontal="center" vertical="top" wrapText="1"/>
      <protection locked="0"/>
    </xf>
    <xf numFmtId="0" fontId="32" fillId="3" borderId="1" xfId="54" applyFill="1" applyBorder="1" applyAlignment="1">
      <alignment horizontal="center" vertical="center" wrapText="1"/>
      <protection locked="0"/>
    </xf>
    <xf numFmtId="0" fontId="2" fillId="30" borderId="3" xfId="54" applyFont="1" applyFill="1" applyBorder="1" applyAlignment="1">
      <alignment horizontal="center" vertical="center"/>
      <protection locked="0"/>
    </xf>
    <xf numFmtId="0" fontId="6" fillId="7" borderId="5" xfId="54" applyFont="1" applyFill="1" applyBorder="1" applyAlignment="1">
      <alignment horizontal="center" vertical="center"/>
      <protection locked="0"/>
    </xf>
    <xf numFmtId="0" fontId="14" fillId="0" borderId="1" xfId="54" applyFont="1" applyBorder="1" applyAlignment="1">
      <alignment horizontal="center" vertical="center" wrapText="1"/>
      <protection locked="0"/>
    </xf>
    <xf numFmtId="0" fontId="14" fillId="0" borderId="74" xfId="54" applyFont="1" applyBorder="1" applyAlignment="1">
      <alignment horizontal="center" vertical="center"/>
      <protection locked="0"/>
    </xf>
    <xf numFmtId="0" fontId="14" fillId="0" borderId="1" xfId="54" applyFont="1" applyBorder="1" applyAlignment="1">
      <alignment horizontal="center" vertical="center"/>
      <protection locked="0"/>
    </xf>
    <xf numFmtId="0" fontId="14" fillId="0" borderId="74" xfId="54" applyFont="1" applyBorder="1" applyAlignment="1">
      <alignment horizontal="center" vertical="center" wrapText="1"/>
      <protection locked="0"/>
    </xf>
    <xf numFmtId="0" fontId="14" fillId="0" borderId="75" xfId="54" applyFont="1" applyBorder="1" applyAlignment="1">
      <alignment horizontal="center" vertical="center" wrapText="1"/>
      <protection locked="0"/>
    </xf>
    <xf numFmtId="0" fontId="14" fillId="0" borderId="76" xfId="54" applyFont="1" applyBorder="1" applyAlignment="1">
      <alignment horizontal="center" vertical="center" wrapText="1"/>
      <protection locked="0"/>
    </xf>
    <xf numFmtId="0" fontId="77" fillId="30" borderId="3" xfId="54" applyFont="1" applyFill="1" applyBorder="1" applyAlignment="1">
      <alignment horizontal="center" vertical="center"/>
      <protection locked="0"/>
    </xf>
    <xf numFmtId="0" fontId="6" fillId="8" borderId="77" xfId="54" applyFont="1" applyFill="1" applyBorder="1" applyAlignment="1">
      <alignment horizontal="left" vertical="center" wrapText="1"/>
      <protection locked="0"/>
    </xf>
    <xf numFmtId="0" fontId="6" fillId="8" borderId="78" xfId="54" applyFont="1" applyFill="1" applyBorder="1" applyAlignment="1">
      <alignment horizontal="left" vertical="center" wrapText="1"/>
      <protection locked="0"/>
    </xf>
    <xf numFmtId="0" fontId="6" fillId="0" borderId="5" xfId="54" applyFont="1" applyBorder="1" applyAlignment="1">
      <alignment horizontal="left" vertical="center" wrapText="1"/>
      <protection locked="0"/>
    </xf>
    <xf numFmtId="0" fontId="6" fillId="0" borderId="78" xfId="54" applyFont="1" applyBorder="1" applyAlignment="1">
      <alignment horizontal="left" vertical="center" wrapText="1"/>
      <protection locked="0"/>
    </xf>
    <xf numFmtId="0" fontId="6" fillId="8" borderId="5" xfId="54" applyFont="1" applyFill="1" applyBorder="1" applyAlignment="1">
      <alignment horizontal="left" vertical="center" wrapText="1"/>
      <protection locked="0"/>
    </xf>
    <xf numFmtId="0" fontId="55" fillId="0" borderId="0" xfId="0" applyFont="1" applyAlignment="1" applyProtection="1">
      <alignment vertical="center" wrapText="1"/>
      <protection locked="0"/>
    </xf>
    <xf numFmtId="49" fontId="14" fillId="8" borderId="4" xfId="54" applyNumberFormat="1" applyFont="1" applyFill="1" applyBorder="1" applyAlignment="1">
      <alignment horizontal="center" vertical="center"/>
      <protection locked="0"/>
    </xf>
    <xf numFmtId="49" fontId="81" fillId="8" borderId="0" xfId="54" applyNumberFormat="1" applyFont="1" applyFill="1" applyAlignment="1">
      <alignment horizontal="center" vertical="center"/>
      <protection locked="0"/>
    </xf>
    <xf numFmtId="49" fontId="81" fillId="8" borderId="4" xfId="54" applyNumberFormat="1" applyFont="1" applyFill="1" applyBorder="1" applyAlignment="1">
      <alignment horizontal="center" vertical="center"/>
      <protection locked="0"/>
    </xf>
    <xf numFmtId="49" fontId="14" fillId="8" borderId="6" xfId="54" applyNumberFormat="1" applyFont="1" applyFill="1" applyBorder="1" applyAlignment="1">
      <alignment horizontal="center" vertical="center"/>
      <protection locked="0"/>
    </xf>
    <xf numFmtId="49" fontId="14" fillId="8" borderId="9" xfId="54" applyNumberFormat="1" applyFont="1" applyFill="1" applyBorder="1" applyAlignment="1">
      <alignment horizontal="center" vertical="center"/>
      <protection locked="0"/>
    </xf>
    <xf numFmtId="49" fontId="65" fillId="8" borderId="2" xfId="54" applyNumberFormat="1" applyFont="1" applyFill="1" applyBorder="1" applyAlignment="1">
      <alignment horizontal="center" vertical="center"/>
      <protection locked="0"/>
    </xf>
    <xf numFmtId="49" fontId="65" fillId="8" borderId="8" xfId="54" applyNumberFormat="1" applyFont="1" applyFill="1" applyBorder="1" applyAlignment="1">
      <alignment horizontal="center" vertical="center"/>
      <protection locked="0"/>
    </xf>
    <xf numFmtId="49" fontId="65" fillId="8" borderId="4" xfId="54" applyNumberFormat="1" applyFont="1" applyFill="1" applyBorder="1" applyAlignment="1">
      <alignment horizontal="center" vertical="center"/>
      <protection locked="0"/>
    </xf>
    <xf numFmtId="49" fontId="65" fillId="8" borderId="0" xfId="54" applyNumberFormat="1" applyFont="1" applyFill="1" applyAlignment="1">
      <alignment horizontal="center" vertical="center"/>
      <protection locked="0"/>
    </xf>
    <xf numFmtId="49" fontId="65" fillId="8" borderId="6" xfId="54" applyNumberFormat="1" applyFont="1" applyFill="1" applyBorder="1" applyAlignment="1">
      <alignment horizontal="center" vertical="center"/>
      <protection locked="0"/>
    </xf>
    <xf numFmtId="49" fontId="65" fillId="8" borderId="9" xfId="54" applyNumberFormat="1" applyFont="1" applyFill="1" applyBorder="1" applyAlignment="1">
      <alignment horizontal="center" vertical="center"/>
      <protection locked="0"/>
    </xf>
    <xf numFmtId="49" fontId="66" fillId="8" borderId="79" xfId="54" applyNumberFormat="1" applyFont="1" applyFill="1" applyBorder="1" applyAlignment="1">
      <alignment horizontal="center" vertical="center"/>
      <protection locked="0"/>
    </xf>
    <xf numFmtId="49" fontId="66" fillId="8" borderId="2" xfId="54" applyNumberFormat="1" applyFont="1" applyFill="1" applyBorder="1" applyAlignment="1">
      <alignment horizontal="center" vertical="center"/>
      <protection locked="0"/>
    </xf>
    <xf numFmtId="49" fontId="23" fillId="0" borderId="80" xfId="54" applyNumberFormat="1" applyFont="1" applyBorder="1" applyAlignment="1">
      <alignment horizontal="left" vertical="center" wrapText="1"/>
      <protection locked="0"/>
    </xf>
    <xf numFmtId="49" fontId="14" fillId="0" borderId="0" xfId="54" applyNumberFormat="1" applyFont="1" applyAlignment="1">
      <alignment horizontal="left" vertical="center"/>
      <protection locked="0"/>
    </xf>
    <xf numFmtId="49" fontId="6" fillId="0" borderId="4" xfId="54" applyNumberFormat="1" applyFont="1" applyBorder="1" applyAlignment="1">
      <alignment horizontal="left" vertical="center" wrapText="1"/>
      <protection locked="0"/>
    </xf>
    <xf numFmtId="49" fontId="23" fillId="0" borderId="81" xfId="54" applyNumberFormat="1" applyFont="1" applyBorder="1" applyAlignment="1">
      <alignment horizontal="left" vertical="center" wrapText="1"/>
      <protection locked="0"/>
    </xf>
    <xf numFmtId="49" fontId="6" fillId="0" borderId="6" xfId="54" applyNumberFormat="1" applyFont="1" applyBorder="1" applyAlignment="1">
      <alignment horizontal="left" vertical="center" wrapText="1"/>
      <protection locked="0"/>
    </xf>
    <xf numFmtId="49" fontId="66" fillId="8" borderId="3" xfId="54" applyNumberFormat="1" applyFont="1" applyFill="1" applyBorder="1" applyAlignment="1">
      <alignment horizontal="center" vertical="center"/>
      <protection locked="0"/>
    </xf>
    <xf numFmtId="49" fontId="66" fillId="8" borderId="4" xfId="54" applyNumberFormat="1" applyFont="1" applyFill="1" applyBorder="1" applyAlignment="1">
      <alignment horizontal="center" vertical="center"/>
      <protection locked="0"/>
    </xf>
    <xf numFmtId="49" fontId="66" fillId="8" borderId="5" xfId="54" applyNumberFormat="1" applyFont="1" applyFill="1" applyBorder="1" applyAlignment="1">
      <alignment horizontal="center" vertical="center"/>
      <protection locked="0"/>
    </xf>
    <xf numFmtId="49" fontId="6" fillId="0" borderId="2" xfId="54" applyNumberFormat="1" applyFont="1" applyBorder="1" applyAlignment="1">
      <alignment horizontal="center" vertical="center" wrapText="1"/>
      <protection locked="0"/>
    </xf>
    <xf numFmtId="49" fontId="6" fillId="0" borderId="3" xfId="54" applyNumberFormat="1" applyFont="1" applyBorder="1" applyAlignment="1">
      <alignment horizontal="center" vertical="center" wrapText="1"/>
      <protection locked="0"/>
    </xf>
    <xf numFmtId="49" fontId="14" fillId="0" borderId="6" xfId="54" applyNumberFormat="1" applyFont="1" applyBorder="1" applyAlignment="1">
      <alignment horizontal="center" vertical="center" wrapText="1"/>
      <protection locked="0"/>
    </xf>
    <xf numFmtId="0" fontId="6" fillId="0" borderId="6" xfId="54" applyFont="1" applyBorder="1" applyAlignment="1">
      <alignment horizontal="center" vertical="center"/>
      <protection locked="0"/>
    </xf>
    <xf numFmtId="49" fontId="6" fillId="0" borderId="7" xfId="54" applyNumberFormat="1" applyFont="1" applyBorder="1" applyAlignment="1">
      <alignment horizontal="center" vertical="center" wrapText="1"/>
      <protection locked="0"/>
    </xf>
    <xf numFmtId="0" fontId="66" fillId="8" borderId="2" xfId="54" applyFont="1" applyFill="1" applyBorder="1" applyAlignment="1">
      <alignment horizontal="center" vertical="center"/>
      <protection locked="0"/>
    </xf>
    <xf numFmtId="0" fontId="66" fillId="8" borderId="3" xfId="54" applyFont="1" applyFill="1" applyBorder="1" applyAlignment="1">
      <alignment horizontal="center" vertical="center"/>
      <protection locked="0"/>
    </xf>
    <xf numFmtId="0" fontId="66" fillId="8" borderId="4" xfId="54" applyFont="1" applyFill="1" applyBorder="1" applyAlignment="1">
      <alignment horizontal="center" vertical="center"/>
      <protection locked="0"/>
    </xf>
    <xf numFmtId="0" fontId="66" fillId="8" borderId="5" xfId="54" applyFont="1" applyFill="1" applyBorder="1" applyAlignment="1">
      <alignment horizontal="center" vertical="center"/>
      <protection locked="0"/>
    </xf>
    <xf numFmtId="0" fontId="14" fillId="0" borderId="5" xfId="54" applyFont="1" applyBorder="1" applyAlignment="1">
      <alignment horizontal="center" vertical="center" wrapText="1"/>
      <protection locked="0"/>
    </xf>
    <xf numFmtId="0" fontId="6" fillId="0" borderId="4" xfId="54" applyFont="1" applyBorder="1" applyAlignment="1">
      <alignment horizontal="center" vertical="center" wrapText="1"/>
      <protection locked="0"/>
    </xf>
    <xf numFmtId="0" fontId="14" fillId="0" borderId="6" xfId="54" applyFont="1" applyBorder="1" applyAlignment="1">
      <alignment horizontal="center" vertical="center" wrapText="1"/>
      <protection locked="0"/>
    </xf>
    <xf numFmtId="0" fontId="14" fillId="0" borderId="7" xfId="54" applyFont="1" applyBorder="1" applyAlignment="1">
      <alignment horizontal="center" vertical="center" wrapText="1"/>
      <protection locked="0"/>
    </xf>
    <xf numFmtId="0" fontId="6" fillId="0" borderId="6" xfId="54" applyFont="1" applyBorder="1" applyAlignment="1">
      <alignment horizontal="center" vertical="center" wrapText="1"/>
      <protection locked="0"/>
    </xf>
    <xf numFmtId="0" fontId="66" fillId="43" borderId="2" xfId="54" applyFont="1" applyFill="1" applyBorder="1" applyAlignment="1">
      <alignment horizontal="center" vertical="center"/>
      <protection locked="0"/>
    </xf>
    <xf numFmtId="0" fontId="66" fillId="43" borderId="8" xfId="54" applyFont="1" applyFill="1" applyBorder="1" applyAlignment="1">
      <alignment horizontal="center" vertical="center"/>
      <protection locked="0"/>
    </xf>
    <xf numFmtId="0" fontId="66" fillId="43" borderId="4" xfId="54" applyFont="1" applyFill="1" applyBorder="1" applyAlignment="1">
      <alignment horizontal="center" vertical="center"/>
      <protection locked="0"/>
    </xf>
    <xf numFmtId="0" fontId="66" fillId="43" borderId="0" xfId="54" applyFont="1" applyFill="1" applyAlignment="1">
      <alignment horizontal="center" vertical="center"/>
      <protection locked="0"/>
    </xf>
    <xf numFmtId="0" fontId="19" fillId="44" borderId="4" xfId="54" applyFont="1" applyFill="1" applyBorder="1" applyAlignment="1">
      <alignment horizontal="center" vertical="center"/>
      <protection locked="0"/>
    </xf>
    <xf numFmtId="0" fontId="23" fillId="44" borderId="0" xfId="54" applyFont="1" applyFill="1" applyAlignment="1">
      <alignment horizontal="center" vertical="center" wrapText="1"/>
      <protection locked="0"/>
    </xf>
    <xf numFmtId="0" fontId="19" fillId="0" borderId="4" xfId="54" applyFont="1" applyBorder="1" applyAlignment="1">
      <alignment horizontal="center" vertical="center"/>
      <protection locked="0"/>
    </xf>
    <xf numFmtId="0" fontId="14" fillId="44" borderId="0" xfId="54" applyFont="1" applyFill="1" applyAlignment="1">
      <alignment horizontal="center" vertical="center"/>
      <protection locked="0"/>
    </xf>
    <xf numFmtId="0" fontId="19" fillId="44" borderId="38" xfId="54" applyFont="1" applyFill="1" applyBorder="1" applyAlignment="1">
      <alignment horizontal="center" vertical="center"/>
      <protection locked="0"/>
    </xf>
    <xf numFmtId="0" fontId="19" fillId="44" borderId="30" xfId="54" applyFont="1" applyFill="1" applyBorder="1" applyAlignment="1">
      <alignment horizontal="center" vertical="center"/>
      <protection locked="0"/>
    </xf>
    <xf numFmtId="49" fontId="6" fillId="8" borderId="0" xfId="54" applyNumberFormat="1" applyFont="1" applyFill="1" applyAlignment="1">
      <alignment horizontal="center" vertical="center"/>
      <protection locked="0"/>
    </xf>
    <xf numFmtId="49" fontId="6" fillId="8" borderId="9" xfId="54" applyNumberFormat="1" applyFont="1" applyFill="1" applyBorder="1" applyAlignment="1">
      <alignment horizontal="center" vertical="center"/>
      <protection locked="0"/>
    </xf>
    <xf numFmtId="49" fontId="66" fillId="8" borderId="8" xfId="54" applyNumberFormat="1" applyFont="1" applyFill="1" applyBorder="1" applyAlignment="1">
      <alignment horizontal="center" vertical="center"/>
      <protection locked="0"/>
    </xf>
    <xf numFmtId="49" fontId="6" fillId="0" borderId="5" xfId="54" applyNumberFormat="1" applyFont="1" applyBorder="1" applyAlignment="1">
      <alignment horizontal="left" vertical="center" wrapText="1"/>
      <protection locked="0"/>
    </xf>
    <xf numFmtId="49" fontId="6" fillId="0" borderId="0" xfId="54" applyNumberFormat="1" applyFont="1" applyAlignment="1">
      <alignment horizontal="left" vertical="center" wrapText="1"/>
      <protection locked="0"/>
    </xf>
    <xf numFmtId="49" fontId="6" fillId="0" borderId="7" xfId="54" applyNumberFormat="1" applyFont="1" applyBorder="1" applyAlignment="1">
      <alignment horizontal="left" vertical="center" wrapText="1"/>
      <protection locked="0"/>
    </xf>
    <xf numFmtId="49" fontId="6" fillId="0" borderId="9" xfId="54" applyNumberFormat="1" applyFont="1" applyBorder="1" applyAlignment="1">
      <alignment horizontal="left" vertical="center" wrapText="1"/>
      <protection locked="0"/>
    </xf>
    <xf numFmtId="49" fontId="66" fillId="8" borderId="0" xfId="54" applyNumberFormat="1" applyFont="1" applyFill="1" applyAlignment="1">
      <alignment horizontal="center" vertical="center"/>
      <protection locked="0"/>
    </xf>
    <xf numFmtId="49" fontId="19" fillId="0" borderId="4" xfId="54" applyNumberFormat="1" applyFont="1" applyBorder="1" applyAlignment="1">
      <alignment horizontal="center" vertical="center" wrapText="1"/>
      <protection locked="0"/>
    </xf>
    <xf numFmtId="49" fontId="19" fillId="0" borderId="0" xfId="54" applyNumberFormat="1" applyFont="1" applyAlignment="1">
      <alignment horizontal="center" vertical="center" wrapText="1"/>
      <protection locked="0"/>
    </xf>
    <xf numFmtId="49" fontId="19" fillId="0" borderId="6" xfId="54" applyNumberFormat="1" applyFont="1" applyBorder="1" applyAlignment="1">
      <alignment horizontal="center" vertical="center" wrapText="1"/>
      <protection locked="0"/>
    </xf>
    <xf numFmtId="49" fontId="19" fillId="0" borderId="9" xfId="54" applyNumberFormat="1" applyFont="1" applyBorder="1" applyAlignment="1">
      <alignment horizontal="center" vertical="center" wrapText="1"/>
      <protection locked="0"/>
    </xf>
    <xf numFmtId="0" fontId="66" fillId="8" borderId="8" xfId="54" applyFont="1" applyFill="1" applyBorder="1" applyAlignment="1">
      <alignment horizontal="center" vertical="center"/>
      <protection locked="0"/>
    </xf>
    <xf numFmtId="0" fontId="66" fillId="8" borderId="0" xfId="54" applyFont="1" applyFill="1" applyAlignment="1">
      <alignment horizontal="center" vertical="center"/>
      <protection locked="0"/>
    </xf>
    <xf numFmtId="0" fontId="6" fillId="0" borderId="9" xfId="54" applyFont="1" applyBorder="1" applyAlignment="1">
      <alignment horizontal="center" vertical="center" wrapText="1"/>
      <protection locked="0"/>
    </xf>
    <xf numFmtId="0" fontId="6" fillId="0" borderId="7" xfId="54" applyFont="1" applyBorder="1" applyAlignment="1">
      <alignment horizontal="center" vertical="center" wrapText="1"/>
      <protection locked="0"/>
    </xf>
    <xf numFmtId="0" fontId="14" fillId="0" borderId="82" xfId="54" applyFont="1" applyBorder="1" applyAlignment="1">
      <alignment horizontal="center" vertical="center" wrapText="1"/>
      <protection locked="0"/>
    </xf>
    <xf numFmtId="0" fontId="14" fillId="0" borderId="83" xfId="54" applyFont="1" applyBorder="1" applyAlignment="1">
      <alignment horizontal="center" vertical="center" wrapText="1"/>
      <protection locked="0"/>
    </xf>
    <xf numFmtId="0" fontId="14" fillId="0" borderId="30" xfId="54" applyFont="1" applyBorder="1" applyAlignment="1">
      <alignment horizontal="center" vertical="center" wrapText="1"/>
      <protection locked="0"/>
    </xf>
    <xf numFmtId="49" fontId="6" fillId="8" borderId="5" xfId="54" applyNumberFormat="1" applyFont="1" applyFill="1" applyBorder="1" applyAlignment="1">
      <alignment horizontal="center" vertical="center"/>
      <protection locked="0"/>
    </xf>
    <xf numFmtId="49" fontId="6" fillId="0" borderId="5" xfId="54" applyNumberFormat="1" applyFont="1" applyBorder="1" applyAlignment="1">
      <alignment horizontal="center" vertical="center"/>
      <protection locked="0"/>
    </xf>
    <xf numFmtId="49" fontId="6" fillId="8" borderId="7" xfId="54" applyNumberFormat="1" applyFont="1" applyFill="1" applyBorder="1" applyAlignment="1">
      <alignment horizontal="center" vertical="center"/>
      <protection locked="0"/>
    </xf>
    <xf numFmtId="0" fontId="6" fillId="0" borderId="4" xfId="54" applyFont="1" applyBorder="1" applyAlignment="1">
      <alignment horizontal="left" vertical="center" wrapText="1"/>
      <protection locked="0"/>
    </xf>
    <xf numFmtId="0" fontId="6" fillId="0" borderId="6" xfId="54" applyFont="1" applyBorder="1" applyAlignment="1">
      <alignment horizontal="left" vertical="center" wrapText="1"/>
      <protection locked="0"/>
    </xf>
    <xf numFmtId="0" fontId="6" fillId="0" borderId="9" xfId="54" applyFont="1" applyBorder="1" applyAlignment="1">
      <alignment horizontal="left" vertical="center" wrapText="1"/>
      <protection locked="0"/>
    </xf>
    <xf numFmtId="0" fontId="82" fillId="8" borderId="2" xfId="54" applyFont="1" applyFill="1" applyBorder="1" applyAlignment="1">
      <alignment horizontal="right" vertical="center" indent="1"/>
      <protection locked="0"/>
    </xf>
    <xf numFmtId="0" fontId="82" fillId="8" borderId="8" xfId="54" applyFont="1" applyFill="1" applyBorder="1" applyAlignment="1">
      <alignment horizontal="right" vertical="center" indent="1"/>
      <protection locked="0"/>
    </xf>
    <xf numFmtId="0" fontId="82" fillId="8" borderId="4" xfId="54" applyFont="1" applyFill="1" applyBorder="1" applyAlignment="1">
      <alignment horizontal="right" vertical="center" indent="1"/>
      <protection locked="0"/>
    </xf>
    <xf numFmtId="0" fontId="82" fillId="8" borderId="0" xfId="54" applyFont="1" applyFill="1" applyAlignment="1">
      <alignment horizontal="right" vertical="center" indent="1"/>
      <protection locked="0"/>
    </xf>
    <xf numFmtId="0" fontId="14" fillId="0" borderId="9" xfId="54" applyFont="1" applyBorder="1" applyAlignment="1">
      <alignment horizontal="center" vertical="center" wrapText="1"/>
      <protection locked="0"/>
    </xf>
    <xf numFmtId="0" fontId="66" fillId="43" borderId="3" xfId="54" applyFont="1" applyFill="1" applyBorder="1" applyAlignment="1">
      <alignment horizontal="center" vertical="center"/>
      <protection locked="0"/>
    </xf>
    <xf numFmtId="0" fontId="66" fillId="43" borderId="5" xfId="54" applyFont="1" applyFill="1" applyBorder="1" applyAlignment="1">
      <alignment horizontal="center" vertical="center"/>
      <protection locked="0"/>
    </xf>
    <xf numFmtId="0" fontId="14" fillId="0" borderId="34" xfId="54" applyFont="1" applyBorder="1" applyAlignment="1">
      <alignment horizontal="center" vertical="center" wrapText="1"/>
      <protection locked="0"/>
    </xf>
    <xf numFmtId="0" fontId="80" fillId="8" borderId="70" xfId="54" applyFont="1" applyFill="1" applyBorder="1" applyAlignment="1">
      <alignment horizontal="center" vertical="center"/>
      <protection locked="0"/>
    </xf>
    <xf numFmtId="0" fontId="83" fillId="0" borderId="4" xfId="54" applyFont="1" applyBorder="1" applyAlignment="1">
      <alignment horizontal="center" vertical="center"/>
      <protection locked="0"/>
    </xf>
    <xf numFmtId="0" fontId="32" fillId="0" borderId="8" xfId="54" applyBorder="1" applyAlignment="1">
      <alignment vertical="center"/>
      <protection locked="0"/>
    </xf>
    <xf numFmtId="0" fontId="6" fillId="0" borderId="0" xfId="54" applyFont="1" applyAlignment="1">
      <alignment horizontal="left" vertical="center"/>
      <protection locked="0"/>
    </xf>
    <xf numFmtId="0" fontId="6" fillId="0" borderId="7" xfId="54" applyFont="1" applyBorder="1" applyAlignment="1">
      <alignment horizontal="left" vertical="center" wrapText="1"/>
      <protection locked="0"/>
    </xf>
    <xf numFmtId="0" fontId="6" fillId="0" borderId="84" xfId="54" applyFont="1" applyBorder="1" applyAlignment="1">
      <alignment horizontal="center" vertical="center" wrapText="1"/>
      <protection locked="0"/>
    </xf>
    <xf numFmtId="0" fontId="6" fillId="0" borderId="85" xfId="54" applyFont="1" applyBorder="1" applyAlignment="1">
      <alignment horizontal="center" vertical="center" wrapText="1"/>
      <protection locked="0"/>
    </xf>
    <xf numFmtId="0" fontId="6" fillId="0" borderId="86" xfId="54" applyFont="1" applyBorder="1" applyAlignment="1">
      <alignment horizontal="center" vertical="center" wrapText="1"/>
      <protection locked="0"/>
    </xf>
    <xf numFmtId="0" fontId="6" fillId="0" borderId="87" xfId="54" applyFont="1" applyBorder="1" applyAlignment="1">
      <alignment horizontal="center" vertical="center" wrapText="1"/>
      <protection locked="0"/>
    </xf>
    <xf numFmtId="0" fontId="68" fillId="8" borderId="4" xfId="54" applyFont="1" applyFill="1" applyBorder="1" applyAlignment="1">
      <alignment horizontal="center" vertical="center" wrapText="1"/>
      <protection locked="0"/>
    </xf>
    <xf numFmtId="0" fontId="68" fillId="8" borderId="0" xfId="54" applyFont="1" applyFill="1" applyAlignment="1">
      <alignment horizontal="center" vertical="center" wrapText="1"/>
      <protection locked="0"/>
    </xf>
    <xf numFmtId="0" fontId="68" fillId="8" borderId="88" xfId="54" applyFont="1" applyFill="1" applyBorder="1" applyAlignment="1">
      <alignment horizontal="center" vertical="center" wrapText="1"/>
      <protection locked="0"/>
    </xf>
    <xf numFmtId="0" fontId="68" fillId="8" borderId="86" xfId="54" applyFont="1" applyFill="1" applyBorder="1" applyAlignment="1">
      <alignment horizontal="center" vertical="center" wrapText="1"/>
      <protection locked="0"/>
    </xf>
    <xf numFmtId="0" fontId="68" fillId="8" borderId="87" xfId="54" applyFont="1" applyFill="1" applyBorder="1" applyAlignment="1">
      <alignment horizontal="center" vertical="center" wrapText="1"/>
      <protection locked="0"/>
    </xf>
    <xf numFmtId="0" fontId="68" fillId="8" borderId="89" xfId="54" applyFont="1" applyFill="1" applyBorder="1" applyAlignment="1">
      <alignment horizontal="center" vertical="center" wrapText="1"/>
      <protection locked="0"/>
    </xf>
    <xf numFmtId="0" fontId="6" fillId="0" borderId="90" xfId="54" applyFont="1" applyBorder="1" applyAlignment="1">
      <alignment horizontal="center" vertical="center" wrapText="1"/>
      <protection locked="0"/>
    </xf>
    <xf numFmtId="0" fontId="6" fillId="0" borderId="91" xfId="54" applyFont="1" applyBorder="1" applyAlignment="1">
      <alignment horizontal="center" vertical="center" wrapText="1"/>
      <protection locked="0"/>
    </xf>
    <xf numFmtId="0" fontId="66" fillId="8" borderId="8" xfId="54" applyFont="1" applyFill="1" applyBorder="1" applyAlignment="1">
      <alignment horizontal="left" vertical="center"/>
      <protection locked="0"/>
    </xf>
    <xf numFmtId="0" fontId="66" fillId="8" borderId="3" xfId="54" applyFont="1" applyFill="1" applyBorder="1" applyAlignment="1">
      <alignment horizontal="left" vertical="center"/>
      <protection locked="0"/>
    </xf>
    <xf numFmtId="0" fontId="66" fillId="8" borderId="0" xfId="54" applyFont="1" applyFill="1" applyAlignment="1">
      <alignment horizontal="left" vertical="center"/>
      <protection locked="0"/>
    </xf>
    <xf numFmtId="0" fontId="66" fillId="8" borderId="5" xfId="54" applyFont="1" applyFill="1" applyBorder="1" applyAlignment="1">
      <alignment horizontal="left" vertical="center"/>
      <protection locked="0"/>
    </xf>
    <xf numFmtId="0" fontId="84" fillId="45" borderId="2" xfId="54" applyFont="1" applyFill="1" applyBorder="1" applyAlignment="1">
      <alignment horizontal="center" vertical="center"/>
      <protection locked="0"/>
    </xf>
    <xf numFmtId="0" fontId="84" fillId="45" borderId="8" xfId="54" applyFont="1" applyFill="1" applyBorder="1" applyAlignment="1">
      <alignment horizontal="center" vertical="center"/>
      <protection locked="0"/>
    </xf>
    <xf numFmtId="0" fontId="84" fillId="45" borderId="86" xfId="54" applyFont="1" applyFill="1" applyBorder="1" applyAlignment="1">
      <alignment horizontal="center" vertical="center"/>
      <protection locked="0"/>
    </xf>
    <xf numFmtId="0" fontId="84" fillId="45" borderId="87" xfId="54" applyFont="1" applyFill="1" applyBorder="1" applyAlignment="1">
      <alignment horizontal="center" vertical="center"/>
      <protection locked="0"/>
    </xf>
    <xf numFmtId="0" fontId="19" fillId="43" borderId="90" xfId="54" applyFont="1" applyFill="1" applyBorder="1" applyAlignment="1">
      <alignment horizontal="center" vertical="center"/>
      <protection locked="0"/>
    </xf>
    <xf numFmtId="0" fontId="19" fillId="43" borderId="91" xfId="54" applyFont="1" applyFill="1" applyBorder="1" applyAlignment="1">
      <alignment horizontal="center" vertical="center"/>
      <protection locked="0"/>
    </xf>
    <xf numFmtId="0" fontId="19" fillId="43" borderId="92" xfId="54" applyFont="1" applyFill="1" applyBorder="1" applyAlignment="1">
      <alignment horizontal="center" vertical="center"/>
      <protection locked="0"/>
    </xf>
    <xf numFmtId="0" fontId="19" fillId="43" borderId="93" xfId="54" applyFont="1" applyFill="1" applyBorder="1" applyAlignment="1">
      <alignment horizontal="center" vertical="center"/>
      <protection locked="0"/>
    </xf>
    <xf numFmtId="0" fontId="5" fillId="46" borderId="82" xfId="54" applyFont="1" applyFill="1" applyBorder="1" applyAlignment="1">
      <alignment horizontal="center" vertical="center"/>
      <protection locked="0"/>
    </xf>
    <xf numFmtId="0" fontId="5" fillId="46" borderId="94" xfId="54" applyFont="1" applyFill="1" applyBorder="1" applyAlignment="1">
      <alignment horizontal="center" vertical="center"/>
      <protection locked="0"/>
    </xf>
    <xf numFmtId="0" fontId="19" fillId="43" borderId="84" xfId="54" applyFont="1" applyFill="1" applyBorder="1" applyAlignment="1">
      <alignment horizontal="center" vertical="center"/>
      <protection locked="0"/>
    </xf>
    <xf numFmtId="0" fontId="19" fillId="43" borderId="85" xfId="54" applyFont="1" applyFill="1" applyBorder="1" applyAlignment="1">
      <alignment horizontal="center" vertical="center"/>
      <protection locked="0"/>
    </xf>
    <xf numFmtId="0" fontId="26" fillId="46" borderId="4" xfId="0" applyFont="1" applyFill="1" applyBorder="1" applyAlignment="1">
      <alignment horizontal="center" vertical="center" wrapText="1"/>
    </xf>
    <xf numFmtId="0" fontId="26" fillId="46" borderId="0" xfId="0" applyFont="1" applyFill="1" applyAlignment="1">
      <alignment horizontal="center" vertical="center" wrapText="1"/>
    </xf>
    <xf numFmtId="49" fontId="65" fillId="8" borderId="3" xfId="54" applyNumberFormat="1" applyFont="1" applyFill="1" applyBorder="1" applyAlignment="1">
      <alignment horizontal="center" vertical="center"/>
      <protection locked="0"/>
    </xf>
    <xf numFmtId="49" fontId="65" fillId="8" borderId="5" xfId="54" applyNumberFormat="1" applyFont="1" applyFill="1" applyBorder="1" applyAlignment="1">
      <alignment horizontal="center" vertical="center"/>
      <protection locked="0"/>
    </xf>
    <xf numFmtId="49" fontId="65" fillId="8" borderId="7" xfId="54" applyNumberFormat="1" applyFont="1" applyFill="1" applyBorder="1" applyAlignment="1">
      <alignment horizontal="center" vertical="center"/>
      <protection locked="0"/>
    </xf>
    <xf numFmtId="0" fontId="23" fillId="0" borderId="4" xfId="54" applyFont="1" applyBorder="1" applyAlignment="1">
      <alignment horizontal="left" vertical="center" wrapText="1"/>
      <protection locked="0"/>
    </xf>
    <xf numFmtId="0" fontId="23" fillId="0" borderId="0" xfId="54" applyFont="1" applyAlignment="1">
      <alignment horizontal="left" vertical="center" wrapText="1"/>
      <protection locked="0"/>
    </xf>
    <xf numFmtId="0" fontId="23" fillId="0" borderId="5" xfId="54" applyFont="1" applyBorder="1" applyAlignment="1">
      <alignment horizontal="left" vertical="center" wrapText="1"/>
      <protection locked="0"/>
    </xf>
    <xf numFmtId="0" fontId="23" fillId="0" borderId="6" xfId="54" applyFont="1" applyBorder="1" applyAlignment="1">
      <alignment horizontal="left" vertical="center" wrapText="1"/>
      <protection locked="0"/>
    </xf>
    <xf numFmtId="0" fontId="23" fillId="0" borderId="9" xfId="54" applyFont="1" applyBorder="1" applyAlignment="1">
      <alignment horizontal="left" vertical="center" wrapText="1"/>
      <protection locked="0"/>
    </xf>
    <xf numFmtId="0" fontId="23" fillId="0" borderId="7" xfId="54" applyFont="1" applyBorder="1" applyAlignment="1">
      <alignment horizontal="left" vertical="center" wrapText="1"/>
      <protection locked="0"/>
    </xf>
    <xf numFmtId="0" fontId="6" fillId="0" borderId="95" xfId="54" applyFont="1" applyBorder="1" applyAlignment="1">
      <alignment horizontal="center" vertical="center" wrapText="1"/>
      <protection locked="0"/>
    </xf>
    <xf numFmtId="0" fontId="14" fillId="0" borderId="88" xfId="54" applyFont="1" applyBorder="1" applyAlignment="1">
      <alignment horizontal="center" vertical="center" wrapText="1"/>
      <protection locked="0"/>
    </xf>
    <xf numFmtId="0" fontId="14" fillId="0" borderId="85" xfId="54" applyFont="1" applyBorder="1" applyAlignment="1">
      <alignment horizontal="center" vertical="center" wrapText="1"/>
      <protection locked="0"/>
    </xf>
    <xf numFmtId="0" fontId="14" fillId="0" borderId="96" xfId="54" applyFont="1" applyBorder="1" applyAlignment="1">
      <alignment horizontal="center" vertical="center" wrapText="1"/>
      <protection locked="0"/>
    </xf>
    <xf numFmtId="0" fontId="6" fillId="0" borderId="97" xfId="54" applyFont="1" applyBorder="1" applyAlignment="1">
      <alignment horizontal="center" vertical="center" wrapText="1"/>
      <protection locked="0"/>
    </xf>
    <xf numFmtId="0" fontId="68" fillId="8" borderId="85" xfId="54" applyFont="1" applyFill="1" applyBorder="1" applyAlignment="1">
      <alignment horizontal="center" vertical="center" wrapText="1"/>
      <protection locked="0"/>
    </xf>
    <xf numFmtId="0" fontId="68" fillId="8" borderId="96" xfId="54" applyFont="1" applyFill="1" applyBorder="1" applyAlignment="1">
      <alignment horizontal="center" vertical="center" wrapText="1"/>
      <protection locked="0"/>
    </xf>
    <xf numFmtId="0" fontId="68" fillId="8" borderId="98" xfId="54" applyFont="1" applyFill="1" applyBorder="1" applyAlignment="1">
      <alignment horizontal="center" vertical="center" wrapText="1"/>
      <protection locked="0"/>
    </xf>
    <xf numFmtId="0" fontId="6" fillId="0" borderId="99" xfId="54" applyFont="1" applyBorder="1" applyAlignment="1">
      <alignment horizontal="center" vertical="center" wrapText="1"/>
      <protection locked="0"/>
    </xf>
    <xf numFmtId="0" fontId="6" fillId="0" borderId="94" xfId="54" applyFont="1" applyBorder="1" applyAlignment="1">
      <alignment horizontal="center" vertical="center" wrapText="1"/>
      <protection locked="0"/>
    </xf>
    <xf numFmtId="0" fontId="6" fillId="0" borderId="100" xfId="54" applyFont="1" applyBorder="1" applyAlignment="1">
      <alignment horizontal="center" vertical="center" wrapText="1"/>
      <protection locked="0"/>
    </xf>
    <xf numFmtId="0" fontId="84" fillId="45" borderId="3" xfId="54" applyFont="1" applyFill="1" applyBorder="1" applyAlignment="1">
      <alignment horizontal="center" vertical="center"/>
      <protection locked="0"/>
    </xf>
    <xf numFmtId="0" fontId="84" fillId="45" borderId="98" xfId="54" applyFont="1" applyFill="1" applyBorder="1" applyAlignment="1">
      <alignment horizontal="center" vertical="center"/>
      <protection locked="0"/>
    </xf>
    <xf numFmtId="0" fontId="19" fillId="43" borderId="99" xfId="54" applyFont="1" applyFill="1" applyBorder="1" applyAlignment="1">
      <alignment horizontal="center" vertical="center"/>
      <protection locked="0"/>
    </xf>
    <xf numFmtId="0" fontId="1" fillId="0" borderId="82" xfId="0" applyFont="1" applyBorder="1" applyAlignment="1">
      <alignment horizontal="center" vertical="center" wrapText="1"/>
    </xf>
    <xf numFmtId="0" fontId="1" fillId="0" borderId="94" xfId="0" applyFont="1" applyBorder="1" applyAlignment="1">
      <alignment horizontal="center" vertical="center" wrapText="1"/>
    </xf>
    <xf numFmtId="0" fontId="26" fillId="46" borderId="0" xfId="0" applyFont="1" applyFill="1" applyAlignment="1">
      <alignment horizontal="center" vertical="center"/>
    </xf>
    <xf numFmtId="0" fontId="26" fillId="46" borderId="5" xfId="0" applyFont="1" applyFill="1" applyBorder="1" applyAlignment="1">
      <alignment horizontal="center" vertical="center"/>
    </xf>
    <xf numFmtId="0" fontId="19" fillId="43" borderId="96" xfId="54" applyFont="1" applyFill="1" applyBorder="1" applyAlignment="1">
      <alignment horizontal="center" vertical="center"/>
      <protection locked="0"/>
    </xf>
    <xf numFmtId="0" fontId="26" fillId="46" borderId="5" xfId="0" applyFont="1" applyFill="1" applyBorder="1" applyAlignment="1">
      <alignment horizontal="center" vertical="center" wrapText="1"/>
    </xf>
    <xf numFmtId="0" fontId="67" fillId="0" borderId="0" xfId="54" applyFont="1" applyAlignment="1">
      <alignment vertical="center"/>
      <protection locked="0"/>
    </xf>
    <xf numFmtId="0" fontId="19" fillId="0" borderId="0" xfId="54" applyFont="1" applyAlignment="1">
      <alignment vertical="center"/>
      <protection locked="0"/>
    </xf>
    <xf numFmtId="0" fontId="85" fillId="0" borderId="2" xfId="54" applyFont="1" applyBorder="1" applyAlignment="1">
      <alignment horizontal="center" vertical="center"/>
      <protection locked="0"/>
    </xf>
    <xf numFmtId="0" fontId="85" fillId="0" borderId="8" xfId="54" applyFont="1" applyBorder="1" applyAlignment="1">
      <alignment horizontal="center" vertical="center"/>
      <protection locked="0"/>
    </xf>
    <xf numFmtId="0" fontId="85" fillId="0" borderId="6" xfId="54" applyFont="1" applyBorder="1" applyAlignment="1">
      <alignment horizontal="center" vertical="center"/>
      <protection locked="0"/>
    </xf>
    <xf numFmtId="0" fontId="85" fillId="0" borderId="9" xfId="54" applyFont="1" applyBorder="1" applyAlignment="1">
      <alignment horizontal="center" vertical="center"/>
      <protection locked="0"/>
    </xf>
    <xf numFmtId="0" fontId="67" fillId="0" borderId="79" xfId="54" applyFont="1" applyBorder="1" applyAlignment="1">
      <alignment horizontal="center" vertical="center" wrapText="1"/>
      <protection locked="0"/>
    </xf>
    <xf numFmtId="0" fontId="5" fillId="0" borderId="80" xfId="54" applyFont="1" applyBorder="1" applyAlignment="1">
      <alignment horizontal="center" vertical="center"/>
      <protection locked="0"/>
    </xf>
    <xf numFmtId="0" fontId="86" fillId="0" borderId="0" xfId="54" applyFont="1" applyAlignment="1">
      <alignment horizontal="center" vertical="center"/>
      <protection locked="0"/>
    </xf>
    <xf numFmtId="0" fontId="5" fillId="0" borderId="81" xfId="54" applyFont="1" applyBorder="1" applyAlignment="1">
      <alignment horizontal="center" vertical="center"/>
      <protection locked="0"/>
    </xf>
    <xf numFmtId="0" fontId="3" fillId="0" borderId="0" xfId="54" applyFont="1" applyAlignment="1">
      <alignment horizontal="center" vertical="center"/>
      <protection locked="0"/>
    </xf>
    <xf numFmtId="0" fontId="3" fillId="0" borderId="0" xfId="54" applyFont="1" applyAlignment="1">
      <alignment vertical="center"/>
      <protection locked="0"/>
    </xf>
    <xf numFmtId="0" fontId="86" fillId="0" borderId="0" xfId="54" applyFont="1" applyAlignment="1">
      <alignment horizontal="center"/>
      <protection locked="0"/>
    </xf>
    <xf numFmtId="0" fontId="87" fillId="0" borderId="2" xfId="54" applyFont="1" applyBorder="1" applyAlignment="1">
      <alignment horizontal="center" vertical="center" wrapText="1"/>
      <protection locked="0"/>
    </xf>
    <xf numFmtId="0" fontId="19" fillId="0" borderId="3" xfId="54" applyFont="1" applyBorder="1" applyAlignment="1">
      <alignment horizontal="center" vertical="center"/>
      <protection locked="0"/>
    </xf>
    <xf numFmtId="0" fontId="19" fillId="0" borderId="5" xfId="54" applyFont="1" applyBorder="1" applyAlignment="1">
      <alignment horizontal="center" vertical="center"/>
      <protection locked="0"/>
    </xf>
    <xf numFmtId="0" fontId="19" fillId="0" borderId="6" xfId="54" applyFont="1" applyBorder="1" applyAlignment="1">
      <alignment horizontal="center" vertical="center"/>
      <protection locked="0"/>
    </xf>
    <xf numFmtId="0" fontId="19" fillId="0" borderId="7" xfId="54" applyFont="1" applyBorder="1" applyAlignment="1">
      <alignment horizontal="center" vertical="center"/>
      <protection locked="0"/>
    </xf>
    <xf numFmtId="0" fontId="3" fillId="0" borderId="2" xfId="54" applyFont="1" applyBorder="1" applyAlignment="1">
      <alignment horizontal="center" vertical="center"/>
      <protection locked="0"/>
    </xf>
    <xf numFmtId="0" fontId="3" fillId="0" borderId="3" xfId="54" applyFont="1" applyBorder="1" applyAlignment="1">
      <alignment horizontal="center" vertical="center"/>
      <protection locked="0"/>
    </xf>
    <xf numFmtId="0" fontId="3" fillId="0" borderId="6" xfId="54" applyFont="1" applyBorder="1" applyAlignment="1">
      <alignment horizontal="center" vertical="center"/>
      <protection locked="0"/>
    </xf>
    <xf numFmtId="0" fontId="3" fillId="0" borderId="7" xfId="54" applyFont="1" applyBorder="1" applyAlignment="1">
      <alignment horizontal="center" vertical="center"/>
      <protection locked="0"/>
    </xf>
    <xf numFmtId="0" fontId="88" fillId="0" borderId="2" xfId="54" applyFont="1" applyBorder="1" applyAlignment="1">
      <alignment horizontal="center" vertical="center" wrapText="1"/>
      <protection locked="0"/>
    </xf>
    <xf numFmtId="0" fontId="84" fillId="0" borderId="3" xfId="54" applyFont="1" applyBorder="1" applyAlignment="1">
      <alignment horizontal="center" vertical="center"/>
      <protection locked="0"/>
    </xf>
    <xf numFmtId="0" fontId="84" fillId="0" borderId="4" xfId="54" applyFont="1" applyBorder="1" applyAlignment="1">
      <alignment horizontal="center" vertical="center"/>
      <protection locked="0"/>
    </xf>
    <xf numFmtId="0" fontId="84" fillId="0" borderId="5" xfId="54" applyFont="1" applyBorder="1" applyAlignment="1">
      <alignment horizontal="center" vertical="center"/>
      <protection locked="0"/>
    </xf>
    <xf numFmtId="0" fontId="84" fillId="0" borderId="6" xfId="54" applyFont="1" applyBorder="1" applyAlignment="1">
      <alignment horizontal="center" vertical="center"/>
      <protection locked="0"/>
    </xf>
    <xf numFmtId="0" fontId="84" fillId="0" borderId="7" xfId="54" applyFont="1" applyBorder="1" applyAlignment="1">
      <alignment horizontal="center" vertical="center"/>
      <protection locked="0"/>
    </xf>
    <xf numFmtId="49" fontId="6" fillId="0" borderId="80" xfId="54" applyNumberFormat="1" applyFont="1" applyBorder="1" applyAlignment="1">
      <alignment horizontal="center" vertical="center" wrapText="1"/>
      <protection locked="0"/>
    </xf>
    <xf numFmtId="49" fontId="14" fillId="0" borderId="80" xfId="54" applyNumberFormat="1" applyFont="1" applyBorder="1" applyAlignment="1">
      <alignment horizontal="center" vertical="center"/>
      <protection locked="0"/>
    </xf>
    <xf numFmtId="49" fontId="14" fillId="0" borderId="81" xfId="54" applyNumberFormat="1" applyFont="1" applyBorder="1" applyAlignment="1">
      <alignment horizontal="center" vertical="center"/>
      <protection locked="0"/>
    </xf>
    <xf numFmtId="0" fontId="85" fillId="0" borderId="3" xfId="54" applyFont="1" applyBorder="1" applyAlignment="1">
      <alignment horizontal="center" vertical="center"/>
      <protection locked="0"/>
    </xf>
    <xf numFmtId="0" fontId="85" fillId="0" borderId="7" xfId="54" applyFont="1" applyBorder="1" applyAlignment="1">
      <alignment horizontal="center" vertical="center"/>
      <protection locked="0"/>
    </xf>
    <xf numFmtId="0" fontId="67" fillId="0" borderId="2" xfId="54" applyFont="1" applyBorder="1" applyAlignment="1">
      <alignment horizontal="center" vertical="center" wrapText="1"/>
      <protection locked="0"/>
    </xf>
    <xf numFmtId="0" fontId="5" fillId="0" borderId="8" xfId="54" applyFont="1" applyBorder="1" applyAlignment="1">
      <alignment horizontal="center" vertical="center"/>
      <protection locked="0"/>
    </xf>
    <xf numFmtId="0" fontId="5" fillId="0" borderId="3" xfId="54" applyFont="1" applyBorder="1" applyAlignment="1">
      <alignment horizontal="center" vertical="center"/>
      <protection locked="0"/>
    </xf>
    <xf numFmtId="0" fontId="5" fillId="0" borderId="4" xfId="54" applyFont="1" applyBorder="1" applyAlignment="1">
      <alignment horizontal="center" vertical="center"/>
      <protection locked="0"/>
    </xf>
    <xf numFmtId="0" fontId="5" fillId="0" borderId="5" xfId="54" applyFont="1" applyBorder="1" applyAlignment="1">
      <alignment horizontal="center" vertical="center"/>
      <protection locked="0"/>
    </xf>
    <xf numFmtId="0" fontId="5" fillId="0" borderId="6" xfId="54" applyFont="1" applyBorder="1" applyAlignment="1">
      <alignment horizontal="center" vertical="center"/>
      <protection locked="0"/>
    </xf>
    <xf numFmtId="0" fontId="5" fillId="0" borderId="9" xfId="54" applyFont="1" applyBorder="1" applyAlignment="1">
      <alignment horizontal="center" vertical="center"/>
      <protection locked="0"/>
    </xf>
    <xf numFmtId="0" fontId="5" fillId="0" borderId="7" xfId="54" applyFont="1" applyBorder="1" applyAlignment="1">
      <alignment horizontal="center" vertical="center"/>
      <protection locked="0"/>
    </xf>
    <xf numFmtId="0" fontId="3" fillId="0" borderId="0" xfId="54" applyFont="1" applyAlignment="1">
      <alignment horizontal="right" vertical="center"/>
      <protection locked="0"/>
    </xf>
    <xf numFmtId="0" fontId="14" fillId="0" borderId="2" xfId="54" applyFont="1" applyBorder="1" applyAlignment="1">
      <alignment horizontal="center" vertical="center" wrapText="1"/>
      <protection locked="0"/>
    </xf>
    <xf numFmtId="0" fontId="14" fillId="0" borderId="3" xfId="54" applyFont="1" applyBorder="1" applyAlignment="1">
      <alignment horizontal="center" vertical="center"/>
      <protection locked="0"/>
    </xf>
    <xf numFmtId="0" fontId="14" fillId="0" borderId="5" xfId="54" applyFont="1" applyBorder="1" applyAlignment="1">
      <alignment horizontal="center" vertical="center"/>
      <protection locked="0"/>
    </xf>
    <xf numFmtId="0" fontId="3" fillId="0" borderId="8" xfId="54" applyFont="1" applyBorder="1" applyAlignment="1">
      <alignment horizontal="center" vertical="center"/>
      <protection locked="0"/>
    </xf>
    <xf numFmtId="0" fontId="3" fillId="0" borderId="4" xfId="54" applyFont="1" applyBorder="1" applyAlignment="1">
      <alignment horizontal="center" vertical="center"/>
      <protection locked="0"/>
    </xf>
    <xf numFmtId="0" fontId="3" fillId="0" borderId="5" xfId="54" applyFont="1" applyBorder="1" applyAlignment="1">
      <alignment horizontal="center" vertical="center"/>
      <protection locked="0"/>
    </xf>
    <xf numFmtId="0" fontId="3" fillId="0" borderId="9" xfId="54" applyFont="1" applyBorder="1" applyAlignment="1">
      <alignment horizontal="center" vertical="center"/>
      <protection locked="0"/>
    </xf>
    <xf numFmtId="0" fontId="14" fillId="0" borderId="4" xfId="54" applyFont="1" applyBorder="1" applyAlignment="1">
      <alignment vertical="center"/>
      <protection locked="0"/>
    </xf>
    <xf numFmtId="0" fontId="6" fillId="0" borderId="30" xfId="54" applyFont="1" applyBorder="1" applyAlignment="1">
      <alignment vertical="center"/>
      <protection locked="0"/>
    </xf>
    <xf numFmtId="0" fontId="89" fillId="0" borderId="0" xfId="54" applyFont="1" applyAlignment="1">
      <alignment horizontal="right" vertical="center"/>
      <protection locked="0"/>
    </xf>
    <xf numFmtId="0" fontId="3" fillId="0" borderId="2" xfId="54" applyFont="1" applyBorder="1" applyAlignment="1">
      <alignment horizontal="center" vertical="center" wrapText="1"/>
      <protection locked="0"/>
    </xf>
    <xf numFmtId="0" fontId="3" fillId="0" borderId="8" xfId="54" applyFont="1" applyBorder="1" applyAlignment="1">
      <alignment horizontal="center" vertical="center" wrapText="1"/>
      <protection locked="0"/>
    </xf>
    <xf numFmtId="0" fontId="3" fillId="0" borderId="4" xfId="54" applyFont="1" applyBorder="1" applyAlignment="1">
      <alignment horizontal="center" vertical="center" wrapText="1"/>
      <protection locked="0"/>
    </xf>
    <xf numFmtId="0" fontId="3" fillId="0" borderId="0" xfId="54" applyFont="1" applyAlignment="1">
      <alignment horizontal="center" vertical="center" wrapText="1"/>
      <protection locked="0"/>
    </xf>
    <xf numFmtId="0" fontId="3" fillId="0" borderId="6" xfId="54" applyFont="1" applyBorder="1" applyAlignment="1">
      <alignment horizontal="center" vertical="center" wrapText="1"/>
      <protection locked="0"/>
    </xf>
    <xf numFmtId="0" fontId="3" fillId="0" borderId="9" xfId="54" applyFont="1" applyBorder="1" applyAlignment="1">
      <alignment horizontal="center" vertical="center" wrapText="1"/>
      <protection locked="0"/>
    </xf>
    <xf numFmtId="0" fontId="19" fillId="0" borderId="2" xfId="54" applyFont="1" applyBorder="1" applyAlignment="1">
      <alignment horizontal="left" vertical="center" wrapText="1" indent="1"/>
      <protection locked="0"/>
    </xf>
    <xf numFmtId="0" fontId="19" fillId="0" borderId="8" xfId="54" applyFont="1" applyBorder="1" applyAlignment="1">
      <alignment horizontal="left" vertical="center" wrapText="1" indent="1"/>
      <protection locked="0"/>
    </xf>
    <xf numFmtId="0" fontId="19" fillId="0" borderId="4" xfId="54" applyFont="1" applyBorder="1" applyAlignment="1">
      <alignment horizontal="left" vertical="center" wrapText="1" indent="1"/>
      <protection locked="0"/>
    </xf>
    <xf numFmtId="0" fontId="19" fillId="0" borderId="0" xfId="54" applyFont="1" applyAlignment="1">
      <alignment horizontal="left" vertical="center" wrapText="1" indent="1"/>
      <protection locked="0"/>
    </xf>
    <xf numFmtId="0" fontId="19" fillId="0" borderId="6" xfId="54" applyFont="1" applyBorder="1" applyAlignment="1">
      <alignment horizontal="left" vertical="center" wrapText="1" indent="1"/>
      <protection locked="0"/>
    </xf>
    <xf numFmtId="0" fontId="19" fillId="0" borderId="9" xfId="54" applyFont="1" applyBorder="1" applyAlignment="1">
      <alignment horizontal="left" vertical="center" wrapText="1" indent="1"/>
      <protection locked="0"/>
    </xf>
    <xf numFmtId="0" fontId="6" fillId="0" borderId="8" xfId="54" applyFont="1" applyBorder="1" applyAlignment="1">
      <alignment vertical="center"/>
      <protection locked="0"/>
    </xf>
    <xf numFmtId="0" fontId="5" fillId="0" borderId="2" xfId="54" applyFont="1" applyBorder="1" applyAlignment="1">
      <alignment horizontal="center" vertical="center" wrapText="1"/>
      <protection locked="0"/>
    </xf>
    <xf numFmtId="0" fontId="5" fillId="0" borderId="8" xfId="54" applyFont="1" applyBorder="1" applyAlignment="1">
      <alignment horizontal="center" vertical="center" wrapText="1"/>
      <protection locked="0"/>
    </xf>
    <xf numFmtId="0" fontId="19" fillId="0" borderId="2" xfId="54" applyFont="1" applyBorder="1" applyAlignment="1">
      <alignment horizontal="center" vertical="center" wrapText="1"/>
      <protection locked="0"/>
    </xf>
    <xf numFmtId="0" fontId="19" fillId="0" borderId="8" xfId="54" applyFont="1" applyBorder="1" applyAlignment="1">
      <alignment horizontal="center" vertical="center" wrapText="1"/>
      <protection locked="0"/>
    </xf>
    <xf numFmtId="0" fontId="5" fillId="0" borderId="4" xfId="54" applyFont="1" applyBorder="1" applyAlignment="1">
      <alignment horizontal="center" vertical="center" wrapText="1"/>
      <protection locked="0"/>
    </xf>
    <xf numFmtId="0" fontId="5" fillId="0" borderId="0" xfId="54" applyFont="1" applyAlignment="1">
      <alignment horizontal="center" vertical="center" wrapText="1"/>
      <protection locked="0"/>
    </xf>
    <xf numFmtId="0" fontId="5" fillId="0" borderId="6" xfId="54" applyFont="1" applyBorder="1" applyAlignment="1">
      <alignment horizontal="center" vertical="center" wrapText="1"/>
      <protection locked="0"/>
    </xf>
    <xf numFmtId="0" fontId="5" fillId="0" borderId="9" xfId="54" applyFont="1" applyBorder="1" applyAlignment="1">
      <alignment horizontal="center" vertical="center" wrapText="1"/>
      <protection locked="0"/>
    </xf>
    <xf numFmtId="0" fontId="6" fillId="0" borderId="2" xfId="54" applyFont="1" applyBorder="1" applyAlignment="1">
      <alignment horizontal="center" vertical="center" wrapText="1"/>
      <protection locked="0"/>
    </xf>
    <xf numFmtId="0" fontId="6" fillId="0" borderId="8" xfId="54" applyFont="1" applyBorder="1" applyAlignment="1">
      <alignment horizontal="center" vertical="center" wrapText="1"/>
      <protection locked="0"/>
    </xf>
    <xf numFmtId="0" fontId="26" fillId="46" borderId="6" xfId="0" applyFont="1" applyFill="1" applyBorder="1" applyAlignment="1">
      <alignment horizontal="center" vertical="center" wrapText="1"/>
    </xf>
    <xf numFmtId="0" fontId="26" fillId="46" borderId="9" xfId="0" applyFont="1" applyFill="1" applyBorder="1" applyAlignment="1">
      <alignment horizontal="center" vertical="center" wrapText="1"/>
    </xf>
    <xf numFmtId="0" fontId="26" fillId="0" borderId="0" xfId="0" applyFont="1" applyAlignment="1">
      <alignment horizontal="center" vertical="center" wrapText="1"/>
    </xf>
    <xf numFmtId="0" fontId="3" fillId="0" borderId="3" xfId="54" applyFont="1" applyBorder="1" applyAlignment="1">
      <alignment horizontal="center" vertical="center" wrapText="1"/>
      <protection locked="0"/>
    </xf>
    <xf numFmtId="0" fontId="3" fillId="0" borderId="5" xfId="54" applyFont="1" applyBorder="1" applyAlignment="1">
      <alignment horizontal="center" vertical="center" wrapText="1"/>
      <protection locked="0"/>
    </xf>
    <xf numFmtId="0" fontId="3" fillId="0" borderId="7" xfId="54" applyFont="1" applyBorder="1" applyAlignment="1">
      <alignment horizontal="center" vertical="center" wrapText="1"/>
      <protection locked="0"/>
    </xf>
    <xf numFmtId="0" fontId="19" fillId="0" borderId="3" xfId="54" applyFont="1" applyBorder="1" applyAlignment="1">
      <alignment horizontal="left" vertical="center" wrapText="1" indent="1"/>
      <protection locked="0"/>
    </xf>
    <xf numFmtId="0" fontId="6" fillId="0" borderId="2" xfId="54" applyFont="1" applyBorder="1" applyAlignment="1">
      <alignment horizontal="left" vertical="center" wrapText="1" indent="1"/>
      <protection locked="0"/>
    </xf>
    <xf numFmtId="0" fontId="6" fillId="0" borderId="8" xfId="54" applyFont="1" applyBorder="1" applyAlignment="1">
      <alignment horizontal="left" vertical="center" wrapText="1" indent="1"/>
      <protection locked="0"/>
    </xf>
    <xf numFmtId="0" fontId="19" fillId="0" borderId="5" xfId="54" applyFont="1" applyBorder="1" applyAlignment="1">
      <alignment horizontal="left" vertical="center" wrapText="1" indent="1"/>
      <protection locked="0"/>
    </xf>
    <xf numFmtId="0" fontId="6" fillId="0" borderId="4" xfId="54" applyFont="1" applyBorder="1" applyAlignment="1">
      <alignment horizontal="left" vertical="center" wrapText="1" indent="1"/>
      <protection locked="0"/>
    </xf>
    <xf numFmtId="0" fontId="6" fillId="0" borderId="0" xfId="54" applyFont="1" applyAlignment="1">
      <alignment horizontal="left" vertical="center" wrapText="1" indent="1"/>
      <protection locked="0"/>
    </xf>
    <xf numFmtId="0" fontId="19" fillId="0" borderId="7" xfId="54" applyFont="1" applyBorder="1" applyAlignment="1">
      <alignment horizontal="left" vertical="center" wrapText="1" indent="1"/>
      <protection locked="0"/>
    </xf>
    <xf numFmtId="0" fontId="6" fillId="0" borderId="6" xfId="54" applyFont="1" applyBorder="1" applyAlignment="1">
      <alignment horizontal="left" vertical="center" wrapText="1" indent="1"/>
      <protection locked="0"/>
    </xf>
    <xf numFmtId="0" fontId="6" fillId="0" borderId="9" xfId="54" applyFont="1" applyBorder="1" applyAlignment="1">
      <alignment horizontal="left" vertical="center" wrapText="1" indent="1"/>
      <protection locked="0"/>
    </xf>
    <xf numFmtId="0" fontId="3" fillId="0" borderId="0" xfId="54" applyFont="1" applyAlignment="1">
      <alignment vertical="center" wrapText="1"/>
      <protection locked="0"/>
    </xf>
    <xf numFmtId="0" fontId="19" fillId="0" borderId="3" xfId="54" applyFont="1" applyBorder="1" applyAlignment="1">
      <alignment horizontal="center" vertical="center" wrapText="1"/>
      <protection locked="0"/>
    </xf>
    <xf numFmtId="0" fontId="5" fillId="0" borderId="3" xfId="54" applyFont="1" applyBorder="1" applyAlignment="1">
      <alignment horizontal="center" vertical="center" wrapText="1"/>
      <protection locked="0"/>
    </xf>
    <xf numFmtId="0" fontId="90" fillId="0" borderId="0" xfId="54" applyFont="1" applyAlignment="1">
      <alignment horizontal="center" vertical="center"/>
      <protection locked="0"/>
    </xf>
    <xf numFmtId="0" fontId="5" fillId="0" borderId="5" xfId="54" applyFont="1" applyBorder="1" applyAlignment="1">
      <alignment horizontal="center" vertical="center" wrapText="1"/>
      <protection locked="0"/>
    </xf>
    <xf numFmtId="0" fontId="5" fillId="0" borderId="7" xfId="54" applyFont="1" applyBorder="1" applyAlignment="1">
      <alignment horizontal="center" vertical="center" wrapText="1"/>
      <protection locked="0"/>
    </xf>
    <xf numFmtId="0" fontId="6" fillId="0" borderId="8" xfId="54" applyFont="1" applyBorder="1" applyAlignment="1">
      <alignment horizontal="center" vertical="center"/>
      <protection locked="0"/>
    </xf>
    <xf numFmtId="0" fontId="6" fillId="0" borderId="3" xfId="54" applyFont="1" applyBorder="1" applyAlignment="1">
      <alignment horizontal="center" vertical="center"/>
      <protection locked="0"/>
    </xf>
    <xf numFmtId="0" fontId="6" fillId="0" borderId="3" xfId="54" applyFont="1" applyBorder="1" applyAlignment="1">
      <alignment horizontal="center" vertical="center" wrapText="1"/>
      <protection locked="0"/>
    </xf>
    <xf numFmtId="0" fontId="26" fillId="46" borderId="7" xfId="0" applyFont="1" applyFill="1" applyBorder="1" applyAlignment="1">
      <alignment horizontal="center" vertical="center" wrapText="1"/>
    </xf>
    <xf numFmtId="0" fontId="89" fillId="0" borderId="0" xfId="54" applyFont="1" applyAlignment="1">
      <alignment horizontal="left" vertical="center"/>
      <protection locked="0"/>
    </xf>
    <xf numFmtId="0" fontId="6" fillId="0" borderId="3" xfId="54" applyFont="1" applyBorder="1" applyAlignment="1">
      <alignment horizontal="left" vertical="center" wrapText="1" indent="1"/>
      <protection locked="0"/>
    </xf>
    <xf numFmtId="0" fontId="91" fillId="0" borderId="2" xfId="54" applyFont="1" applyBorder="1" applyAlignment="1">
      <alignment horizontal="center" vertical="center" wrapText="1"/>
      <protection locked="0"/>
    </xf>
    <xf numFmtId="0" fontId="91" fillId="0" borderId="3" xfId="54" applyFont="1" applyBorder="1" applyAlignment="1">
      <alignment horizontal="center" vertical="center" wrapText="1"/>
      <protection locked="0"/>
    </xf>
    <xf numFmtId="0" fontId="6" fillId="0" borderId="5" xfId="54" applyFont="1" applyBorder="1" applyAlignment="1">
      <alignment horizontal="left" vertical="center" wrapText="1" indent="1"/>
      <protection locked="0"/>
    </xf>
    <xf numFmtId="0" fontId="91" fillId="0" borderId="4" xfId="54" applyFont="1" applyBorder="1" applyAlignment="1">
      <alignment horizontal="center" vertical="center" wrapText="1"/>
      <protection locked="0"/>
    </xf>
    <xf numFmtId="0" fontId="91" fillId="0" borderId="5" xfId="54" applyFont="1" applyBorder="1" applyAlignment="1">
      <alignment horizontal="center" vertical="center" wrapText="1"/>
      <protection locked="0"/>
    </xf>
    <xf numFmtId="0" fontId="6" fillId="0" borderId="7" xfId="54" applyFont="1" applyBorder="1" applyAlignment="1">
      <alignment horizontal="left" vertical="center" wrapText="1" indent="1"/>
      <protection locked="0"/>
    </xf>
    <xf numFmtId="0" fontId="91" fillId="0" borderId="6" xfId="54" applyFont="1" applyBorder="1" applyAlignment="1">
      <alignment horizontal="center" vertical="center" wrapText="1"/>
      <protection locked="0"/>
    </xf>
    <xf numFmtId="0" fontId="91" fillId="0" borderId="7" xfId="54" applyFont="1" applyBorder="1" applyAlignment="1">
      <alignment horizontal="center" vertical="center" wrapText="1"/>
      <protection locked="0"/>
    </xf>
    <xf numFmtId="0" fontId="19" fillId="0" borderId="6" xfId="54" applyFont="1" applyBorder="1" applyAlignment="1">
      <alignment horizontal="center" vertical="center" wrapText="1"/>
      <protection locked="0"/>
    </xf>
    <xf numFmtId="0" fontId="19" fillId="0" borderId="7" xfId="54" applyFont="1" applyBorder="1" applyAlignment="1">
      <alignment horizontal="center" vertical="center" wrapText="1"/>
      <protection locked="0"/>
    </xf>
    <xf numFmtId="0" fontId="88" fillId="0" borderId="0" xfId="54" applyFont="1" applyAlignment="1">
      <alignment horizontal="center" vertical="center" wrapText="1"/>
      <protection locked="0"/>
    </xf>
    <xf numFmtId="0" fontId="6" fillId="0" borderId="2" xfId="54" applyFont="1" applyBorder="1" applyAlignment="1">
      <alignment horizontal="center" vertical="center"/>
      <protection locked="0"/>
    </xf>
    <xf numFmtId="0" fontId="28" fillId="8" borderId="2" xfId="0" applyFont="1" applyFill="1" applyBorder="1" applyAlignment="1">
      <alignment horizontal="center" vertical="center"/>
    </xf>
    <xf numFmtId="0" fontId="28" fillId="8" borderId="8" xfId="0" applyFont="1" applyFill="1" applyBorder="1" applyAlignment="1">
      <alignment horizontal="center" vertical="center"/>
    </xf>
    <xf numFmtId="0" fontId="28" fillId="8" borderId="4" xfId="0" applyFont="1" applyFill="1" applyBorder="1" applyAlignment="1">
      <alignment horizontal="center" vertical="center"/>
    </xf>
    <xf numFmtId="0" fontId="28" fillId="8" borderId="0" xfId="0" applyFont="1" applyFill="1" applyAlignment="1">
      <alignment horizontal="center" vertical="center"/>
    </xf>
    <xf numFmtId="0" fontId="2" fillId="0" borderId="0" xfId="0" applyFont="1" applyAlignment="1">
      <alignment horizontal="center" vertical="center"/>
    </xf>
    <xf numFmtId="0" fontId="28" fillId="8" borderId="6" xfId="0" applyFont="1" applyFill="1" applyBorder="1" applyAlignment="1">
      <alignment horizontal="center" vertical="center"/>
    </xf>
    <xf numFmtId="0" fontId="28" fillId="8" borderId="9" xfId="0" applyFont="1" applyFill="1" applyBorder="1" applyAlignment="1">
      <alignment horizontal="center" vertical="center"/>
    </xf>
    <xf numFmtId="0" fontId="7" fillId="0" borderId="0" xfId="0" applyFont="1">
      <alignment vertical="center"/>
    </xf>
    <xf numFmtId="0" fontId="21" fillId="0" borderId="0" xfId="0" applyFont="1" applyAlignment="1">
      <alignment horizontal="center" vertical="center" wrapText="1"/>
    </xf>
    <xf numFmtId="0" fontId="24" fillId="0" borderId="0" xfId="0" applyFont="1" applyAlignment="1">
      <alignment horizontal="left" vertical="center" wrapText="1"/>
    </xf>
    <xf numFmtId="0" fontId="24" fillId="0" borderId="0" xfId="0" applyFont="1" applyAlignment="1">
      <alignment vertical="center" wrapText="1"/>
    </xf>
    <xf numFmtId="0" fontId="21" fillId="0" borderId="0" xfId="0" applyFont="1">
      <alignment vertical="center"/>
    </xf>
    <xf numFmtId="180" fontId="1" fillId="0" borderId="0" xfId="0" applyNumberFormat="1" applyFont="1" applyAlignment="1">
      <alignment horizontal="center" vertical="center"/>
    </xf>
    <xf numFmtId="0" fontId="92" fillId="0" borderId="0" xfId="0" applyFont="1" applyAlignment="1">
      <alignment horizontal="left" vertical="center" indent="4"/>
    </xf>
    <xf numFmtId="0" fontId="93" fillId="0" borderId="0" xfId="0" applyFont="1" applyAlignment="1">
      <alignment horizontal="left" vertical="center" indent="4"/>
    </xf>
    <xf numFmtId="0" fontId="94" fillId="7" borderId="2" xfId="0" applyFont="1" applyFill="1" applyBorder="1" applyAlignment="1">
      <alignment horizontal="center" vertical="center"/>
    </xf>
    <xf numFmtId="0" fontId="94" fillId="7" borderId="8" xfId="0" applyFont="1" applyFill="1" applyBorder="1" applyAlignment="1">
      <alignment horizontal="center" vertical="center"/>
    </xf>
    <xf numFmtId="0" fontId="95" fillId="3" borderId="4" xfId="0" applyFont="1" applyFill="1" applyBorder="1" applyAlignment="1">
      <alignment horizontal="center" vertical="center"/>
    </xf>
    <xf numFmtId="0" fontId="95" fillId="3" borderId="0" xfId="0" applyFont="1" applyFill="1" applyAlignment="1">
      <alignment horizontal="center" vertical="center"/>
    </xf>
    <xf numFmtId="0" fontId="95" fillId="0" borderId="4" xfId="0" applyFont="1" applyBorder="1" applyAlignment="1" applyProtection="1">
      <alignment horizontal="left" vertical="center" indent="1"/>
      <protection locked="0"/>
    </xf>
    <xf numFmtId="0" fontId="95" fillId="0" borderId="0" xfId="0" applyFont="1" applyAlignment="1" applyProtection="1">
      <alignment horizontal="left" vertical="center" indent="1"/>
      <protection locked="0"/>
    </xf>
    <xf numFmtId="0" fontId="95" fillId="8" borderId="4" xfId="0" applyFont="1" applyFill="1" applyBorder="1" applyAlignment="1" applyProtection="1">
      <alignment horizontal="left" vertical="center" indent="1"/>
      <protection locked="0"/>
    </xf>
    <xf numFmtId="0" fontId="95" fillId="8" borderId="0" xfId="0" applyFont="1" applyFill="1" applyAlignment="1" applyProtection="1">
      <alignment horizontal="left" vertical="center" indent="1"/>
      <protection locked="0"/>
    </xf>
    <xf numFmtId="0" fontId="95" fillId="8" borderId="6" xfId="0" applyFont="1" applyFill="1" applyBorder="1" applyAlignment="1" applyProtection="1">
      <alignment horizontal="left" vertical="center" indent="1"/>
      <protection locked="0"/>
    </xf>
    <xf numFmtId="0" fontId="95" fillId="8" borderId="9" xfId="0" applyFont="1" applyFill="1" applyBorder="1" applyAlignment="1" applyProtection="1">
      <alignment horizontal="left" vertical="center" indent="1"/>
      <protection locked="0"/>
    </xf>
    <xf numFmtId="0" fontId="95" fillId="0" borderId="0" xfId="0" applyFont="1" applyProtection="1">
      <alignment vertical="center"/>
      <protection locked="0"/>
    </xf>
    <xf numFmtId="0" fontId="95" fillId="0" borderId="0" xfId="0" applyFont="1" applyAlignment="1" applyProtection="1">
      <alignment horizontal="left" vertical="center"/>
      <protection locked="0"/>
    </xf>
    <xf numFmtId="0" fontId="57" fillId="11" borderId="2" xfId="0" applyFont="1" applyFill="1" applyBorder="1" applyAlignment="1">
      <alignment horizontal="center" vertical="center"/>
    </xf>
    <xf numFmtId="0" fontId="57" fillId="11" borderId="8" xfId="0" applyFont="1" applyFill="1" applyBorder="1" applyAlignment="1">
      <alignment horizontal="center" vertical="center"/>
    </xf>
    <xf numFmtId="0" fontId="24" fillId="7" borderId="4" xfId="0" applyFont="1" applyFill="1" applyBorder="1" applyAlignment="1">
      <alignment horizontal="center" vertical="center"/>
    </xf>
    <xf numFmtId="0" fontId="24" fillId="7" borderId="0" xfId="0" applyFont="1" applyFill="1" applyAlignment="1">
      <alignment horizontal="center" vertical="center"/>
    </xf>
    <xf numFmtId="0" fontId="24" fillId="0" borderId="4" xfId="0" applyFont="1" applyBorder="1" applyAlignment="1">
      <alignment horizontal="center" vertical="center"/>
    </xf>
    <xf numFmtId="0" fontId="24" fillId="0" borderId="0" xfId="0" applyFont="1" applyAlignment="1">
      <alignment horizontal="center" vertical="center"/>
    </xf>
    <xf numFmtId="0" fontId="24" fillId="8" borderId="4" xfId="0" applyFont="1" applyFill="1" applyBorder="1" applyAlignment="1">
      <alignment horizontal="center" vertical="center"/>
    </xf>
    <xf numFmtId="0" fontId="24" fillId="8" borderId="0" xfId="0" applyFont="1" applyFill="1" applyAlignment="1">
      <alignment horizontal="center" vertical="center"/>
    </xf>
    <xf numFmtId="0" fontId="24" fillId="8" borderId="0" xfId="0" applyFont="1" applyFill="1" applyAlignment="1">
      <alignment horizontal="center" vertical="center" wrapText="1"/>
    </xf>
    <xf numFmtId="0" fontId="24" fillId="0" borderId="0" xfId="0" applyFont="1" applyAlignment="1">
      <alignment horizontal="center" vertical="center" wrapText="1"/>
    </xf>
    <xf numFmtId="0" fontId="24" fillId="8" borderId="6" xfId="0" applyFont="1" applyFill="1" applyBorder="1" applyAlignment="1">
      <alignment horizontal="center" vertical="center"/>
    </xf>
    <xf numFmtId="0" fontId="24" fillId="8" borderId="9" xfId="0" applyFont="1" applyFill="1" applyBorder="1" applyAlignment="1">
      <alignment horizontal="center" vertical="center"/>
    </xf>
    <xf numFmtId="0" fontId="24" fillId="7" borderId="2" xfId="0" applyFont="1" applyFill="1" applyBorder="1" applyAlignment="1">
      <alignment horizontal="center" vertical="center"/>
    </xf>
    <xf numFmtId="0" fontId="24" fillId="7" borderId="8" xfId="0" applyFont="1" applyFill="1" applyBorder="1" applyAlignment="1">
      <alignment horizontal="center" vertical="center"/>
    </xf>
    <xf numFmtId="0" fontId="24" fillId="0" borderId="4" xfId="0" applyFont="1" applyBorder="1" applyAlignment="1">
      <alignment horizontal="left" vertical="center" wrapText="1"/>
    </xf>
    <xf numFmtId="0" fontId="24" fillId="0" borderId="6" xfId="0" applyFont="1" applyBorder="1" applyAlignment="1">
      <alignment horizontal="left" vertical="center" wrapText="1"/>
    </xf>
    <xf numFmtId="0" fontId="24" fillId="0" borderId="9" xfId="0" applyFont="1" applyBorder="1" applyAlignment="1">
      <alignment horizontal="left" vertical="center" wrapText="1"/>
    </xf>
    <xf numFmtId="0" fontId="94" fillId="7" borderId="3" xfId="0" applyFont="1" applyFill="1" applyBorder="1" applyAlignment="1">
      <alignment horizontal="center" vertical="center"/>
    </xf>
    <xf numFmtId="0" fontId="95" fillId="3" borderId="5" xfId="0" applyFont="1" applyFill="1" applyBorder="1" applyAlignment="1">
      <alignment horizontal="center" vertical="center"/>
    </xf>
    <xf numFmtId="0" fontId="95" fillId="0" borderId="5" xfId="0" applyFont="1" applyBorder="1" applyAlignment="1" applyProtection="1">
      <alignment horizontal="left" vertical="center"/>
      <protection locked="0"/>
    </xf>
    <xf numFmtId="0" fontId="95" fillId="8" borderId="5" xfId="0" applyFont="1" applyFill="1" applyBorder="1" applyAlignment="1" applyProtection="1">
      <alignment horizontal="left" vertical="center"/>
      <protection locked="0"/>
    </xf>
    <xf numFmtId="0" fontId="95" fillId="0" borderId="6" xfId="0" applyFont="1" applyBorder="1" applyAlignment="1" applyProtection="1">
      <alignment horizontal="left" vertical="center" indent="1"/>
      <protection locked="0"/>
    </xf>
    <xf numFmtId="0" fontId="95" fillId="0" borderId="9" xfId="0" applyFont="1" applyBorder="1" applyAlignment="1" applyProtection="1">
      <alignment horizontal="left" vertical="center" indent="1"/>
      <protection locked="0"/>
    </xf>
    <xf numFmtId="0" fontId="95" fillId="8" borderId="7" xfId="0" applyFont="1" applyFill="1" applyBorder="1" applyAlignment="1" applyProtection="1">
      <alignment horizontal="left" vertical="center"/>
      <protection locked="0"/>
    </xf>
    <xf numFmtId="0" fontId="57" fillId="11" borderId="3" xfId="0" applyFont="1" applyFill="1" applyBorder="1" applyAlignment="1">
      <alignment horizontal="center" vertical="center"/>
    </xf>
    <xf numFmtId="0" fontId="24" fillId="7" borderId="5" xfId="0" applyFont="1" applyFill="1" applyBorder="1" applyAlignment="1">
      <alignment horizontal="center" vertical="center"/>
    </xf>
    <xf numFmtId="0" fontId="24" fillId="0" borderId="5" xfId="0" applyFont="1" applyBorder="1" applyAlignment="1">
      <alignment horizontal="center" vertical="center"/>
    </xf>
    <xf numFmtId="0" fontId="24" fillId="8" borderId="5" xfId="0" applyFont="1" applyFill="1" applyBorder="1" applyAlignment="1">
      <alignment horizontal="center" vertical="center"/>
    </xf>
    <xf numFmtId="0" fontId="24" fillId="8" borderId="7" xfId="0" applyFont="1" applyFill="1" applyBorder="1" applyAlignment="1">
      <alignment horizontal="center" vertical="center"/>
    </xf>
    <xf numFmtId="0" fontId="24" fillId="7" borderId="3" xfId="0" applyFont="1" applyFill="1" applyBorder="1" applyAlignment="1">
      <alignment horizontal="center" vertical="center"/>
    </xf>
    <xf numFmtId="0" fontId="24" fillId="0" borderId="5" xfId="0" applyFont="1" applyBorder="1" applyAlignment="1">
      <alignment horizontal="left" vertical="center" wrapText="1"/>
    </xf>
    <xf numFmtId="0" fontId="24" fillId="0" borderId="7" xfId="0" applyFont="1" applyBorder="1" applyAlignment="1">
      <alignment horizontal="left" vertical="center" wrapText="1"/>
    </xf>
    <xf numFmtId="0" fontId="95" fillId="0" borderId="7" xfId="0" applyFont="1" applyBorder="1" applyAlignment="1" applyProtection="1">
      <alignment horizontal="left" vertical="center"/>
      <protection locked="0"/>
    </xf>
    <xf numFmtId="181" fontId="95" fillId="0" borderId="5" xfId="0" applyNumberFormat="1" applyFont="1" applyBorder="1" applyAlignment="1" applyProtection="1">
      <alignment horizontal="left" vertical="center"/>
      <protection locked="0"/>
    </xf>
    <xf numFmtId="181" fontId="95" fillId="8" borderId="5" xfId="0" applyNumberFormat="1" applyFont="1" applyFill="1" applyBorder="1" applyAlignment="1" applyProtection="1">
      <alignment horizontal="left" vertical="center"/>
      <protection locked="0"/>
    </xf>
    <xf numFmtId="181" fontId="95" fillId="8" borderId="7" xfId="0" applyNumberFormat="1" applyFont="1" applyFill="1" applyBorder="1" applyAlignment="1" applyProtection="1">
      <alignment horizontal="left" vertical="center"/>
      <protection locked="0"/>
    </xf>
    <xf numFmtId="0" fontId="22" fillId="7" borderId="2" xfId="0" applyFont="1" applyFill="1" applyBorder="1" applyAlignment="1">
      <alignment horizontal="center" vertical="center"/>
    </xf>
    <xf numFmtId="0" fontId="22" fillId="7" borderId="8" xfId="0" applyFont="1" applyFill="1" applyBorder="1" applyAlignment="1">
      <alignment horizontal="center" vertical="center"/>
    </xf>
    <xf numFmtId="0" fontId="96" fillId="0" borderId="6" xfId="0" applyFont="1" applyBorder="1" applyAlignment="1">
      <alignment horizontal="left" vertical="center" wrapText="1"/>
    </xf>
    <xf numFmtId="0" fontId="96" fillId="0" borderId="9" xfId="0" applyFont="1" applyBorder="1" applyAlignment="1">
      <alignment horizontal="left" vertical="center" wrapText="1"/>
    </xf>
    <xf numFmtId="0" fontId="95" fillId="47" borderId="7" xfId="0" applyFont="1" applyFill="1" applyBorder="1" applyAlignment="1" applyProtection="1">
      <alignment horizontal="left" vertical="center"/>
      <protection locked="0"/>
    </xf>
    <xf numFmtId="0" fontId="95" fillId="7" borderId="2" xfId="0" applyFont="1" applyFill="1" applyBorder="1" applyAlignment="1">
      <alignment horizontal="center" vertical="center"/>
    </xf>
    <xf numFmtId="0" fontId="95" fillId="7" borderId="8" xfId="0" applyFont="1" applyFill="1" applyBorder="1" applyAlignment="1">
      <alignment horizontal="center" vertical="center"/>
    </xf>
    <xf numFmtId="0" fontId="95" fillId="7" borderId="3" xfId="0" applyFont="1" applyFill="1" applyBorder="1" applyAlignment="1">
      <alignment horizontal="center" vertical="center"/>
    </xf>
    <xf numFmtId="0" fontId="22" fillId="7" borderId="3" xfId="0" applyFont="1" applyFill="1" applyBorder="1" applyAlignment="1">
      <alignment horizontal="center" vertical="center"/>
    </xf>
    <xf numFmtId="0" fontId="96" fillId="0" borderId="7" xfId="0" applyFont="1" applyBorder="1" applyAlignment="1">
      <alignment horizontal="left" vertical="center" wrapText="1"/>
    </xf>
    <xf numFmtId="0" fontId="95" fillId="0" borderId="5" xfId="0" applyFont="1" applyBorder="1" applyAlignment="1" applyProtection="1">
      <alignment horizontal="left" vertical="center" indent="1"/>
      <protection locked="0"/>
    </xf>
    <xf numFmtId="0" fontId="95" fillId="8" borderId="5" xfId="0" applyFont="1" applyFill="1" applyBorder="1" applyAlignment="1" applyProtection="1">
      <alignment horizontal="left" vertical="center" indent="1"/>
      <protection locked="0"/>
    </xf>
    <xf numFmtId="0" fontId="95" fillId="0" borderId="7" xfId="0" applyFont="1" applyBorder="1" applyAlignment="1" applyProtection="1">
      <alignment horizontal="left" vertical="center" indent="1"/>
      <protection locked="0"/>
    </xf>
    <xf numFmtId="0" fontId="33" fillId="0" borderId="0" xfId="0" applyFont="1" applyAlignment="1" applyProtection="1">
      <alignment horizontal="center" vertical="center"/>
      <protection locked="0"/>
    </xf>
    <xf numFmtId="0" fontId="95" fillId="8" borderId="7" xfId="0" applyFont="1" applyFill="1" applyBorder="1" applyAlignment="1" applyProtection="1">
      <alignment horizontal="left" vertical="center" indent="1"/>
      <protection locked="0"/>
    </xf>
    <xf numFmtId="0" fontId="95" fillId="0" borderId="4" xfId="0" applyFont="1" applyBorder="1" applyAlignment="1" applyProtection="1">
      <alignment horizontal="left" vertical="center"/>
      <protection locked="0"/>
    </xf>
    <xf numFmtId="0" fontId="37" fillId="8" borderId="0" xfId="0" applyFont="1" applyFill="1" applyAlignment="1" applyProtection="1">
      <alignment horizontal="left" vertical="center"/>
      <protection locked="0"/>
    </xf>
    <xf numFmtId="0" fontId="95" fillId="8" borderId="6" xfId="0" applyFont="1" applyFill="1" applyBorder="1" applyAlignment="1" applyProtection="1">
      <alignment horizontal="left" vertical="center"/>
      <protection locked="0"/>
    </xf>
    <xf numFmtId="0" fontId="95" fillId="8" borderId="9" xfId="0" applyFont="1" applyFill="1" applyBorder="1" applyAlignment="1" applyProtection="1">
      <alignment horizontal="left" vertical="center"/>
      <protection locked="0"/>
    </xf>
    <xf numFmtId="0" fontId="46" fillId="0" borderId="4" xfId="0" applyFont="1" applyBorder="1" applyAlignment="1" applyProtection="1">
      <alignment horizontal="left" vertical="center"/>
      <protection locked="0"/>
    </xf>
    <xf numFmtId="0" fontId="46" fillId="0" borderId="0" xfId="0" applyFont="1" applyAlignment="1" applyProtection="1">
      <alignment horizontal="left" vertical="center"/>
      <protection locked="0"/>
    </xf>
    <xf numFmtId="0" fontId="95" fillId="8" borderId="4" xfId="0" applyFont="1" applyFill="1" applyBorder="1" applyAlignment="1" applyProtection="1">
      <alignment horizontal="left" vertical="center"/>
      <protection locked="0"/>
    </xf>
    <xf numFmtId="0" fontId="95" fillId="8" borderId="0" xfId="0" applyFont="1" applyFill="1" applyAlignment="1" applyProtection="1">
      <alignment horizontal="left" vertical="center"/>
      <protection locked="0"/>
    </xf>
    <xf numFmtId="0" fontId="7" fillId="0" borderId="0" xfId="0" applyFont="1" applyAlignment="1">
      <alignment horizontal="center" vertical="center"/>
    </xf>
    <xf numFmtId="0" fontId="95" fillId="0" borderId="4" xfId="0" applyFont="1" applyBorder="1" applyAlignment="1" applyProtection="1">
      <alignment horizontal="left" vertical="top" indent="1"/>
      <protection locked="0"/>
    </xf>
    <xf numFmtId="0" fontId="95" fillId="0" borderId="0" xfId="0" applyFont="1" applyAlignment="1" applyProtection="1">
      <alignment horizontal="left" vertical="top" indent="1"/>
      <protection locked="0"/>
    </xf>
    <xf numFmtId="0" fontId="37" fillId="8" borderId="4" xfId="0" applyFont="1" applyFill="1" applyBorder="1" applyAlignment="1" applyProtection="1">
      <alignment horizontal="left" vertical="top" indent="1"/>
      <protection locked="0"/>
    </xf>
    <xf numFmtId="0" fontId="37" fillId="8" borderId="0" xfId="0" applyFont="1" applyFill="1" applyAlignment="1" applyProtection="1">
      <alignment horizontal="left" vertical="top" indent="1"/>
      <protection locked="0"/>
    </xf>
    <xf numFmtId="0" fontId="37" fillId="0" borderId="4" xfId="0" applyFont="1" applyBorder="1" applyAlignment="1" applyProtection="1">
      <alignment horizontal="left" vertical="top" indent="1"/>
      <protection locked="0"/>
    </xf>
    <xf numFmtId="0" fontId="37" fillId="0" borderId="0" xfId="0" applyFont="1" applyAlignment="1" applyProtection="1">
      <alignment horizontal="left" vertical="top" indent="1"/>
      <protection locked="0"/>
    </xf>
    <xf numFmtId="0" fontId="95" fillId="8" borderId="4" xfId="0" applyFont="1" applyFill="1" applyBorder="1" applyAlignment="1" applyProtection="1">
      <alignment horizontal="left" vertical="top" indent="1"/>
      <protection locked="0"/>
    </xf>
    <xf numFmtId="0" fontId="95" fillId="8" borderId="0" xfId="0" applyFont="1" applyFill="1" applyAlignment="1" applyProtection="1">
      <alignment horizontal="left" vertical="top" indent="1"/>
      <protection locked="0"/>
    </xf>
    <xf numFmtId="0" fontId="95" fillId="0" borderId="6" xfId="0" applyFont="1" applyBorder="1" applyAlignment="1" applyProtection="1">
      <alignment horizontal="left" vertical="top" indent="1"/>
      <protection locked="0"/>
    </xf>
    <xf numFmtId="0" fontId="95" fillId="0" borderId="9" xfId="0" applyFont="1" applyBorder="1" applyAlignment="1" applyProtection="1">
      <alignment horizontal="left" vertical="top" indent="1"/>
      <protection locked="0"/>
    </xf>
    <xf numFmtId="0" fontId="28" fillId="8" borderId="3" xfId="0" applyFont="1" applyFill="1" applyBorder="1" applyAlignment="1">
      <alignment horizontal="center" vertical="center"/>
    </xf>
    <xf numFmtId="0" fontId="65" fillId="0" borderId="0" xfId="0" applyFont="1">
      <alignment vertical="center"/>
    </xf>
    <xf numFmtId="0" fontId="28" fillId="8" borderId="5" xfId="0" applyFont="1" applyFill="1" applyBorder="1" applyAlignment="1">
      <alignment horizontal="center" vertical="center"/>
    </xf>
    <xf numFmtId="0" fontId="28" fillId="8" borderId="7" xfId="0" applyFont="1" applyFill="1" applyBorder="1" applyAlignment="1">
      <alignment horizontal="center" vertical="center"/>
    </xf>
    <xf numFmtId="0" fontId="28" fillId="0" borderId="0" xfId="0" applyFont="1">
      <alignment vertical="center"/>
    </xf>
    <xf numFmtId="0" fontId="94" fillId="8" borderId="0" xfId="0" applyFont="1" applyFill="1" applyAlignment="1" applyProtection="1">
      <alignment horizontal="left" vertical="top"/>
      <protection locked="0"/>
    </xf>
    <xf numFmtId="0" fontId="94" fillId="0" borderId="0" xfId="0" applyFont="1" applyAlignment="1" applyProtection="1">
      <alignment horizontal="left" vertical="center"/>
      <protection locked="0"/>
    </xf>
    <xf numFmtId="0" fontId="94" fillId="8" borderId="0" xfId="0" applyFont="1" applyFill="1" applyAlignment="1" applyProtection="1">
      <alignment horizontal="left" vertical="center"/>
      <protection locked="0"/>
    </xf>
    <xf numFmtId="0" fontId="95" fillId="0" borderId="9" xfId="0" applyFont="1" applyBorder="1" applyAlignment="1" applyProtection="1">
      <alignment horizontal="left" vertical="center"/>
      <protection locked="0"/>
    </xf>
    <xf numFmtId="0" fontId="95" fillId="47" borderId="0" xfId="0" applyFont="1" applyFill="1" applyAlignment="1" applyProtection="1">
      <alignment horizontal="left" vertical="center" indent="1"/>
      <protection locked="0"/>
    </xf>
    <xf numFmtId="0" fontId="95" fillId="47" borderId="5" xfId="0" applyFont="1" applyFill="1" applyBorder="1" applyAlignment="1" applyProtection="1">
      <alignment horizontal="left" vertical="center" indent="1"/>
      <protection locked="0"/>
    </xf>
    <xf numFmtId="0" fontId="95" fillId="0" borderId="0" xfId="0" applyFont="1">
      <alignment vertical="center"/>
    </xf>
    <xf numFmtId="0" fontId="32" fillId="0" borderId="0" xfId="0" applyFont="1" applyProtection="1">
      <alignment vertical="center"/>
      <protection locked="0"/>
    </xf>
    <xf numFmtId="0" fontId="33" fillId="0" borderId="0" xfId="0" applyFont="1" applyAlignment="1">
      <alignment horizontal="center" vertical="center"/>
    </xf>
    <xf numFmtId="0" fontId="46" fillId="8" borderId="4" xfId="0" applyFont="1" applyFill="1" applyBorder="1" applyAlignment="1" applyProtection="1">
      <alignment horizontal="left" vertical="center"/>
      <protection locked="0"/>
    </xf>
    <xf numFmtId="0" fontId="46" fillId="8" borderId="0" xfId="0" applyFont="1" applyFill="1" applyAlignment="1" applyProtection="1">
      <alignment horizontal="left" vertical="center"/>
      <protection locked="0"/>
    </xf>
    <xf numFmtId="0" fontId="97" fillId="0" borderId="4" xfId="0" applyFont="1" applyBorder="1" applyAlignment="1" applyProtection="1">
      <alignment horizontal="left" vertical="center"/>
      <protection locked="0"/>
    </xf>
    <xf numFmtId="0" fontId="97" fillId="0" borderId="0" xfId="0" applyFont="1" applyAlignment="1" applyProtection="1">
      <alignment horizontal="left" vertical="center"/>
      <protection locked="0"/>
    </xf>
    <xf numFmtId="0" fontId="32" fillId="0" borderId="0" xfId="0" applyFont="1">
      <alignment vertical="center"/>
    </xf>
    <xf numFmtId="0" fontId="97" fillId="0" borderId="4" xfId="0" applyFont="1" applyBorder="1" applyAlignment="1" applyProtection="1">
      <alignment horizontal="left" vertical="center" indent="1"/>
      <protection locked="0"/>
    </xf>
    <xf numFmtId="0" fontId="97" fillId="0" borderId="0" xfId="0" applyFont="1" applyAlignment="1" applyProtection="1">
      <alignment horizontal="left" vertical="center" indent="1"/>
      <protection locked="0"/>
    </xf>
    <xf numFmtId="0" fontId="37" fillId="8" borderId="4" xfId="0" applyFont="1" applyFill="1" applyBorder="1" applyAlignment="1" applyProtection="1">
      <alignment horizontal="left" vertical="center" indent="1"/>
      <protection locked="0"/>
    </xf>
    <xf numFmtId="0" fontId="37" fillId="8" borderId="0" xfId="0" applyFont="1" applyFill="1" applyAlignment="1" applyProtection="1">
      <alignment horizontal="left" vertical="center" indent="1"/>
      <protection locked="0"/>
    </xf>
    <xf numFmtId="0" fontId="94" fillId="7" borderId="4" xfId="0" applyFont="1" applyFill="1" applyBorder="1" applyAlignment="1">
      <alignment horizontal="center" vertical="center"/>
    </xf>
    <xf numFmtId="0" fontId="94" fillId="7" borderId="0" xfId="0" applyFont="1" applyFill="1" applyAlignment="1">
      <alignment horizontal="center" vertical="center"/>
    </xf>
    <xf numFmtId="0" fontId="37" fillId="0" borderId="4" xfId="0" applyFont="1" applyBorder="1" applyAlignment="1" applyProtection="1">
      <alignment horizontal="left" vertical="center" indent="1"/>
      <protection locked="0"/>
    </xf>
    <xf numFmtId="0" fontId="37" fillId="0" borderId="0" xfId="0" applyFont="1" applyAlignment="1" applyProtection="1">
      <alignment horizontal="left" vertical="center" indent="1"/>
      <protection locked="0"/>
    </xf>
    <xf numFmtId="0" fontId="97" fillId="8" borderId="4" xfId="0" applyFont="1" applyFill="1" applyBorder="1" applyAlignment="1" applyProtection="1">
      <alignment horizontal="left" vertical="center" indent="1"/>
      <protection locked="0"/>
    </xf>
    <xf numFmtId="0" fontId="97" fillId="8" borderId="0" xfId="0" applyFont="1" applyFill="1" applyAlignment="1" applyProtection="1">
      <alignment horizontal="left" vertical="center" indent="1"/>
      <protection locked="0"/>
    </xf>
    <xf numFmtId="0" fontId="0" fillId="0" borderId="0" xfId="0" applyFont="1">
      <alignment vertical="center"/>
    </xf>
    <xf numFmtId="49" fontId="95" fillId="8" borderId="0" xfId="0" applyNumberFormat="1" applyFont="1" applyFill="1" applyAlignment="1" applyProtection="1">
      <alignment horizontal="left" vertical="center"/>
      <protection locked="0"/>
    </xf>
    <xf numFmtId="0" fontId="94" fillId="7" borderId="5" xfId="0" applyFont="1" applyFill="1" applyBorder="1" applyAlignment="1">
      <alignment horizontal="center" vertical="center"/>
    </xf>
    <xf numFmtId="0" fontId="95" fillId="0" borderId="6" xfId="0" applyFont="1" applyBorder="1" applyAlignment="1" applyProtection="1">
      <alignment horizontal="left" vertical="center"/>
      <protection locked="0"/>
    </xf>
    <xf numFmtId="0" fontId="73" fillId="0" borderId="0" xfId="0" applyFont="1">
      <alignment vertical="center"/>
    </xf>
    <xf numFmtId="0" fontId="37" fillId="3" borderId="5" xfId="0" applyFont="1" applyFill="1" applyBorder="1" applyAlignment="1">
      <alignment horizontal="center" vertical="center"/>
    </xf>
    <xf numFmtId="0" fontId="31" fillId="0" borderId="0" xfId="0" applyFont="1">
      <alignment vertical="center"/>
    </xf>
    <xf numFmtId="0" fontId="98" fillId="0" borderId="0" xfId="0" applyFont="1">
      <alignment vertical="center"/>
    </xf>
    <xf numFmtId="0" fontId="97" fillId="3" borderId="5" xfId="0" applyFont="1" applyFill="1" applyBorder="1" applyAlignment="1">
      <alignment horizontal="center" vertical="center"/>
    </xf>
    <xf numFmtId="0" fontId="0" fillId="0" borderId="0" xfId="0" applyFont="1" applyProtection="1">
      <alignment vertical="center"/>
      <protection locked="0"/>
    </xf>
    <xf numFmtId="0" fontId="94" fillId="0" borderId="0" xfId="0" applyFont="1">
      <alignment vertical="center"/>
    </xf>
    <xf numFmtId="0" fontId="37" fillId="0" borderId="4" xfId="0" applyFont="1" applyBorder="1" applyProtection="1">
      <alignment vertical="center"/>
      <protection locked="0"/>
    </xf>
    <xf numFmtId="0" fontId="97" fillId="8" borderId="4" xfId="0" applyFont="1" applyFill="1" applyBorder="1" applyProtection="1">
      <alignment vertical="center"/>
      <protection locked="0"/>
    </xf>
    <xf numFmtId="0" fontId="97" fillId="0" borderId="4" xfId="0" applyFont="1" applyBorder="1" applyProtection="1">
      <alignment vertical="center"/>
      <protection locked="0"/>
    </xf>
    <xf numFmtId="0" fontId="37" fillId="8" borderId="4" xfId="0" applyFont="1" applyFill="1" applyBorder="1" applyProtection="1">
      <alignment vertical="center"/>
      <protection locked="0"/>
    </xf>
    <xf numFmtId="0" fontId="95" fillId="0" borderId="4" xfId="0" applyFont="1" applyBorder="1" applyProtection="1">
      <alignment vertical="center"/>
      <protection locked="0"/>
    </xf>
    <xf numFmtId="0" fontId="95" fillId="8" borderId="4" xfId="0" applyFont="1" applyFill="1" applyBorder="1" applyProtection="1">
      <alignment vertical="center"/>
      <protection locked="0"/>
    </xf>
    <xf numFmtId="0" fontId="37" fillId="0" borderId="6" xfId="0" applyFont="1" applyBorder="1" applyProtection="1">
      <alignment vertical="center"/>
      <protection locked="0"/>
    </xf>
    <xf numFmtId="0" fontId="46" fillId="8" borderId="4" xfId="0" applyFont="1" applyFill="1" applyBorder="1" applyProtection="1">
      <alignment vertical="center"/>
      <protection locked="0"/>
    </xf>
    <xf numFmtId="0" fontId="46" fillId="0" borderId="4" xfId="0" applyFont="1" applyBorder="1" applyProtection="1">
      <alignment vertical="center"/>
      <protection locked="0"/>
    </xf>
    <xf numFmtId="0" fontId="95" fillId="8" borderId="6" xfId="0" applyFont="1" applyFill="1" applyBorder="1" applyProtection="1">
      <alignment vertical="center"/>
      <protection locked="0"/>
    </xf>
    <xf numFmtId="0" fontId="95" fillId="0" borderId="6" xfId="0" applyFont="1" applyBorder="1" applyProtection="1">
      <alignment vertical="center"/>
      <protection locked="0"/>
    </xf>
    <xf numFmtId="0" fontId="95" fillId="47" borderId="4" xfId="0" applyFont="1" applyFill="1" applyBorder="1" applyProtection="1">
      <alignment vertical="center"/>
      <protection locked="0"/>
    </xf>
    <xf numFmtId="0" fontId="37" fillId="47" borderId="4" xfId="0" applyFont="1" applyFill="1" applyBorder="1" applyProtection="1">
      <alignment vertical="center"/>
      <protection locked="0"/>
    </xf>
    <xf numFmtId="0" fontId="37" fillId="0" borderId="0" xfId="0" applyFont="1" applyProtection="1">
      <alignment vertical="center"/>
      <protection locked="0"/>
    </xf>
    <xf numFmtId="0" fontId="97" fillId="8" borderId="0" xfId="0" applyFont="1" applyFill="1" applyProtection="1">
      <alignment vertical="center"/>
      <protection locked="0"/>
    </xf>
    <xf numFmtId="0" fontId="97" fillId="0" borderId="0" xfId="0" applyFont="1" applyProtection="1">
      <alignment vertical="center"/>
      <protection locked="0"/>
    </xf>
    <xf numFmtId="0" fontId="37" fillId="8" borderId="0" xfId="0" applyFont="1" applyFill="1" applyProtection="1">
      <alignment vertical="center"/>
      <protection locked="0"/>
    </xf>
    <xf numFmtId="0" fontId="95" fillId="8" borderId="0" xfId="0" applyFont="1" applyFill="1" applyProtection="1">
      <alignment vertical="center"/>
      <protection locked="0"/>
    </xf>
    <xf numFmtId="0" fontId="37" fillId="0" borderId="9" xfId="0" applyFont="1" applyBorder="1" applyProtection="1">
      <alignment vertical="center"/>
      <protection locked="0"/>
    </xf>
    <xf numFmtId="0" fontId="46" fillId="8" borderId="0" xfId="0" applyFont="1" applyFill="1" applyProtection="1">
      <alignment vertical="center"/>
      <protection locked="0"/>
    </xf>
    <xf numFmtId="0" fontId="46" fillId="0" borderId="0" xfId="0" applyFont="1" applyProtection="1">
      <alignment vertical="center"/>
      <protection locked="0"/>
    </xf>
    <xf numFmtId="0" fontId="95" fillId="8" borderId="9" xfId="0" applyFont="1" applyFill="1" applyBorder="1" applyProtection="1">
      <alignment vertical="center"/>
      <protection locked="0"/>
    </xf>
    <xf numFmtId="0" fontId="37" fillId="8" borderId="5" xfId="0" applyFont="1" applyFill="1" applyBorder="1" applyAlignment="1" applyProtection="1">
      <alignment horizontal="left" vertical="center"/>
      <protection locked="0"/>
    </xf>
    <xf numFmtId="0" fontId="95" fillId="0" borderId="9" xfId="0" applyFont="1" applyBorder="1" applyProtection="1">
      <alignment vertical="center"/>
      <protection locked="0"/>
    </xf>
    <xf numFmtId="0" fontId="99" fillId="8" borderId="5" xfId="0" applyFont="1" applyFill="1" applyBorder="1" applyAlignment="1" applyProtection="1">
      <alignment horizontal="left" vertical="center"/>
      <protection locked="0"/>
    </xf>
    <xf numFmtId="0" fontId="95" fillId="47" borderId="0" xfId="0" applyFont="1" applyFill="1" applyProtection="1">
      <alignment vertical="center"/>
      <protection locked="0"/>
    </xf>
    <xf numFmtId="0" fontId="37" fillId="47" borderId="0" xfId="0" applyFont="1" applyFill="1" applyProtection="1">
      <alignment vertical="center"/>
      <protection locked="0"/>
    </xf>
    <xf numFmtId="0" fontId="37" fillId="0" borderId="6" xfId="0" applyFont="1" applyBorder="1" applyAlignment="1" applyProtection="1">
      <alignment horizontal="left" vertical="center" indent="1"/>
      <protection locked="0"/>
    </xf>
    <xf numFmtId="0" fontId="37" fillId="0" borderId="9" xfId="0" applyFont="1" applyBorder="1" applyAlignment="1" applyProtection="1">
      <alignment horizontal="left" vertical="center" indent="1"/>
      <protection locked="0"/>
    </xf>
    <xf numFmtId="49" fontId="95" fillId="0" borderId="0" xfId="0" applyNumberFormat="1" applyFont="1" applyAlignment="1" applyProtection="1">
      <alignment horizontal="left" vertical="center"/>
      <protection locked="0"/>
    </xf>
    <xf numFmtId="0" fontId="95" fillId="0" borderId="0" xfId="0" applyFont="1" applyAlignment="1">
      <alignment horizontal="left" vertical="center"/>
    </xf>
    <xf numFmtId="0" fontId="37" fillId="0" borderId="0" xfId="0" applyFont="1" applyAlignment="1" applyProtection="1">
      <alignment horizontal="left" vertical="center"/>
      <protection locked="0"/>
    </xf>
    <xf numFmtId="0" fontId="97" fillId="8" borderId="0" xfId="0" applyFont="1" applyFill="1" applyAlignment="1" applyProtection="1">
      <alignment horizontal="left" vertical="center"/>
      <protection locked="0"/>
    </xf>
    <xf numFmtId="0" fontId="97" fillId="8" borderId="5" xfId="0" applyFont="1" applyFill="1" applyBorder="1" applyAlignment="1" applyProtection="1">
      <alignment horizontal="left" vertical="center"/>
      <protection locked="0"/>
    </xf>
    <xf numFmtId="0" fontId="37" fillId="0" borderId="5" xfId="0" applyFont="1" applyBorder="1" applyAlignment="1" applyProtection="1">
      <alignment horizontal="left" vertical="center"/>
      <protection locked="0"/>
    </xf>
    <xf numFmtId="0" fontId="95" fillId="0" borderId="5" xfId="0" applyFont="1" applyBorder="1" applyAlignment="1" applyProtection="1">
      <alignment horizontal="center" vertical="center"/>
      <protection locked="0"/>
    </xf>
    <xf numFmtId="0" fontId="97" fillId="47" borderId="4" xfId="0" applyFont="1" applyFill="1" applyBorder="1" applyProtection="1">
      <alignment vertical="center"/>
      <protection locked="0"/>
    </xf>
    <xf numFmtId="0" fontId="95" fillId="0" borderId="4" xfId="0" applyFont="1" applyBorder="1" applyAlignment="1">
      <alignment horizontal="center" vertical="center" wrapText="1"/>
    </xf>
    <xf numFmtId="0" fontId="95" fillId="0" borderId="6" xfId="0" applyFont="1" applyBorder="1" applyAlignment="1">
      <alignment horizontal="center" vertical="center" wrapText="1"/>
    </xf>
    <xf numFmtId="0" fontId="99" fillId="0" borderId="5" xfId="0" applyFont="1" applyBorder="1" applyAlignment="1" applyProtection="1">
      <alignment horizontal="left" vertical="center"/>
      <protection locked="0"/>
    </xf>
    <xf numFmtId="0" fontId="97" fillId="47" borderId="0" xfId="0" applyFont="1" applyFill="1" applyProtection="1">
      <alignment vertical="center"/>
      <protection locked="0"/>
    </xf>
    <xf numFmtId="0" fontId="95" fillId="0" borderId="0" xfId="0" applyFont="1" applyAlignment="1">
      <alignment horizontal="center" vertical="center" wrapText="1"/>
    </xf>
    <xf numFmtId="0" fontId="95" fillId="0" borderId="5" xfId="0" applyFont="1" applyBorder="1" applyAlignment="1">
      <alignment horizontal="center" vertical="center" wrapText="1"/>
    </xf>
    <xf numFmtId="0" fontId="95" fillId="0" borderId="9" xfId="0" applyFont="1" applyBorder="1" applyAlignment="1">
      <alignment horizontal="center" vertical="center" wrapText="1"/>
    </xf>
    <xf numFmtId="0" fontId="95" fillId="0" borderId="7" xfId="0" applyFont="1" applyBorder="1" applyAlignment="1">
      <alignment horizontal="center" vertical="center" wrapText="1"/>
    </xf>
    <xf numFmtId="0" fontId="37" fillId="8" borderId="6" xfId="0" applyFont="1" applyFill="1" applyBorder="1" applyAlignment="1" applyProtection="1">
      <alignment horizontal="left" vertical="center" indent="1"/>
      <protection locked="0"/>
    </xf>
    <xf numFmtId="0" fontId="37" fillId="8" borderId="9" xfId="0" applyFont="1" applyFill="1" applyBorder="1" applyAlignment="1" applyProtection="1">
      <alignment horizontal="left" vertical="center" indent="1"/>
      <protection locked="0"/>
    </xf>
    <xf numFmtId="0" fontId="100" fillId="0" borderId="0" xfId="0" applyFont="1" applyAlignment="1">
      <alignment horizontal="center" vertical="center"/>
    </xf>
    <xf numFmtId="0" fontId="101" fillId="0" borderId="0" xfId="0" applyFont="1" applyAlignment="1">
      <alignment horizontal="center" vertical="center"/>
    </xf>
    <xf numFmtId="0" fontId="100" fillId="48" borderId="2" xfId="0" applyFont="1" applyFill="1" applyBorder="1" applyAlignment="1">
      <alignment horizontal="center" vertical="center"/>
    </xf>
    <xf numFmtId="0" fontId="100" fillId="48" borderId="8" xfId="0" applyFont="1" applyFill="1" applyBorder="1" applyAlignment="1">
      <alignment horizontal="center" vertical="center"/>
    </xf>
    <xf numFmtId="0" fontId="102" fillId="7" borderId="86" xfId="0" applyFont="1" applyFill="1" applyBorder="1" applyAlignment="1">
      <alignment horizontal="center" vertical="center" wrapText="1"/>
    </xf>
    <xf numFmtId="0" fontId="102" fillId="7" borderId="87" xfId="0" applyFont="1" applyFill="1" applyBorder="1" applyAlignment="1">
      <alignment horizontal="center" vertical="center" wrapText="1"/>
    </xf>
    <xf numFmtId="0" fontId="101" fillId="8" borderId="4" xfId="0" applyFont="1" applyFill="1" applyBorder="1" applyAlignment="1">
      <alignment horizontal="center" vertical="center"/>
    </xf>
    <xf numFmtId="0" fontId="101" fillId="8" borderId="0" xfId="0" applyFont="1" applyFill="1" applyAlignment="1">
      <alignment horizontal="center" vertical="center"/>
    </xf>
    <xf numFmtId="0" fontId="101" fillId="8" borderId="6" xfId="0" applyFont="1" applyFill="1" applyBorder="1" applyAlignment="1">
      <alignment horizontal="center" vertical="center"/>
    </xf>
    <xf numFmtId="0" fontId="101" fillId="8" borderId="9" xfId="0" applyFont="1" applyFill="1" applyBorder="1" applyAlignment="1">
      <alignment horizontal="center" vertical="center"/>
    </xf>
    <xf numFmtId="0" fontId="102" fillId="7" borderId="4" xfId="0" applyFont="1" applyFill="1" applyBorder="1" applyAlignment="1">
      <alignment horizontal="center" vertical="center" wrapText="1"/>
    </xf>
    <xf numFmtId="0" fontId="102" fillId="7" borderId="0" xfId="0" applyFont="1" applyFill="1" applyAlignment="1">
      <alignment horizontal="center" vertical="center" wrapText="1"/>
    </xf>
    <xf numFmtId="0" fontId="103" fillId="0" borderId="4" xfId="0" applyFont="1" applyBorder="1" applyAlignment="1">
      <alignment horizontal="center" vertical="center"/>
    </xf>
    <xf numFmtId="0" fontId="103" fillId="0" borderId="0" xfId="0" applyFont="1" applyAlignment="1">
      <alignment horizontal="center" vertical="center" wrapText="1"/>
    </xf>
    <xf numFmtId="0" fontId="103" fillId="8" borderId="4" xfId="0" applyFont="1" applyFill="1" applyBorder="1" applyAlignment="1">
      <alignment horizontal="center" vertical="center"/>
    </xf>
    <xf numFmtId="0" fontId="103" fillId="8" borderId="0" xfId="0" applyFont="1" applyFill="1" applyAlignment="1">
      <alignment horizontal="center" vertical="center" wrapText="1"/>
    </xf>
    <xf numFmtId="0" fontId="103" fillId="8" borderId="0" xfId="0" applyFont="1" applyFill="1" applyAlignment="1">
      <alignment horizontal="center" vertical="center"/>
    </xf>
    <xf numFmtId="0" fontId="103" fillId="0" borderId="0" xfId="0" applyFont="1" applyAlignment="1">
      <alignment horizontal="center" vertical="center"/>
    </xf>
    <xf numFmtId="0" fontId="103" fillId="0" borderId="6" xfId="0" applyFont="1" applyBorder="1" applyAlignment="1">
      <alignment horizontal="center" vertical="center"/>
    </xf>
    <xf numFmtId="0" fontId="103" fillId="0" borderId="9" xfId="0" applyFont="1" applyBorder="1" applyAlignment="1">
      <alignment horizontal="center" vertical="center"/>
    </xf>
    <xf numFmtId="0" fontId="104" fillId="0" borderId="1" xfId="0" applyFont="1" applyBorder="1" applyAlignment="1">
      <alignment horizontal="center" vertical="center" wrapText="1"/>
    </xf>
    <xf numFmtId="0" fontId="101" fillId="0" borderId="36" xfId="0" applyFont="1" applyBorder="1" applyAlignment="1">
      <alignment horizontal="center" vertical="center" wrapText="1"/>
    </xf>
    <xf numFmtId="0" fontId="101" fillId="0" borderId="0" xfId="0" applyFont="1" applyAlignment="1">
      <alignment horizontal="center" vertical="center" wrapText="1"/>
    </xf>
    <xf numFmtId="0" fontId="101" fillId="0" borderId="37" xfId="0" applyFont="1" applyBorder="1" applyAlignment="1">
      <alignment horizontal="center" vertical="center" wrapText="1"/>
    </xf>
    <xf numFmtId="0" fontId="101" fillId="0" borderId="30" xfId="0" applyFont="1" applyBorder="1" applyAlignment="1">
      <alignment horizontal="center" vertical="center" wrapText="1"/>
    </xf>
    <xf numFmtId="0" fontId="105" fillId="0" borderId="1" xfId="0" applyFont="1" applyBorder="1" applyAlignment="1">
      <alignment horizontal="center" vertical="center" wrapText="1"/>
    </xf>
    <xf numFmtId="0" fontId="101" fillId="0" borderId="1" xfId="0" applyFont="1" applyBorder="1" applyAlignment="1">
      <alignment horizontal="center" vertical="center" wrapText="1"/>
    </xf>
    <xf numFmtId="0" fontId="101" fillId="0" borderId="35" xfId="0" applyFont="1" applyBorder="1" applyAlignment="1">
      <alignment horizontal="center" vertical="center"/>
    </xf>
    <xf numFmtId="0" fontId="101" fillId="0" borderId="26" xfId="0" applyFont="1" applyBorder="1" applyAlignment="1">
      <alignment horizontal="center" vertical="center"/>
    </xf>
    <xf numFmtId="0" fontId="101" fillId="0" borderId="36" xfId="0" applyFont="1" applyBorder="1" applyAlignment="1">
      <alignment horizontal="center" vertical="center"/>
    </xf>
    <xf numFmtId="0" fontId="101" fillId="0" borderId="37" xfId="0" applyFont="1" applyBorder="1" applyAlignment="1">
      <alignment horizontal="center" vertical="center"/>
    </xf>
    <xf numFmtId="0" fontId="101" fillId="0" borderId="30" xfId="0" applyFont="1" applyBorder="1" applyAlignment="1">
      <alignment horizontal="center" vertical="center"/>
    </xf>
    <xf numFmtId="0" fontId="104" fillId="0" borderId="41" xfId="0" applyFont="1" applyBorder="1" applyAlignment="1">
      <alignment horizontal="center" vertical="center" wrapText="1"/>
    </xf>
    <xf numFmtId="0" fontId="101" fillId="49" borderId="0" xfId="0" applyFont="1" applyFill="1" applyAlignment="1">
      <alignment horizontal="center" vertical="center" wrapText="1"/>
    </xf>
    <xf numFmtId="0" fontId="104" fillId="0" borderId="42" xfId="0" applyFont="1" applyBorder="1" applyAlignment="1">
      <alignment horizontal="center" vertical="center" wrapText="1"/>
    </xf>
    <xf numFmtId="0" fontId="104" fillId="0" borderId="0" xfId="0" applyFont="1">
      <alignment vertical="center"/>
    </xf>
    <xf numFmtId="0" fontId="104" fillId="0" borderId="0" xfId="0" applyFont="1" applyAlignment="1">
      <alignment vertical="center" wrapText="1"/>
    </xf>
    <xf numFmtId="0" fontId="102" fillId="7" borderId="87" xfId="0" applyFont="1" applyFill="1" applyBorder="1" applyAlignment="1">
      <alignment horizontal="center" vertical="center"/>
    </xf>
    <xf numFmtId="0" fontId="101" fillId="8" borderId="101" xfId="0" applyFont="1" applyFill="1" applyBorder="1" applyAlignment="1">
      <alignment horizontal="center" vertical="center"/>
    </xf>
    <xf numFmtId="0" fontId="101" fillId="8" borderId="102" xfId="0" applyFont="1" applyFill="1" applyBorder="1" applyAlignment="1">
      <alignment horizontal="center" vertical="center"/>
    </xf>
    <xf numFmtId="0" fontId="102" fillId="7" borderId="0" xfId="0" applyFont="1" applyFill="1" applyAlignment="1">
      <alignment horizontal="center" vertical="center"/>
    </xf>
    <xf numFmtId="0" fontId="101" fillId="0" borderId="32" xfId="0" applyFont="1" applyBorder="1" applyAlignment="1">
      <alignment horizontal="center" vertical="center" wrapText="1"/>
    </xf>
    <xf numFmtId="0" fontId="101" fillId="0" borderId="33" xfId="0" applyFont="1" applyBorder="1" applyAlignment="1">
      <alignment horizontal="center" vertical="center" wrapText="1"/>
    </xf>
    <xf numFmtId="0" fontId="101" fillId="50" borderId="0" xfId="0" applyFont="1" applyFill="1" applyAlignment="1">
      <alignment horizontal="center" vertical="center"/>
    </xf>
    <xf numFmtId="0" fontId="101" fillId="0" borderId="103" xfId="0" applyFont="1" applyBorder="1" applyAlignment="1">
      <alignment horizontal="center" vertical="center"/>
    </xf>
    <xf numFmtId="0" fontId="104" fillId="0" borderId="103" xfId="0" applyFont="1" applyBorder="1">
      <alignment vertical="center"/>
    </xf>
    <xf numFmtId="0" fontId="101" fillId="51" borderId="0" xfId="0" applyFont="1" applyFill="1" applyAlignment="1">
      <alignment horizontal="center" vertical="center" wrapText="1"/>
    </xf>
    <xf numFmtId="0" fontId="104" fillId="0" borderId="104" xfId="0" applyFont="1" applyBorder="1">
      <alignment vertical="center"/>
    </xf>
    <xf numFmtId="0" fontId="104" fillId="0" borderId="105" xfId="0" applyFont="1" applyBorder="1">
      <alignment vertical="center"/>
    </xf>
    <xf numFmtId="0" fontId="104" fillId="0" borderId="103" xfId="0" applyFont="1" applyBorder="1" applyAlignment="1">
      <alignment vertical="center" wrapText="1"/>
    </xf>
    <xf numFmtId="0" fontId="101" fillId="45" borderId="0" xfId="0" applyFont="1" applyFill="1" applyAlignment="1">
      <alignment horizontal="center" vertical="center" wrapText="1"/>
    </xf>
    <xf numFmtId="0" fontId="104" fillId="0" borderId="106" xfId="0" applyFont="1" applyBorder="1" applyAlignment="1">
      <alignment vertical="center" wrapText="1"/>
    </xf>
    <xf numFmtId="0" fontId="104" fillId="0" borderId="107" xfId="0" applyFont="1" applyBorder="1" applyAlignment="1">
      <alignment vertical="center" wrapText="1"/>
    </xf>
    <xf numFmtId="0" fontId="106" fillId="0" borderId="0" xfId="0" applyFont="1" applyAlignment="1">
      <alignment vertical="center" wrapText="1"/>
    </xf>
    <xf numFmtId="0" fontId="103" fillId="0" borderId="9" xfId="0" applyFont="1" applyBorder="1" applyAlignment="1">
      <alignment horizontal="center" vertical="center" wrapText="1"/>
    </xf>
    <xf numFmtId="0" fontId="101" fillId="0" borderId="108" xfId="0" applyFont="1" applyBorder="1" applyAlignment="1">
      <alignment horizontal="center" vertical="center"/>
    </xf>
    <xf numFmtId="0" fontId="101" fillId="52" borderId="0" xfId="0" applyFont="1" applyFill="1" applyAlignment="1">
      <alignment horizontal="center" vertical="center" wrapText="1"/>
    </xf>
    <xf numFmtId="0" fontId="101" fillId="52" borderId="0" xfId="0" applyFont="1" applyFill="1" applyAlignment="1">
      <alignment horizontal="center" vertical="center"/>
    </xf>
    <xf numFmtId="0" fontId="106" fillId="0" borderId="109" xfId="0" applyFont="1" applyBorder="1" applyAlignment="1">
      <alignment vertical="center" wrapText="1"/>
    </xf>
    <xf numFmtId="0" fontId="106" fillId="0" borderId="110" xfId="0" applyFont="1" applyBorder="1" applyAlignment="1">
      <alignment vertical="center" wrapText="1"/>
    </xf>
    <xf numFmtId="0" fontId="101" fillId="0" borderId="82" xfId="0" applyFont="1" applyBorder="1" applyAlignment="1">
      <alignment horizontal="center" vertical="center"/>
    </xf>
    <xf numFmtId="0" fontId="101" fillId="0" borderId="102" xfId="0" applyFont="1" applyBorder="1" applyAlignment="1">
      <alignment horizontal="center" vertical="center"/>
    </xf>
    <xf numFmtId="0" fontId="101" fillId="0" borderId="9" xfId="0" applyFont="1" applyBorder="1" applyAlignment="1">
      <alignment horizontal="center" vertical="center"/>
    </xf>
    <xf numFmtId="0" fontId="101" fillId="53" borderId="0" xfId="0" applyFont="1" applyFill="1" applyAlignment="1">
      <alignment horizontal="center" vertical="center"/>
    </xf>
    <xf numFmtId="0" fontId="101" fillId="0" borderId="111" xfId="0" applyFont="1" applyBorder="1" applyAlignment="1">
      <alignment horizontal="center" vertical="center"/>
    </xf>
    <xf numFmtId="0" fontId="101" fillId="0" borderId="112" xfId="0" applyFont="1" applyBorder="1" applyAlignment="1">
      <alignment horizontal="center" vertical="center"/>
    </xf>
    <xf numFmtId="0" fontId="101" fillId="0" borderId="113" xfId="0" applyFont="1" applyBorder="1" applyAlignment="1">
      <alignment horizontal="center" vertical="center"/>
    </xf>
    <xf numFmtId="0" fontId="103" fillId="51" borderId="0" xfId="0" applyFont="1" applyFill="1" applyAlignment="1">
      <alignment horizontal="center" vertical="center"/>
    </xf>
    <xf numFmtId="0" fontId="103" fillId="45" borderId="0" xfId="0" applyFont="1" applyFill="1" applyAlignment="1">
      <alignment horizontal="center" vertical="center" wrapText="1"/>
    </xf>
    <xf numFmtId="0" fontId="101" fillId="0" borderId="94" xfId="0" applyFont="1" applyBorder="1" applyAlignment="1">
      <alignment horizontal="center" vertical="center"/>
    </xf>
    <xf numFmtId="0" fontId="101" fillId="0" borderId="100" xfId="0" applyFont="1" applyBorder="1" applyAlignment="1">
      <alignment horizontal="center" vertical="center"/>
    </xf>
    <xf numFmtId="0" fontId="101" fillId="0" borderId="35" xfId="0" applyFont="1" applyBorder="1" applyAlignment="1">
      <alignment horizontal="center" vertical="center" wrapText="1"/>
    </xf>
    <xf numFmtId="0" fontId="101" fillId="54" borderId="0" xfId="0" applyFont="1" applyFill="1" applyAlignment="1">
      <alignment horizontal="center" vertical="center"/>
    </xf>
    <xf numFmtId="0" fontId="101" fillId="0" borderId="114" xfId="0" applyFont="1" applyBorder="1" applyAlignment="1">
      <alignment horizontal="center" vertical="center"/>
    </xf>
    <xf numFmtId="0" fontId="101" fillId="0" borderId="0" xfId="0" applyFont="1">
      <alignment vertical="center"/>
    </xf>
    <xf numFmtId="0" fontId="101" fillId="0" borderId="115" xfId="0" applyFont="1" applyBorder="1" applyAlignment="1">
      <alignment horizontal="center" vertical="center"/>
    </xf>
    <xf numFmtId="0" fontId="104" fillId="0" borderId="116" xfId="0" applyFont="1" applyBorder="1">
      <alignment vertical="center"/>
    </xf>
    <xf numFmtId="0" fontId="104" fillId="0" borderId="117" xfId="0" applyFont="1" applyBorder="1">
      <alignment vertical="center"/>
    </xf>
    <xf numFmtId="0" fontId="104" fillId="0" borderId="118" xfId="0" applyFont="1" applyBorder="1">
      <alignment vertical="center"/>
    </xf>
    <xf numFmtId="0" fontId="104" fillId="0" borderId="114" xfId="0" applyFont="1" applyBorder="1">
      <alignment vertical="center"/>
    </xf>
    <xf numFmtId="0" fontId="104" fillId="0" borderId="119" xfId="0" applyFont="1" applyBorder="1">
      <alignment vertical="center"/>
    </xf>
    <xf numFmtId="0" fontId="104" fillId="0" borderId="120" xfId="0" applyFont="1" applyBorder="1">
      <alignment vertical="center"/>
    </xf>
    <xf numFmtId="0" fontId="106" fillId="0" borderId="121" xfId="0" applyFont="1" applyBorder="1" applyAlignment="1">
      <alignment vertical="center" wrapText="1"/>
    </xf>
    <xf numFmtId="0" fontId="101" fillId="0" borderId="26" xfId="0" applyFont="1" applyBorder="1" applyAlignment="1">
      <alignment horizontal="center" vertical="center" wrapText="1"/>
    </xf>
    <xf numFmtId="0" fontId="101" fillId="0" borderId="122" xfId="0" applyFont="1" applyBorder="1" applyAlignment="1">
      <alignment horizontal="center" vertical="center"/>
    </xf>
    <xf numFmtId="0" fontId="101" fillId="54" borderId="118" xfId="0" applyFont="1" applyFill="1" applyBorder="1" applyAlignment="1">
      <alignment horizontal="center" vertical="center"/>
    </xf>
    <xf numFmtId="0" fontId="101" fillId="0" borderId="118" xfId="0" applyFont="1" applyBorder="1">
      <alignment vertical="center"/>
    </xf>
    <xf numFmtId="0" fontId="101" fillId="0" borderId="118" xfId="0" applyFont="1" applyBorder="1" applyAlignment="1">
      <alignment horizontal="center" vertical="center"/>
    </xf>
    <xf numFmtId="0" fontId="101" fillId="0" borderId="119" xfId="0" applyFont="1" applyBorder="1" applyAlignment="1">
      <alignment horizontal="center" vertical="center"/>
    </xf>
    <xf numFmtId="0" fontId="104" fillId="8" borderId="123" xfId="0" applyFont="1" applyFill="1" applyBorder="1" applyAlignment="1">
      <alignment horizontal="center" vertical="center"/>
    </xf>
    <xf numFmtId="0" fontId="104" fillId="8" borderId="124" xfId="0" applyFont="1" applyFill="1" applyBorder="1" applyAlignment="1">
      <alignment horizontal="center" vertical="center"/>
    </xf>
    <xf numFmtId="0" fontId="104" fillId="8" borderId="124" xfId="0" applyFont="1" applyFill="1" applyBorder="1" applyAlignment="1">
      <alignment horizontal="center" vertical="center" wrapText="1"/>
    </xf>
    <xf numFmtId="0" fontId="101" fillId="8" borderId="97" xfId="0" applyFont="1" applyFill="1" applyBorder="1" applyAlignment="1">
      <alignment horizontal="center" vertical="center"/>
    </xf>
    <xf numFmtId="0" fontId="101" fillId="8" borderId="125" xfId="0" applyFont="1" applyFill="1" applyBorder="1" applyAlignment="1">
      <alignment horizontal="center" vertical="center"/>
    </xf>
    <xf numFmtId="0" fontId="101" fillId="55" borderId="0" xfId="0" applyFont="1" applyFill="1" applyAlignment="1">
      <alignment horizontal="center" vertical="center"/>
    </xf>
    <xf numFmtId="0" fontId="101" fillId="56" borderId="0" xfId="0" applyFont="1" applyFill="1" applyAlignment="1">
      <alignment horizontal="center" vertical="center" wrapText="1"/>
    </xf>
    <xf numFmtId="0" fontId="101" fillId="0" borderId="31" xfId="0" applyFont="1" applyBorder="1" applyAlignment="1">
      <alignment horizontal="center" vertical="center"/>
    </xf>
    <xf numFmtId="0" fontId="101" fillId="0" borderId="32" xfId="0" applyFont="1" applyBorder="1" applyAlignment="1">
      <alignment horizontal="center" vertical="center"/>
    </xf>
    <xf numFmtId="0" fontId="101" fillId="0" borderId="126" xfId="0" applyFont="1" applyBorder="1" applyAlignment="1">
      <alignment horizontal="center" vertical="center"/>
    </xf>
    <xf numFmtId="0" fontId="101" fillId="57" borderId="0" xfId="0" applyFont="1" applyFill="1" applyAlignment="1">
      <alignment horizontal="center" vertical="center"/>
    </xf>
    <xf numFmtId="0" fontId="101" fillId="57" borderId="0" xfId="0" applyFont="1" applyFill="1" applyAlignment="1">
      <alignment horizontal="center" vertical="center" wrapText="1"/>
    </xf>
    <xf numFmtId="0" fontId="101" fillId="0" borderId="127" xfId="0" applyFont="1" applyBorder="1" applyAlignment="1">
      <alignment horizontal="center" vertical="center"/>
    </xf>
    <xf numFmtId="0" fontId="101" fillId="0" borderId="128" xfId="0" applyFont="1" applyBorder="1" applyAlignment="1">
      <alignment horizontal="center" vertical="center"/>
    </xf>
    <xf numFmtId="0" fontId="104" fillId="8" borderId="129" xfId="0" applyFont="1" applyFill="1" applyBorder="1" applyAlignment="1">
      <alignment horizontal="center" vertical="center"/>
    </xf>
    <xf numFmtId="0" fontId="101" fillId="8" borderId="82" xfId="0" applyFont="1" applyFill="1" applyBorder="1" applyAlignment="1">
      <alignment horizontal="center" vertical="center"/>
    </xf>
    <xf numFmtId="0" fontId="101" fillId="0" borderId="33" xfId="0" applyFont="1" applyBorder="1" applyAlignment="1">
      <alignment horizontal="center" vertical="center"/>
    </xf>
    <xf numFmtId="0" fontId="101" fillId="58" borderId="0" xfId="0" applyFont="1" applyFill="1" applyAlignment="1">
      <alignment horizontal="center" vertical="center"/>
    </xf>
    <xf numFmtId="0" fontId="101" fillId="0" borderId="130" xfId="0" applyFont="1" applyBorder="1" applyAlignment="1">
      <alignment horizontal="center" vertical="center"/>
    </xf>
    <xf numFmtId="0" fontId="101" fillId="58" borderId="0" xfId="0" applyFont="1" applyFill="1" applyAlignment="1">
      <alignment horizontal="center" vertical="center" wrapText="1"/>
    </xf>
    <xf numFmtId="0" fontId="101" fillId="0" borderId="0" xfId="0" applyFont="1" applyAlignment="1">
      <alignment vertical="center" wrapText="1"/>
    </xf>
    <xf numFmtId="0" fontId="101" fillId="0" borderId="130" xfId="0" applyFont="1" applyBorder="1" applyAlignment="1">
      <alignment vertical="center" wrapText="1"/>
    </xf>
    <xf numFmtId="0" fontId="101" fillId="0" borderId="131" xfId="0" applyFont="1" applyBorder="1" applyAlignment="1">
      <alignment horizontal="center" vertical="center"/>
    </xf>
    <xf numFmtId="0" fontId="100" fillId="59" borderId="0" xfId="0" applyFont="1" applyFill="1" applyAlignment="1">
      <alignment horizontal="center" vertical="center" wrapText="1"/>
    </xf>
    <xf numFmtId="0" fontId="100" fillId="0" borderId="0" xfId="0" applyFont="1" applyAlignment="1">
      <alignment vertical="center" wrapText="1"/>
    </xf>
    <xf numFmtId="0" fontId="101" fillId="60" borderId="0" xfId="0" applyFont="1" applyFill="1" applyAlignment="1">
      <alignment horizontal="center" vertical="center"/>
    </xf>
    <xf numFmtId="0" fontId="101" fillId="0" borderId="41" xfId="0" applyFont="1" applyBorder="1" applyAlignment="1">
      <alignment horizontal="center" vertical="center" wrapText="1"/>
    </xf>
    <xf numFmtId="0" fontId="101" fillId="0" borderId="65" xfId="0" applyFont="1" applyBorder="1" applyAlignment="1">
      <alignment horizontal="center" vertical="center" wrapText="1"/>
    </xf>
    <xf numFmtId="0" fontId="101" fillId="61" borderId="0" xfId="0" applyFont="1" applyFill="1" applyAlignment="1">
      <alignment horizontal="center" vertical="center"/>
    </xf>
    <xf numFmtId="0" fontId="101" fillId="61" borderId="0" xfId="0" applyFont="1" applyFill="1" applyAlignment="1">
      <alignment horizontal="center" vertical="center" wrapText="1"/>
    </xf>
    <xf numFmtId="0" fontId="101" fillId="0" borderId="132" xfId="0" applyFont="1" applyBorder="1" applyAlignment="1">
      <alignment horizontal="center" vertical="center"/>
    </xf>
    <xf numFmtId="0" fontId="101" fillId="0" borderId="133" xfId="0" applyFont="1" applyBorder="1" applyAlignment="1">
      <alignment vertical="center" wrapText="1"/>
    </xf>
    <xf numFmtId="0" fontId="101" fillId="0" borderId="134" xfId="0" applyFont="1" applyBorder="1" applyAlignment="1">
      <alignment horizontal="center" vertical="center"/>
    </xf>
    <xf numFmtId="0" fontId="101" fillId="0" borderId="135" xfId="0" applyFont="1" applyBorder="1" applyAlignment="1">
      <alignment horizontal="center" vertical="center"/>
    </xf>
    <xf numFmtId="0" fontId="101" fillId="0" borderId="136" xfId="0" applyFont="1" applyBorder="1" applyAlignment="1">
      <alignment horizontal="center" vertical="center"/>
    </xf>
    <xf numFmtId="0" fontId="100" fillId="48" borderId="3" xfId="0" applyFont="1" applyFill="1" applyBorder="1" applyAlignment="1">
      <alignment horizontal="center" vertical="center"/>
    </xf>
    <xf numFmtId="0" fontId="102" fillId="7" borderId="98" xfId="0" applyFont="1" applyFill="1" applyBorder="1" applyAlignment="1">
      <alignment horizontal="center" vertical="center"/>
    </xf>
    <xf numFmtId="0" fontId="101" fillId="0" borderId="5" xfId="0" applyFont="1" applyBorder="1" applyAlignment="1">
      <alignment horizontal="center" vertical="center"/>
    </xf>
    <xf numFmtId="0" fontId="101" fillId="0" borderId="7" xfId="0" applyFont="1" applyBorder="1" applyAlignment="1">
      <alignment horizontal="center" vertical="center"/>
    </xf>
    <xf numFmtId="0" fontId="102" fillId="7" borderId="5" xfId="0" applyFont="1" applyFill="1" applyBorder="1" applyAlignment="1">
      <alignment horizontal="center" vertical="center"/>
    </xf>
    <xf numFmtId="0" fontId="103" fillId="0" borderId="5" xfId="0" applyFont="1" applyBorder="1" applyAlignment="1">
      <alignment horizontal="center" vertical="center"/>
    </xf>
    <xf numFmtId="0" fontId="103" fillId="8" borderId="5" xfId="0" applyFont="1" applyFill="1" applyBorder="1" applyAlignment="1">
      <alignment horizontal="center" vertical="center"/>
    </xf>
    <xf numFmtId="0" fontId="103" fillId="0" borderId="5" xfId="0" applyFont="1" applyBorder="1" applyAlignment="1">
      <alignment horizontal="center" vertical="center" wrapText="1"/>
    </xf>
    <xf numFmtId="0" fontId="103" fillId="8" borderId="5" xfId="0" applyFont="1" applyFill="1" applyBorder="1" applyAlignment="1">
      <alignment horizontal="center" vertical="center" wrapText="1"/>
    </xf>
    <xf numFmtId="0" fontId="103" fillId="0" borderId="7" xfId="0" applyFont="1" applyBorder="1" applyAlignment="1">
      <alignment horizontal="center" vertical="center" wrapText="1"/>
    </xf>
    <xf numFmtId="0" fontId="104" fillId="0" borderId="0" xfId="0" applyFont="1" applyAlignment="1">
      <alignment horizontal="center" vertical="center"/>
    </xf>
    <xf numFmtId="0" fontId="107" fillId="0" borderId="0" xfId="0" applyFont="1" applyAlignment="1">
      <alignment vertical="center" wrapText="1"/>
    </xf>
    <xf numFmtId="0" fontId="104" fillId="0" borderId="135" xfId="0" applyFont="1" applyBorder="1" applyAlignment="1">
      <alignment horizontal="center" vertical="center"/>
    </xf>
    <xf numFmtId="0" fontId="104" fillId="0" borderId="64" xfId="0" applyFont="1" applyBorder="1" applyAlignment="1">
      <alignment horizontal="center" vertical="center" wrapText="1"/>
    </xf>
    <xf numFmtId="0" fontId="11" fillId="0" borderId="0" xfId="0" applyFont="1" applyAlignment="1">
      <alignment horizontal="center" vertical="center"/>
    </xf>
    <xf numFmtId="0" fontId="17" fillId="8" borderId="2" xfId="0" applyFont="1" applyFill="1" applyBorder="1" applyAlignment="1">
      <alignment horizontal="center" vertical="center"/>
    </xf>
    <xf numFmtId="0" fontId="17" fillId="8" borderId="8" xfId="0" applyFont="1" applyFill="1" applyBorder="1" applyAlignment="1">
      <alignment horizontal="center" vertical="center"/>
    </xf>
    <xf numFmtId="0" fontId="17" fillId="8" borderId="4" xfId="0" applyFont="1" applyFill="1" applyBorder="1" applyAlignment="1">
      <alignment horizontal="center" vertical="center"/>
    </xf>
    <xf numFmtId="0" fontId="17" fillId="8" borderId="0" xfId="0" applyFont="1" applyFill="1" applyAlignment="1">
      <alignment horizontal="center" vertical="center"/>
    </xf>
    <xf numFmtId="0" fontId="11" fillId="0" borderId="10" xfId="0" applyFont="1" applyBorder="1" applyAlignment="1">
      <alignment horizontal="center" vertical="center" wrapText="1"/>
    </xf>
    <xf numFmtId="0" fontId="11" fillId="0" borderId="44"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0" xfId="0" applyFont="1" applyAlignment="1">
      <alignment horizontal="center" vertical="center" wrapText="1"/>
    </xf>
    <xf numFmtId="0" fontId="11" fillId="0" borderId="6"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4" xfId="0" applyFont="1" applyBorder="1" applyAlignment="1">
      <alignment horizontal="left" vertical="center" wrapText="1"/>
    </xf>
    <xf numFmtId="0" fontId="11" fillId="0" borderId="0" xfId="0" applyFont="1" applyAlignment="1">
      <alignment horizontal="left" vertical="center" wrapText="1"/>
    </xf>
    <xf numFmtId="0" fontId="108" fillId="0" borderId="0" xfId="0" applyFont="1" applyAlignment="1">
      <alignment horizontal="center" vertical="center"/>
    </xf>
    <xf numFmtId="0" fontId="11" fillId="0" borderId="86" xfId="0" applyFont="1" applyBorder="1" applyAlignment="1">
      <alignment horizontal="left" vertical="center" wrapText="1"/>
    </xf>
    <xf numFmtId="0" fontId="11" fillId="0" borderId="87" xfId="0" applyFont="1" applyBorder="1" applyAlignment="1">
      <alignment horizontal="left" vertical="center" wrapText="1"/>
    </xf>
    <xf numFmtId="0" fontId="11" fillId="0" borderId="6" xfId="0" applyFont="1" applyBorder="1" applyAlignment="1">
      <alignment horizontal="left" vertical="center" wrapText="1"/>
    </xf>
    <xf numFmtId="0" fontId="11" fillId="0" borderId="9" xfId="0" applyFont="1" applyBorder="1" applyAlignment="1">
      <alignment horizontal="left" vertical="center" wrapText="1"/>
    </xf>
    <xf numFmtId="0" fontId="31" fillId="0" borderId="0" xfId="54" applyFont="1" applyAlignment="1" applyProtection="1">
      <alignment vertical="center"/>
    </xf>
    <xf numFmtId="0" fontId="14" fillId="0" borderId="0" xfId="54" applyFont="1" applyAlignment="1" applyProtection="1">
      <alignment vertical="center"/>
    </xf>
    <xf numFmtId="0" fontId="2" fillId="62" borderId="2" xfId="0" applyFont="1" applyFill="1" applyBorder="1" applyAlignment="1">
      <alignment horizontal="center" vertical="center" wrapText="1"/>
    </xf>
    <xf numFmtId="0" fontId="2" fillId="62" borderId="8" xfId="0" applyFont="1" applyFill="1" applyBorder="1" applyAlignment="1">
      <alignment horizontal="center" vertical="center" wrapText="1"/>
    </xf>
    <xf numFmtId="0" fontId="1" fillId="62" borderId="8" xfId="0" applyFont="1" applyFill="1" applyBorder="1" applyAlignment="1">
      <alignment horizontal="center" vertical="center"/>
    </xf>
    <xf numFmtId="0" fontId="2" fillId="62" borderId="4" xfId="0" applyFont="1" applyFill="1" applyBorder="1" applyAlignment="1">
      <alignment horizontal="center" vertical="center" wrapText="1"/>
    </xf>
    <xf numFmtId="0" fontId="2" fillId="62" borderId="0" xfId="0" applyFont="1" applyFill="1" applyAlignment="1">
      <alignment horizontal="center" vertical="center" wrapText="1"/>
    </xf>
    <xf numFmtId="49" fontId="1" fillId="0" borderId="0" xfId="0" applyNumberFormat="1" applyFont="1" applyAlignment="1">
      <alignment horizontal="center" vertical="center"/>
    </xf>
    <xf numFmtId="49" fontId="1" fillId="8"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2" fillId="62" borderId="6" xfId="0" applyFont="1" applyFill="1" applyBorder="1" applyAlignment="1">
      <alignment horizontal="center" vertical="center" wrapText="1"/>
    </xf>
    <xf numFmtId="0" fontId="2" fillId="62" borderId="9" xfId="0" applyFont="1" applyFill="1" applyBorder="1" applyAlignment="1">
      <alignment horizontal="center" vertical="center" wrapText="1"/>
    </xf>
    <xf numFmtId="49" fontId="1" fillId="8" borderId="9" xfId="0" applyNumberFormat="1" applyFont="1" applyFill="1" applyBorder="1" applyAlignment="1">
      <alignment horizontal="center" vertical="center"/>
    </xf>
    <xf numFmtId="0" fontId="109" fillId="0" borderId="0" xfId="0" applyFont="1" applyAlignment="1">
      <alignment horizontal="center" vertical="center" wrapText="1"/>
    </xf>
    <xf numFmtId="0" fontId="6" fillId="0" borderId="0" xfId="54" applyFont="1" applyAlignment="1" applyProtection="1">
      <alignment vertical="center"/>
    </xf>
    <xf numFmtId="0" fontId="2" fillId="63" borderId="2" xfId="0" applyFont="1" applyFill="1" applyBorder="1" applyAlignment="1">
      <alignment horizontal="center" vertical="center"/>
    </xf>
    <xf numFmtId="0" fontId="2" fillId="63" borderId="8" xfId="0" applyFont="1" applyFill="1" applyBorder="1" applyAlignment="1">
      <alignment horizontal="center" vertical="center"/>
    </xf>
    <xf numFmtId="0" fontId="110" fillId="8" borderId="4" xfId="0" applyFont="1" applyFill="1" applyBorder="1" applyAlignment="1">
      <alignment horizontal="center" vertical="center"/>
    </xf>
    <xf numFmtId="0" fontId="110" fillId="8" borderId="0" xfId="0" applyFont="1" applyFill="1" applyAlignment="1">
      <alignment horizontal="center" vertical="center"/>
    </xf>
    <xf numFmtId="0" fontId="110" fillId="0" borderId="4" xfId="0" applyFont="1" applyBorder="1" applyAlignment="1">
      <alignment horizontal="center" vertical="center"/>
    </xf>
    <xf numFmtId="0" fontId="110" fillId="0" borderId="0" xfId="0" applyFont="1" applyAlignment="1">
      <alignment horizontal="center" vertical="center"/>
    </xf>
    <xf numFmtId="0" fontId="111" fillId="3" borderId="4" xfId="0" applyFont="1" applyFill="1" applyBorder="1" applyAlignment="1">
      <alignment horizontal="center" vertical="center"/>
    </xf>
    <xf numFmtId="0" fontId="111" fillId="3" borderId="0" xfId="0" applyFont="1" applyFill="1" applyAlignment="1">
      <alignment horizontal="center" vertical="center"/>
    </xf>
    <xf numFmtId="0" fontId="110" fillId="0" borderId="6" xfId="0" applyFont="1" applyBorder="1" applyAlignment="1">
      <alignment horizontal="center" vertical="center"/>
    </xf>
    <xf numFmtId="0" fontId="110" fillId="0" borderId="9" xfId="0" applyFont="1" applyBorder="1" applyAlignment="1">
      <alignment horizontal="center" vertical="center"/>
    </xf>
    <xf numFmtId="0" fontId="11" fillId="0" borderId="47" xfId="0" applyFont="1" applyBorder="1" applyAlignment="1">
      <alignment horizontal="center" vertical="center" wrapText="1"/>
    </xf>
    <xf numFmtId="0" fontId="11" fillId="0" borderId="44" xfId="0" applyFont="1" applyBorder="1" applyAlignment="1">
      <alignment horizontal="center" vertical="center"/>
    </xf>
    <xf numFmtId="0" fontId="11" fillId="0" borderId="46" xfId="0" applyFont="1" applyBorder="1" applyAlignment="1">
      <alignment horizontal="center" vertical="center"/>
    </xf>
    <xf numFmtId="0" fontId="11" fillId="0" borderId="24" xfId="0" applyFont="1" applyBorder="1" applyAlignment="1">
      <alignment horizontal="center" vertical="center"/>
    </xf>
    <xf numFmtId="0" fontId="27" fillId="0" borderId="47" xfId="0" applyFont="1" applyBorder="1" applyAlignment="1">
      <alignment horizontal="center" vertical="center"/>
    </xf>
    <xf numFmtId="0" fontId="27" fillId="0" borderId="44" xfId="0" applyFont="1" applyBorder="1" applyAlignment="1">
      <alignment horizontal="center" vertical="center"/>
    </xf>
    <xf numFmtId="0" fontId="27" fillId="0" borderId="46" xfId="0" applyFont="1" applyBorder="1" applyAlignment="1">
      <alignment horizontal="center" vertical="center"/>
    </xf>
    <xf numFmtId="0" fontId="27" fillId="0" borderId="24" xfId="0" applyFont="1" applyBorder="1" applyAlignment="1">
      <alignment horizontal="center" vertical="center"/>
    </xf>
    <xf numFmtId="0" fontId="11" fillId="0" borderId="47" xfId="0" applyFont="1" applyBorder="1" applyAlignment="1">
      <alignment horizontal="center" vertical="center"/>
    </xf>
    <xf numFmtId="0" fontId="11" fillId="0" borderId="63" xfId="0" applyFont="1" applyBorder="1" applyAlignment="1">
      <alignment horizontal="center" vertical="center"/>
    </xf>
    <xf numFmtId="0" fontId="11" fillId="0" borderId="9" xfId="0" applyFont="1" applyBorder="1" applyAlignment="1">
      <alignment horizontal="center" vertical="center"/>
    </xf>
    <xf numFmtId="0" fontId="17" fillId="8" borderId="3" xfId="0" applyFont="1" applyFill="1" applyBorder="1" applyAlignment="1">
      <alignment horizontal="center" vertical="center"/>
    </xf>
    <xf numFmtId="0" fontId="17" fillId="8" borderId="5" xfId="0" applyFont="1" applyFill="1" applyBorder="1" applyAlignment="1">
      <alignment horizontal="center" vertical="center"/>
    </xf>
    <xf numFmtId="0" fontId="1" fillId="0" borderId="0" xfId="0" applyFont="1" applyAlignment="1">
      <alignment horizontal="center" vertical="center" wrapText="1"/>
    </xf>
    <xf numFmtId="0" fontId="1" fillId="0" borderId="5" xfId="0" applyFont="1" applyBorder="1" applyAlignment="1">
      <alignment horizontal="center" vertical="center" wrapText="1"/>
    </xf>
    <xf numFmtId="0" fontId="1" fillId="0" borderId="102"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2" fillId="63" borderId="3" xfId="0" applyFont="1" applyFill="1" applyBorder="1" applyAlignment="1">
      <alignment horizontal="center" vertical="center"/>
    </xf>
    <xf numFmtId="0" fontId="62" fillId="8" borderId="5" xfId="0" applyFont="1" applyFill="1" applyBorder="1" applyAlignment="1">
      <alignment horizontal="center" vertical="center"/>
    </xf>
    <xf numFmtId="0" fontId="62" fillId="0" borderId="5" xfId="0" applyFont="1" applyBorder="1" applyAlignment="1">
      <alignment horizontal="center" vertical="center"/>
    </xf>
    <xf numFmtId="0" fontId="62" fillId="3" borderId="5" xfId="0" applyFont="1" applyFill="1" applyBorder="1" applyAlignment="1">
      <alignment horizontal="center" vertical="center"/>
    </xf>
    <xf numFmtId="0" fontId="62" fillId="0" borderId="7" xfId="0" applyFont="1" applyBorder="1" applyAlignment="1">
      <alignment horizontal="center" vertical="center"/>
    </xf>
    <xf numFmtId="0" fontId="19" fillId="0" borderId="0" xfId="0" applyFont="1" applyAlignment="1">
      <alignment vertical="center" wrapText="1"/>
    </xf>
    <xf numFmtId="0" fontId="17" fillId="8" borderId="86" xfId="0" applyFont="1" applyFill="1" applyBorder="1" applyAlignment="1">
      <alignment horizontal="center" vertical="center"/>
    </xf>
    <xf numFmtId="0" fontId="17" fillId="8" borderId="87" xfId="0" applyFont="1" applyFill="1" applyBorder="1" applyAlignment="1">
      <alignment horizontal="center" vertical="center"/>
    </xf>
    <xf numFmtId="0" fontId="1" fillId="0" borderId="4" xfId="0" applyFont="1" applyBorder="1" applyAlignment="1">
      <alignment horizontal="center" vertical="center" wrapText="1"/>
    </xf>
    <xf numFmtId="0" fontId="1" fillId="0" borderId="86" xfId="0" applyFont="1" applyBorder="1" applyAlignment="1">
      <alignment horizontal="center" vertical="center" wrapText="1"/>
    </xf>
    <xf numFmtId="0" fontId="1" fillId="0" borderId="87" xfId="0" applyFont="1" applyBorder="1" applyAlignment="1">
      <alignment horizontal="center" vertical="center" wrapText="1"/>
    </xf>
    <xf numFmtId="0" fontId="112" fillId="0" borderId="4" xfId="0" applyFont="1" applyBorder="1" applyAlignment="1">
      <alignment horizontal="center" vertical="center" wrapText="1"/>
    </xf>
    <xf numFmtId="0" fontId="112" fillId="0" borderId="0" xfId="0" applyFont="1" applyAlignment="1">
      <alignment horizontal="center" vertical="center" wrapText="1"/>
    </xf>
    <xf numFmtId="0" fontId="112" fillId="0" borderId="6" xfId="0" applyFont="1" applyBorder="1" applyAlignment="1">
      <alignment horizontal="center" vertical="center" wrapText="1"/>
    </xf>
    <xf numFmtId="0" fontId="112" fillId="0" borderId="9" xfId="0" applyFont="1" applyBorder="1" applyAlignment="1">
      <alignment horizontal="center" vertical="center" wrapText="1"/>
    </xf>
    <xf numFmtId="0" fontId="104" fillId="8" borderId="137" xfId="0" applyFont="1" applyFill="1" applyBorder="1" applyAlignment="1">
      <alignment horizontal="center" vertical="center"/>
    </xf>
    <xf numFmtId="0" fontId="104" fillId="8" borderId="0" xfId="0" applyFont="1" applyFill="1" applyAlignment="1">
      <alignment horizontal="center" vertical="center"/>
    </xf>
    <xf numFmtId="0" fontId="104" fillId="3" borderId="137" xfId="0" applyFont="1" applyFill="1" applyBorder="1" applyAlignment="1">
      <alignment horizontal="center" vertical="center"/>
    </xf>
    <xf numFmtId="0" fontId="104"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04" fillId="8" borderId="0" xfId="0" applyFont="1" applyFill="1" applyAlignment="1">
      <alignment horizontal="center" vertical="center" wrapText="1"/>
    </xf>
    <xf numFmtId="0" fontId="104" fillId="3" borderId="0" xfId="0" applyFont="1" applyFill="1" applyAlignment="1">
      <alignment horizontal="center" vertical="center" wrapText="1"/>
    </xf>
    <xf numFmtId="0" fontId="104" fillId="3" borderId="123" xfId="0" applyFont="1" applyFill="1" applyBorder="1" applyAlignment="1">
      <alignment horizontal="center" vertical="center"/>
    </xf>
    <xf numFmtId="0" fontId="104" fillId="8" borderId="138" xfId="0" applyFont="1" applyFill="1" applyBorder="1" applyAlignment="1">
      <alignment horizontal="center" vertical="center"/>
    </xf>
    <xf numFmtId="0" fontId="104" fillId="8" borderId="139" xfId="0" applyFont="1" applyFill="1" applyBorder="1" applyAlignment="1">
      <alignment horizontal="center" vertical="center"/>
    </xf>
    <xf numFmtId="0" fontId="11" fillId="0" borderId="11" xfId="0" applyFont="1" applyBorder="1" applyAlignment="1">
      <alignment horizontal="center" vertical="center"/>
    </xf>
    <xf numFmtId="0" fontId="11" fillId="0" borderId="28" xfId="0" applyFont="1" applyBorder="1" applyAlignment="1">
      <alignment horizontal="center" vertical="center"/>
    </xf>
    <xf numFmtId="0" fontId="27" fillId="0" borderId="11" xfId="0" applyFont="1" applyBorder="1" applyAlignment="1">
      <alignment horizontal="center" vertical="center"/>
    </xf>
    <xf numFmtId="0" fontId="27" fillId="0" borderId="28" xfId="0" applyFont="1" applyBorder="1" applyAlignment="1">
      <alignment horizontal="center" vertical="center"/>
    </xf>
    <xf numFmtId="0" fontId="11" fillId="0" borderId="0" xfId="0" applyFont="1">
      <alignment vertical="center"/>
    </xf>
    <xf numFmtId="0" fontId="11" fillId="0" borderId="7" xfId="0" applyFont="1" applyBorder="1" applyAlignment="1">
      <alignment horizontal="center" vertical="center"/>
    </xf>
    <xf numFmtId="0" fontId="22" fillId="0" borderId="82" xfId="0" applyFont="1" applyBorder="1" applyAlignment="1">
      <alignment horizontal="center" vertical="center"/>
    </xf>
    <xf numFmtId="0" fontId="24" fillId="0" borderId="82" xfId="0" applyFont="1" applyBorder="1" applyAlignment="1">
      <alignment horizontal="center" vertical="center" wrapText="1"/>
    </xf>
    <xf numFmtId="0" fontId="22" fillId="0" borderId="88" xfId="0" applyFont="1" applyBorder="1" applyAlignment="1">
      <alignment horizontal="center" vertical="center"/>
    </xf>
    <xf numFmtId="0" fontId="24" fillId="0" borderId="92" xfId="0" applyFont="1" applyBorder="1" applyAlignment="1">
      <alignment horizontal="center" vertical="center" wrapText="1"/>
    </xf>
    <xf numFmtId="0" fontId="1" fillId="0" borderId="10" xfId="0" applyFont="1" applyBorder="1" applyAlignment="1">
      <alignment horizontal="center" vertical="center"/>
    </xf>
    <xf numFmtId="0" fontId="1" fillId="0" borderId="44" xfId="0" applyFont="1" applyBorder="1" applyAlignment="1">
      <alignment horizontal="center" vertical="center"/>
    </xf>
    <xf numFmtId="0" fontId="11" fillId="0" borderId="4" xfId="0" applyFont="1" applyBorder="1" applyAlignment="1">
      <alignment horizontal="center" vertical="center"/>
    </xf>
    <xf numFmtId="0" fontId="11" fillId="0" borderId="140" xfId="0" applyFont="1" applyBorder="1" applyAlignment="1">
      <alignment horizontal="center" vertical="center"/>
    </xf>
    <xf numFmtId="0" fontId="11" fillId="0" borderId="141" xfId="0" applyFont="1" applyBorder="1" applyAlignment="1">
      <alignment horizontal="center" vertical="center"/>
    </xf>
    <xf numFmtId="0" fontId="63" fillId="0" borderId="0" xfId="0" applyFont="1" applyAlignment="1">
      <alignment horizontal="center" vertical="center"/>
    </xf>
    <xf numFmtId="0" fontId="17" fillId="0" borderId="0" xfId="0" applyFont="1">
      <alignment vertical="center"/>
    </xf>
    <xf numFmtId="0" fontId="17" fillId="8" borderId="98" xfId="0" applyFont="1" applyFill="1" applyBorder="1" applyAlignment="1">
      <alignment horizontal="center" vertical="center"/>
    </xf>
    <xf numFmtId="0" fontId="22" fillId="0" borderId="0" xfId="0" applyFont="1" applyAlignment="1">
      <alignment horizontal="center" vertical="center"/>
    </xf>
    <xf numFmtId="0" fontId="22" fillId="0" borderId="5" xfId="0" applyFont="1" applyBorder="1" applyAlignment="1">
      <alignment horizontal="center" vertical="center"/>
    </xf>
    <xf numFmtId="0" fontId="24" fillId="0" borderId="5" xfId="0" applyFont="1" applyBorder="1" applyAlignment="1">
      <alignment horizontal="center" vertical="center" wrapText="1"/>
    </xf>
    <xf numFmtId="0" fontId="22" fillId="0" borderId="85" xfId="0" applyFont="1" applyBorder="1" applyAlignment="1">
      <alignment horizontal="center" vertical="center"/>
    </xf>
    <xf numFmtId="0" fontId="22" fillId="0" borderId="96" xfId="0" applyFont="1" applyBorder="1" applyAlignment="1">
      <alignment horizontal="center" vertical="center"/>
    </xf>
    <xf numFmtId="0" fontId="24" fillId="0" borderId="91" xfId="0" applyFont="1" applyBorder="1" applyAlignment="1">
      <alignment horizontal="center" vertical="center" wrapText="1"/>
    </xf>
    <xf numFmtId="0" fontId="24" fillId="0" borderId="93" xfId="0" applyFont="1" applyBorder="1" applyAlignment="1">
      <alignment horizontal="center" vertical="center" wrapText="1"/>
    </xf>
    <xf numFmtId="0" fontId="24" fillId="0" borderId="98" xfId="0" applyFont="1" applyBorder="1" applyAlignment="1">
      <alignment horizontal="center" vertical="center" wrapText="1"/>
    </xf>
    <xf numFmtId="0" fontId="112" fillId="0" borderId="5" xfId="0" applyFont="1" applyBorder="1" applyAlignment="1">
      <alignment horizontal="center" vertical="center" wrapText="1"/>
    </xf>
    <xf numFmtId="0" fontId="112" fillId="0" borderId="0" xfId="0" applyFont="1" applyAlignment="1">
      <alignment vertical="center" wrapText="1"/>
    </xf>
    <xf numFmtId="0" fontId="112" fillId="0" borderId="7" xfId="0" applyFont="1" applyBorder="1" applyAlignment="1">
      <alignment horizontal="center" vertical="center" wrapText="1"/>
    </xf>
    <xf numFmtId="0" fontId="1" fillId="0" borderId="89" xfId="0" applyFont="1" applyBorder="1" applyAlignment="1">
      <alignment horizontal="center" vertical="center" wrapText="1"/>
    </xf>
    <xf numFmtId="0" fontId="104" fillId="8" borderId="142" xfId="0" applyFont="1" applyFill="1" applyBorder="1" applyAlignment="1">
      <alignment horizontal="center" vertical="center"/>
    </xf>
    <xf numFmtId="0" fontId="114" fillId="3" borderId="142" xfId="0" applyFont="1" applyFill="1" applyBorder="1" applyAlignment="1">
      <alignment horizontal="center" vertical="center"/>
    </xf>
    <xf numFmtId="0" fontId="104" fillId="3" borderId="142" xfId="0" applyFont="1" applyFill="1" applyBorder="1" applyAlignment="1">
      <alignment horizontal="center" vertical="center"/>
    </xf>
    <xf numFmtId="0" fontId="104" fillId="8" borderId="143" xfId="0" applyFont="1" applyFill="1" applyBorder="1" applyAlignment="1">
      <alignment horizontal="center" vertical="center"/>
    </xf>
    <xf numFmtId="0" fontId="11" fillId="0" borderId="144" xfId="0" applyFont="1" applyBorder="1" applyAlignment="1">
      <alignment horizontal="center" vertical="center"/>
    </xf>
    <xf numFmtId="0" fontId="63" fillId="0" borderId="0" xfId="0" applyFont="1">
      <alignment vertical="center"/>
    </xf>
    <xf numFmtId="0" fontId="1" fillId="0" borderId="145" xfId="0" applyFont="1" applyBorder="1" applyAlignment="1">
      <alignment horizontal="center" vertical="center" wrapText="1"/>
    </xf>
    <xf numFmtId="0" fontId="24" fillId="0" borderId="146" xfId="0" applyFont="1" applyBorder="1" applyAlignment="1">
      <alignment horizontal="center" vertical="center" wrapText="1"/>
    </xf>
    <xf numFmtId="0" fontId="101" fillId="5" borderId="0" xfId="0" applyFont="1" applyFill="1" applyAlignment="1">
      <alignment horizontal="center" vertical="center" wrapText="1"/>
    </xf>
    <xf numFmtId="0" fontId="101" fillId="5" borderId="0" xfId="0" applyFont="1" applyFill="1" applyAlignment="1">
      <alignment horizontal="center" vertical="center"/>
    </xf>
    <xf numFmtId="0" fontId="1" fillId="0" borderId="47" xfId="0" applyFont="1" applyBorder="1" applyAlignment="1">
      <alignment horizontal="center" vertical="center"/>
    </xf>
    <xf numFmtId="0" fontId="11" fillId="0" borderId="45" xfId="0" applyFont="1" applyBorder="1" applyAlignment="1">
      <alignment horizontal="center" vertical="center"/>
    </xf>
    <xf numFmtId="0" fontId="1" fillId="0" borderId="98" xfId="0" applyFont="1" applyBorder="1" applyAlignment="1">
      <alignment horizontal="center" vertical="center" wrapText="1"/>
    </xf>
    <xf numFmtId="0" fontId="24" fillId="0" borderId="147" xfId="0" applyFont="1" applyBorder="1" applyAlignment="1">
      <alignment horizontal="center" vertical="center" wrapText="1"/>
    </xf>
    <xf numFmtId="0" fontId="115" fillId="0" borderId="0" xfId="0" applyFont="1" applyAlignment="1">
      <alignment vertical="center" wrapText="1"/>
    </xf>
    <xf numFmtId="0" fontId="1" fillId="0" borderId="55" xfId="0" applyFont="1" applyBorder="1" applyAlignment="1">
      <alignment horizontal="center" vertical="center"/>
    </xf>
    <xf numFmtId="0" fontId="1" fillId="0" borderId="11" xfId="0" applyFont="1" applyBorder="1" applyAlignment="1">
      <alignment horizontal="center" vertical="center"/>
    </xf>
    <xf numFmtId="0" fontId="11" fillId="0" borderId="5" xfId="0" applyFont="1" applyBorder="1" applyAlignment="1">
      <alignment horizontal="center" vertical="center"/>
    </xf>
    <xf numFmtId="0" fontId="19" fillId="0" borderId="0" xfId="0" applyFont="1">
      <alignment vertical="center"/>
    </xf>
    <xf numFmtId="0" fontId="95" fillId="0" borderId="0" xfId="0" applyFont="1" applyAlignment="1">
      <alignment vertical="center" wrapText="1"/>
    </xf>
    <xf numFmtId="0" fontId="116" fillId="0" borderId="0" xfId="0" applyFont="1">
      <alignment vertical="center"/>
    </xf>
    <xf numFmtId="0" fontId="116" fillId="5" borderId="0" xfId="0" applyFont="1" applyFill="1">
      <alignment vertical="center"/>
    </xf>
    <xf numFmtId="0" fontId="32" fillId="64" borderId="0" xfId="0" applyFont="1" applyFill="1">
      <alignment vertical="center"/>
    </xf>
    <xf numFmtId="0" fontId="32" fillId="5" borderId="0" xfId="0" applyFont="1" applyFill="1">
      <alignment vertical="center"/>
    </xf>
    <xf numFmtId="0" fontId="32" fillId="44" borderId="0" xfId="0" applyFont="1" applyFill="1">
      <alignment vertical="center"/>
    </xf>
    <xf numFmtId="0" fontId="32" fillId="15" borderId="0" xfId="0" applyFont="1" applyFill="1">
      <alignment vertical="center"/>
    </xf>
    <xf numFmtId="0" fontId="32" fillId="65" borderId="0" xfId="0" applyFont="1" applyFill="1">
      <alignment vertical="center"/>
    </xf>
    <xf numFmtId="0" fontId="32" fillId="27" borderId="0" xfId="0" applyFont="1" applyFill="1">
      <alignment vertical="center"/>
    </xf>
    <xf numFmtId="0" fontId="32" fillId="66" borderId="0" xfId="0" applyFont="1" applyFill="1">
      <alignment vertical="center"/>
    </xf>
    <xf numFmtId="0" fontId="32" fillId="16" borderId="0" xfId="0" applyFont="1" applyFill="1">
      <alignment vertical="center"/>
    </xf>
    <xf numFmtId="0" fontId="32" fillId="8" borderId="0" xfId="0" applyFont="1" applyFill="1">
      <alignment vertical="center"/>
    </xf>
    <xf numFmtId="0" fontId="32" fillId="67" borderId="0" xfId="0" applyFont="1" applyFill="1">
      <alignment vertical="center"/>
    </xf>
    <xf numFmtId="0" fontId="95" fillId="0" borderId="0" xfId="0" applyFont="1" applyAlignment="1">
      <alignment vertical="center" shrinkToFit="1"/>
    </xf>
    <xf numFmtId="0" fontId="117" fillId="0" borderId="0" xfId="0" applyFont="1" applyAlignment="1"/>
    <xf numFmtId="0" fontId="118" fillId="0" borderId="0" xfId="0" applyFont="1" applyAlignment="1"/>
    <xf numFmtId="0" fontId="119" fillId="0" borderId="0" xfId="0" applyFont="1" applyAlignment="1"/>
    <xf numFmtId="16" fontId="119" fillId="0" borderId="0" xfId="0" applyNumberFormat="1" applyFont="1" applyAlignment="1"/>
    <xf numFmtId="0" fontId="117" fillId="5" borderId="36" xfId="0" applyFont="1" applyFill="1" applyBorder="1" applyAlignment="1">
      <alignment vertical="center" wrapText="1"/>
    </xf>
    <xf numFmtId="0" fontId="119" fillId="5" borderId="0" xfId="0" applyFont="1" applyFill="1" applyAlignment="1"/>
    <xf numFmtId="0" fontId="76" fillId="0" borderId="0" xfId="0" applyFont="1">
      <alignment vertical="center"/>
    </xf>
    <xf numFmtId="0" fontId="32" fillId="0" borderId="0" xfId="0" applyFont="1" applyAlignment="1">
      <alignment horizontal="left"/>
    </xf>
    <xf numFmtId="0" fontId="120" fillId="0" borderId="0" xfId="0" applyFont="1">
      <alignment vertical="center"/>
    </xf>
    <xf numFmtId="0" fontId="120" fillId="0" borderId="0" xfId="0" applyFont="1" applyAlignment="1">
      <alignment horizontal="left"/>
    </xf>
    <xf numFmtId="0" fontId="121" fillId="64" borderId="0" xfId="0" applyFont="1" applyFill="1" applyAlignment="1">
      <alignment vertical="center" wrapText="1"/>
    </xf>
    <xf numFmtId="0" fontId="120" fillId="64" borderId="0" xfId="0" applyFont="1" applyFill="1" applyAlignment="1">
      <alignment horizontal="left"/>
    </xf>
    <xf numFmtId="0" fontId="62" fillId="64" borderId="0" xfId="0" applyFont="1" applyFill="1" applyAlignment="1">
      <alignment horizontal="left"/>
    </xf>
    <xf numFmtId="0" fontId="122" fillId="0" borderId="0" xfId="0" applyFont="1" applyAlignment="1"/>
    <xf numFmtId="0" fontId="123" fillId="0" borderId="0" xfId="0" applyFont="1" applyAlignment="1">
      <alignment horizontal="left"/>
    </xf>
    <xf numFmtId="0" fontId="62" fillId="5" borderId="0" xfId="0" applyFont="1" applyFill="1">
      <alignment vertical="center"/>
    </xf>
    <xf numFmtId="0" fontId="120" fillId="5" borderId="0" xfId="0" applyFont="1" applyFill="1" applyAlignment="1">
      <alignment horizontal="left"/>
    </xf>
    <xf numFmtId="0" fontId="62" fillId="5" borderId="0" xfId="0" applyFont="1" applyFill="1" applyAlignment="1">
      <alignment horizontal="left"/>
    </xf>
    <xf numFmtId="0" fontId="62" fillId="0" borderId="0" xfId="0" applyFont="1">
      <alignment vertical="center"/>
    </xf>
    <xf numFmtId="0" fontId="120" fillId="44" borderId="0" xfId="0" applyFont="1" applyFill="1">
      <alignment vertical="center"/>
    </xf>
    <xf numFmtId="0" fontId="120" fillId="44" borderId="0" xfId="0" applyFont="1" applyFill="1" applyAlignment="1">
      <alignment horizontal="left"/>
    </xf>
    <xf numFmtId="0" fontId="120" fillId="5" borderId="0" xfId="0" applyFont="1" applyFill="1">
      <alignment vertical="center"/>
    </xf>
    <xf numFmtId="0" fontId="122" fillId="15" borderId="0" xfId="0" applyFont="1" applyFill="1" applyAlignment="1"/>
    <xf numFmtId="0" fontId="120" fillId="15" borderId="0" xfId="0" applyFont="1" applyFill="1" applyAlignment="1">
      <alignment horizontal="left"/>
    </xf>
    <xf numFmtId="0" fontId="122" fillId="65" borderId="0" xfId="0" applyFont="1" applyFill="1" applyAlignment="1"/>
    <xf numFmtId="0" fontId="120" fillId="65" borderId="0" xfId="0" applyFont="1" applyFill="1" applyAlignment="1">
      <alignment horizontal="left"/>
    </xf>
    <xf numFmtId="0" fontId="121" fillId="5" borderId="0" xfId="0" applyFont="1" applyFill="1">
      <alignment vertical="center"/>
    </xf>
    <xf numFmtId="0" fontId="62" fillId="27" borderId="0" xfId="0" applyFont="1" applyFill="1">
      <alignment vertical="center"/>
    </xf>
    <xf numFmtId="0" fontId="120" fillId="27" borderId="0" xfId="0" applyFont="1" applyFill="1" applyAlignment="1">
      <alignment horizontal="left"/>
    </xf>
    <xf numFmtId="0" fontId="120" fillId="66" borderId="0" xfId="0" applyFont="1" applyFill="1">
      <alignment vertical="center"/>
    </xf>
    <xf numFmtId="0" fontId="120" fillId="66" borderId="0" xfId="0" applyFont="1" applyFill="1" applyAlignment="1">
      <alignment horizontal="left"/>
    </xf>
    <xf numFmtId="0" fontId="121" fillId="0" borderId="0" xfId="0" applyFont="1">
      <alignment vertical="center"/>
    </xf>
    <xf numFmtId="0" fontId="62" fillId="0" borderId="36" xfId="0" applyFont="1" applyBorder="1">
      <alignment vertical="center"/>
    </xf>
    <xf numFmtId="0" fontId="121" fillId="0" borderId="36" xfId="0" applyFont="1" applyBorder="1">
      <alignment vertical="center"/>
    </xf>
    <xf numFmtId="0" fontId="120" fillId="16" borderId="36" xfId="0" applyFont="1" applyFill="1" applyBorder="1">
      <alignment vertical="center"/>
    </xf>
    <xf numFmtId="0" fontId="120" fillId="16" borderId="0" xfId="0" applyFont="1" applyFill="1" applyAlignment="1">
      <alignment horizontal="left"/>
    </xf>
    <xf numFmtId="0" fontId="120" fillId="0" borderId="36" xfId="0" applyFont="1" applyBorder="1">
      <alignment vertical="center"/>
    </xf>
    <xf numFmtId="0" fontId="62" fillId="8" borderId="36" xfId="0" applyFont="1" applyFill="1" applyBorder="1">
      <alignment vertical="center"/>
    </xf>
    <xf numFmtId="0" fontId="120" fillId="8" borderId="0" xfId="0" applyFont="1" applyFill="1" applyAlignment="1">
      <alignment horizontal="left"/>
    </xf>
    <xf numFmtId="0" fontId="121" fillId="66" borderId="36" xfId="0" applyFont="1" applyFill="1" applyBorder="1">
      <alignment vertical="center"/>
    </xf>
    <xf numFmtId="0" fontId="62" fillId="8" borderId="0" xfId="0" applyFont="1" applyFill="1" applyAlignment="1">
      <alignment horizontal="left"/>
    </xf>
    <xf numFmtId="0" fontId="122" fillId="0" borderId="0" xfId="0" applyFont="1" applyAlignment="1">
      <alignment horizontal="left"/>
    </xf>
    <xf numFmtId="0" fontId="62" fillId="0" borderId="0" xfId="0" applyFont="1" applyAlignment="1">
      <alignment horizontal="left"/>
    </xf>
    <xf numFmtId="0" fontId="121" fillId="64" borderId="0" xfId="0" applyFont="1" applyFill="1" applyAlignment="1">
      <alignment horizontal="left"/>
    </xf>
    <xf numFmtId="0" fontId="121" fillId="0" borderId="0" xfId="0" applyFont="1" applyAlignment="1">
      <alignment horizontal="left"/>
    </xf>
    <xf numFmtId="0" fontId="121" fillId="66" borderId="0" xfId="0" applyFont="1" applyFill="1" applyAlignment="1">
      <alignment horizontal="left"/>
    </xf>
    <xf numFmtId="0" fontId="62" fillId="15" borderId="0" xfId="0" applyFont="1" applyFill="1" applyAlignment="1">
      <alignment horizontal="left"/>
    </xf>
    <xf numFmtId="0" fontId="121" fillId="5" borderId="0" xfId="0" applyFont="1" applyFill="1" applyAlignment="1">
      <alignment horizontal="left"/>
    </xf>
    <xf numFmtId="0" fontId="121" fillId="8" borderId="0" xfId="0" applyFont="1" applyFill="1" applyAlignment="1">
      <alignment horizontal="left"/>
    </xf>
    <xf numFmtId="0" fontId="62" fillId="66" borderId="0" xfId="0" applyFont="1" applyFill="1" applyAlignment="1">
      <alignment horizontal="left"/>
    </xf>
    <xf numFmtId="0" fontId="121" fillId="27" borderId="0" xfId="0" applyFont="1" applyFill="1" applyAlignment="1">
      <alignment horizontal="left"/>
    </xf>
    <xf numFmtId="0" fontId="124" fillId="0" borderId="0" xfId="0" applyFont="1" applyAlignment="1">
      <alignment horizontal="left"/>
    </xf>
    <xf numFmtId="0" fontId="121" fillId="15" borderId="0" xfId="0" applyFont="1" applyFill="1" applyAlignment="1">
      <alignment horizontal="left"/>
    </xf>
    <xf numFmtId="0" fontId="123" fillId="5" borderId="0" xfId="0" applyFont="1" applyFill="1" applyAlignment="1">
      <alignment horizontal="left"/>
    </xf>
    <xf numFmtId="0" fontId="95" fillId="65" borderId="0" xfId="0" applyFont="1" applyFill="1" applyAlignment="1">
      <alignment horizontal="left"/>
    </xf>
    <xf numFmtId="0" fontId="95" fillId="0" borderId="0" xfId="0" applyFont="1" applyAlignment="1">
      <alignment horizontal="left"/>
    </xf>
    <xf numFmtId="0" fontId="123" fillId="27" borderId="0" xfId="0" applyFont="1" applyFill="1" applyAlignment="1">
      <alignment horizontal="left"/>
    </xf>
    <xf numFmtId="0" fontId="62" fillId="27" borderId="0" xfId="0" applyFont="1" applyFill="1" applyAlignment="1">
      <alignment horizontal="left"/>
    </xf>
    <xf numFmtId="0" fontId="125" fillId="0" borderId="0" xfId="0" applyFont="1" applyAlignment="1">
      <alignment horizontal="left"/>
    </xf>
    <xf numFmtId="0" fontId="62" fillId="65" borderId="0" xfId="0" applyFont="1" applyFill="1" applyAlignment="1">
      <alignment horizontal="left"/>
    </xf>
    <xf numFmtId="0" fontId="123" fillId="66" borderId="0" xfId="0" applyFont="1" applyFill="1" applyAlignment="1">
      <alignment horizontal="left"/>
    </xf>
    <xf numFmtId="0" fontId="123" fillId="8" borderId="0" xfId="0" applyFont="1" applyFill="1" applyAlignment="1">
      <alignment horizontal="left"/>
    </xf>
    <xf numFmtId="0" fontId="126" fillId="0" borderId="0" xfId="0" applyFont="1" applyAlignment="1">
      <alignment horizontal="left"/>
    </xf>
    <xf numFmtId="0" fontId="121" fillId="16" borderId="0" xfId="0" applyFont="1" applyFill="1" applyAlignment="1">
      <alignment horizontal="left"/>
    </xf>
    <xf numFmtId="0" fontId="121" fillId="44" borderId="0" xfId="0" applyFont="1" applyFill="1" applyAlignment="1">
      <alignment horizontal="left"/>
    </xf>
    <xf numFmtId="0" fontId="121" fillId="65" borderId="0" xfId="0" applyFont="1" applyFill="1" applyAlignment="1">
      <alignment horizontal="left"/>
    </xf>
    <xf numFmtId="0" fontId="46" fillId="0" borderId="0" xfId="0" applyFont="1" applyAlignment="1">
      <alignment vertical="center" shrinkToFit="1"/>
    </xf>
    <xf numFmtId="0" fontId="32" fillId="16" borderId="0" xfId="0" applyFont="1" applyFill="1" applyAlignment="1">
      <alignment horizontal="left"/>
    </xf>
    <xf numFmtId="0" fontId="62" fillId="16" borderId="0" xfId="0" applyFont="1" applyFill="1" applyAlignment="1">
      <alignment horizontal="left"/>
    </xf>
    <xf numFmtId="0" fontId="62" fillId="44" borderId="0" xfId="0" applyFont="1" applyFill="1" applyAlignment="1">
      <alignment horizontal="left"/>
    </xf>
    <xf numFmtId="0" fontId="55" fillId="0" borderId="0" xfId="0" applyFont="1" applyAlignment="1">
      <alignment horizontal="left"/>
    </xf>
    <xf numFmtId="0" fontId="124" fillId="15" borderId="0" xfId="0" applyFont="1" applyFill="1" applyAlignment="1">
      <alignment horizontal="left"/>
    </xf>
    <xf numFmtId="0" fontId="124" fillId="27" borderId="0" xfId="0" applyFont="1" applyFill="1" applyAlignment="1">
      <alignment horizontal="left"/>
    </xf>
    <xf numFmtId="0" fontId="62" fillId="0" borderId="0" xfId="0" applyFont="1" applyAlignment="1">
      <alignment wrapText="1"/>
    </xf>
    <xf numFmtId="0" fontId="120" fillId="0" borderId="0" xfId="0" applyFont="1" applyAlignment="1"/>
    <xf numFmtId="0" fontId="120" fillId="64" borderId="0" xfId="0" applyFont="1" applyFill="1" applyAlignment="1"/>
    <xf numFmtId="0" fontId="120" fillId="5" borderId="0" xfId="0" applyFont="1" applyFill="1" applyAlignment="1"/>
    <xf numFmtId="0" fontId="62" fillId="5" borderId="0" xfId="0" applyFont="1" applyFill="1" applyAlignment="1"/>
    <xf numFmtId="0" fontId="120" fillId="44" borderId="0" xfId="0" applyFont="1" applyFill="1" applyAlignment="1"/>
    <xf numFmtId="0" fontId="62" fillId="0" borderId="0" xfId="0" applyFont="1" applyAlignment="1"/>
    <xf numFmtId="0" fontId="62" fillId="15" borderId="0" xfId="0" applyFont="1" applyFill="1" applyAlignment="1"/>
    <xf numFmtId="0" fontId="120" fillId="15" borderId="0" xfId="0" applyFont="1" applyFill="1" applyAlignment="1"/>
    <xf numFmtId="0" fontId="62" fillId="65" borderId="0" xfId="0" applyFont="1" applyFill="1" applyAlignment="1"/>
    <xf numFmtId="0" fontId="120" fillId="65" borderId="0" xfId="0" applyFont="1" applyFill="1" applyAlignment="1"/>
    <xf numFmtId="0" fontId="62" fillId="27" borderId="0" xfId="0" applyFont="1" applyFill="1" applyAlignment="1"/>
    <xf numFmtId="0" fontId="120" fillId="27" borderId="0" xfId="0" applyFont="1" applyFill="1" applyAlignment="1"/>
    <xf numFmtId="0" fontId="120" fillId="66" borderId="0" xfId="0" applyFont="1" applyFill="1" applyAlignment="1"/>
    <xf numFmtId="0" fontId="62" fillId="66" borderId="0" xfId="0" applyFont="1" applyFill="1" applyAlignment="1"/>
    <xf numFmtId="0" fontId="120" fillId="16" borderId="0" xfId="0" applyFont="1" applyFill="1" applyAlignment="1"/>
    <xf numFmtId="0" fontId="120" fillId="8" borderId="0" xfId="0" applyFont="1" applyFill="1" applyAlignment="1"/>
    <xf numFmtId="0" fontId="95" fillId="0" borderId="0" xfId="0" applyFont="1" applyAlignment="1">
      <alignment horizontal="center" wrapText="1"/>
    </xf>
    <xf numFmtId="0" fontId="120" fillId="0" borderId="0" xfId="0" applyFont="1" applyAlignment="1">
      <alignment wrapText="1"/>
    </xf>
    <xf numFmtId="0" fontId="120" fillId="67" borderId="0" xfId="0" applyFont="1" applyFill="1" applyAlignment="1">
      <alignment horizontal="left"/>
    </xf>
    <xf numFmtId="0" fontId="62" fillId="0" borderId="36" xfId="0" applyFont="1" applyBorder="1" applyAlignment="1">
      <alignment vertical="center" wrapText="1"/>
    </xf>
    <xf numFmtId="0" fontId="62" fillId="0" borderId="0" xfId="0" applyFont="1" applyAlignment="1">
      <alignment vertical="center" wrapText="1"/>
    </xf>
    <xf numFmtId="0" fontId="121" fillId="67" borderId="0" xfId="0" applyFont="1" applyFill="1" applyAlignment="1">
      <alignment horizontal="left"/>
    </xf>
    <xf numFmtId="0" fontId="120" fillId="67" borderId="0" xfId="0" applyFont="1" applyFill="1" applyAlignment="1"/>
    <xf numFmtId="0" fontId="24" fillId="0" borderId="0" xfId="0" applyFont="1">
      <alignment vertical="center"/>
    </xf>
    <xf numFmtId="0" fontId="24" fillId="0" borderId="79" xfId="0" applyFont="1" applyBorder="1" applyAlignment="1">
      <alignment horizontal="center" vertical="center" wrapText="1"/>
    </xf>
    <xf numFmtId="0" fontId="24" fillId="0" borderId="2" xfId="0" applyFont="1" applyBorder="1" applyAlignment="1">
      <alignment horizontal="center" vertical="center" wrapText="1"/>
    </xf>
    <xf numFmtId="0" fontId="24" fillId="0" borderId="148" xfId="0" applyFont="1" applyBorder="1" applyAlignment="1">
      <alignment horizontal="center" vertical="center" wrapText="1"/>
    </xf>
    <xf numFmtId="0" fontId="24" fillId="0" borderId="148" xfId="0" applyFont="1" applyBorder="1" applyAlignment="1">
      <alignment horizontal="center" vertical="center"/>
    </xf>
    <xf numFmtId="0" fontId="24" fillId="0" borderId="80"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36" xfId="0" applyFont="1" applyBorder="1" applyAlignment="1">
      <alignment horizontal="center" vertical="center" wrapText="1"/>
    </xf>
    <xf numFmtId="0" fontId="24" fillId="0" borderId="36" xfId="0" applyFont="1" applyBorder="1" applyAlignment="1">
      <alignment horizontal="center" vertical="center"/>
    </xf>
    <xf numFmtId="0" fontId="24" fillId="0" borderId="81" xfId="0" applyFont="1" applyBorder="1">
      <alignment vertical="center"/>
    </xf>
    <xf numFmtId="0" fontId="24" fillId="0" borderId="80" xfId="0" applyFont="1" applyBorder="1">
      <alignment vertical="center"/>
    </xf>
    <xf numFmtId="0" fontId="24" fillId="8" borderId="36" xfId="0" applyFont="1" applyFill="1" applyBorder="1" applyAlignment="1">
      <alignment horizontal="center" vertical="center" wrapText="1"/>
    </xf>
    <xf numFmtId="0" fontId="24" fillId="8" borderId="37" xfId="0" applyFont="1" applyFill="1" applyBorder="1" applyAlignment="1">
      <alignment horizontal="center" vertical="center"/>
    </xf>
    <xf numFmtId="0" fontId="24" fillId="8" borderId="4" xfId="0" applyFont="1" applyFill="1" applyBorder="1" applyAlignment="1">
      <alignment horizontal="center" vertical="center" wrapText="1"/>
    </xf>
    <xf numFmtId="0" fontId="24" fillId="8" borderId="36" xfId="0" applyFont="1" applyFill="1" applyBorder="1" applyAlignment="1">
      <alignment horizontal="center" vertical="center"/>
    </xf>
    <xf numFmtId="0" fontId="24" fillId="0" borderId="149" xfId="0" applyFont="1" applyBorder="1" applyAlignment="1">
      <alignment horizontal="center" vertical="center"/>
    </xf>
    <xf numFmtId="0" fontId="24" fillId="0" borderId="150" xfId="0" applyFont="1" applyBorder="1" applyAlignment="1">
      <alignment horizontal="center" vertical="center"/>
    </xf>
    <xf numFmtId="0" fontId="24" fillId="0" borderId="2" xfId="0" applyFont="1" applyBorder="1" applyAlignment="1">
      <alignment horizontal="center" vertical="center"/>
    </xf>
    <xf numFmtId="0" fontId="24" fillId="0" borderId="8" xfId="0" applyFont="1" applyBorder="1" applyAlignment="1">
      <alignment horizontal="center" vertical="center"/>
    </xf>
    <xf numFmtId="0" fontId="24" fillId="0" borderId="4" xfId="0" applyFont="1" applyBorder="1">
      <alignment vertical="center"/>
    </xf>
    <xf numFmtId="0" fontId="14" fillId="8" borderId="92" xfId="0" applyFont="1" applyFill="1" applyBorder="1" applyAlignment="1">
      <alignment horizontal="center" vertical="center"/>
    </xf>
    <xf numFmtId="0" fontId="14" fillId="0" borderId="92" xfId="0" applyFont="1" applyBorder="1" applyAlignment="1">
      <alignment horizontal="center" vertical="center"/>
    </xf>
    <xf numFmtId="0" fontId="24" fillId="0" borderId="6" xfId="0" applyFont="1" applyBorder="1">
      <alignment vertical="center"/>
    </xf>
    <xf numFmtId="0" fontId="14" fillId="8" borderId="151" xfId="0" applyFont="1" applyFill="1" applyBorder="1" applyAlignment="1">
      <alignment horizontal="center" vertical="center"/>
    </xf>
    <xf numFmtId="0" fontId="24" fillId="0" borderId="9" xfId="0" applyFont="1" applyBorder="1">
      <alignment vertical="center"/>
    </xf>
    <xf numFmtId="0" fontId="24" fillId="0" borderId="79" xfId="0" applyFont="1" applyBorder="1">
      <alignment vertical="center"/>
    </xf>
    <xf numFmtId="0" fontId="127" fillId="4" borderId="0" xfId="0" applyFont="1" applyFill="1" applyAlignment="1">
      <alignment vertical="center" wrapText="1"/>
    </xf>
    <xf numFmtId="0" fontId="128" fillId="4" borderId="0" xfId="0" applyFont="1" applyFill="1" applyAlignment="1">
      <alignment vertical="center" wrapText="1"/>
    </xf>
    <xf numFmtId="0" fontId="24" fillId="4" borderId="0" xfId="0" applyFont="1" applyFill="1">
      <alignment vertical="center"/>
    </xf>
    <xf numFmtId="0" fontId="24" fillId="4" borderId="0" xfId="0" applyFont="1" applyFill="1" applyAlignment="1">
      <alignment horizontal="center" vertical="center"/>
    </xf>
    <xf numFmtId="0" fontId="24" fillId="4" borderId="4" xfId="0" applyFont="1" applyFill="1" applyBorder="1">
      <alignment vertical="center"/>
    </xf>
    <xf numFmtId="0" fontId="24" fillId="4" borderId="2" xfId="0" applyFont="1" applyFill="1" applyBorder="1">
      <alignment vertical="center"/>
    </xf>
    <xf numFmtId="0" fontId="24" fillId="4" borderId="8" xfId="0" applyFont="1" applyFill="1" applyBorder="1">
      <alignment vertical="center"/>
    </xf>
    <xf numFmtId="0" fontId="24" fillId="4" borderId="79" xfId="0" applyFont="1" applyFill="1" applyBorder="1">
      <alignment vertical="center"/>
    </xf>
    <xf numFmtId="0" fontId="24" fillId="4" borderId="81" xfId="0" applyFont="1" applyFill="1" applyBorder="1">
      <alignment vertical="center"/>
    </xf>
    <xf numFmtId="0" fontId="24" fillId="4" borderId="6" xfId="0" applyFont="1" applyFill="1" applyBorder="1">
      <alignment vertical="center"/>
    </xf>
    <xf numFmtId="0" fontId="24" fillId="4" borderId="9" xfId="0" applyFont="1" applyFill="1" applyBorder="1">
      <alignment vertical="center"/>
    </xf>
    <xf numFmtId="0" fontId="14" fillId="0" borderId="2" xfId="0" applyFont="1" applyBorder="1">
      <alignment vertical="center"/>
    </xf>
    <xf numFmtId="0" fontId="14" fillId="0" borderId="8" xfId="0" applyFont="1" applyBorder="1">
      <alignment vertical="center"/>
    </xf>
    <xf numFmtId="0" fontId="14" fillId="0" borderId="4" xfId="0" applyFont="1" applyBorder="1">
      <alignment vertical="center"/>
    </xf>
    <xf numFmtId="0" fontId="14" fillId="0" borderId="0" xfId="0" applyFont="1">
      <alignment vertical="center"/>
    </xf>
    <xf numFmtId="0" fontId="14" fillId="7" borderId="149" xfId="0" applyFont="1" applyFill="1" applyBorder="1" applyAlignment="1">
      <alignment horizontal="center" vertical="center"/>
    </xf>
    <xf numFmtId="0" fontId="14" fillId="7" borderId="150" xfId="0" applyFont="1" applyFill="1" applyBorder="1" applyAlignment="1">
      <alignment horizontal="center" vertical="center"/>
    </xf>
    <xf numFmtId="0" fontId="14" fillId="0" borderId="0" xfId="0" applyFont="1" applyAlignment="1">
      <alignment horizontal="center" vertical="center"/>
    </xf>
    <xf numFmtId="0" fontId="14" fillId="68" borderId="2" xfId="0" applyFont="1" applyFill="1" applyBorder="1">
      <alignment vertical="center"/>
    </xf>
    <xf numFmtId="0" fontId="14" fillId="68" borderId="8" xfId="0" applyFont="1" applyFill="1" applyBorder="1">
      <alignment vertical="center"/>
    </xf>
    <xf numFmtId="0" fontId="14" fillId="68" borderId="4" xfId="0" applyFont="1" applyFill="1" applyBorder="1" applyAlignment="1">
      <alignment horizontal="center" vertical="center"/>
    </xf>
    <xf numFmtId="0" fontId="14" fillId="68" borderId="0" xfId="0" applyFont="1" applyFill="1">
      <alignment vertical="center"/>
    </xf>
    <xf numFmtId="0" fontId="14" fillId="0" borderId="6" xfId="0" applyFont="1" applyBorder="1">
      <alignment vertical="center"/>
    </xf>
    <xf numFmtId="0" fontId="14" fillId="0" borderId="9" xfId="0" applyFont="1" applyBorder="1">
      <alignment vertical="center"/>
    </xf>
    <xf numFmtId="0" fontId="24" fillId="0" borderId="3" xfId="0" applyFont="1" applyBorder="1" applyAlignment="1">
      <alignment horizontal="center" vertical="center"/>
    </xf>
    <xf numFmtId="0" fontId="24" fillId="7" borderId="2" xfId="0" applyFont="1" applyFill="1" applyBorder="1">
      <alignment vertical="center"/>
    </xf>
    <xf numFmtId="0" fontId="24" fillId="0" borderId="8" xfId="0" applyFont="1" applyBorder="1">
      <alignment vertical="center"/>
    </xf>
    <xf numFmtId="0" fontId="24" fillId="0" borderId="152" xfId="0" applyFont="1" applyBorder="1" applyAlignment="1">
      <alignment horizontal="center" vertical="center"/>
    </xf>
    <xf numFmtId="0" fontId="14" fillId="8" borderId="19" xfId="0" applyFont="1" applyFill="1" applyBorder="1" applyAlignment="1">
      <alignment horizontal="center" vertical="center"/>
    </xf>
    <xf numFmtId="0" fontId="14" fillId="0" borderId="19" xfId="0" applyFont="1" applyBorder="1" applyAlignment="1">
      <alignment horizontal="center" vertical="center"/>
    </xf>
    <xf numFmtId="0" fontId="24" fillId="7" borderId="8" xfId="0" applyFont="1" applyFill="1" applyBorder="1">
      <alignment vertical="center"/>
    </xf>
    <xf numFmtId="0" fontId="14" fillId="8" borderId="153" xfId="0" applyFont="1" applyFill="1" applyBorder="1" applyAlignment="1">
      <alignment horizontal="center" vertical="center"/>
    </xf>
    <xf numFmtId="0" fontId="24" fillId="8" borderId="154" xfId="0" applyFont="1" applyFill="1" applyBorder="1" applyAlignment="1">
      <alignment horizontal="center" vertical="center" wrapText="1"/>
    </xf>
    <xf numFmtId="0" fontId="24" fillId="0" borderId="155" xfId="0" applyFont="1" applyBorder="1" applyAlignment="1">
      <alignment horizontal="center" vertical="center" wrapText="1"/>
    </xf>
    <xf numFmtId="0" fontId="24" fillId="8" borderId="156" xfId="0" applyFont="1" applyFill="1" applyBorder="1" applyAlignment="1" applyProtection="1">
      <alignment horizontal="center" vertical="center" wrapText="1"/>
      <protection locked="0"/>
    </xf>
    <xf numFmtId="0" fontId="24" fillId="0" borderId="75" xfId="0" applyFont="1" applyBorder="1" applyAlignment="1" applyProtection="1">
      <alignment horizontal="center" vertical="center" wrapText="1"/>
      <protection locked="0"/>
    </xf>
    <xf numFmtId="0" fontId="128" fillId="4" borderId="0" xfId="0" applyFont="1" applyFill="1">
      <alignment vertical="center"/>
    </xf>
    <xf numFmtId="0" fontId="129" fillId="4" borderId="0" xfId="0" applyFont="1" applyFill="1" applyAlignment="1">
      <alignment vertical="center" wrapText="1"/>
    </xf>
    <xf numFmtId="0" fontId="24" fillId="4" borderId="0" xfId="0" applyFont="1" applyFill="1" applyAlignment="1">
      <alignment vertical="center" wrapText="1"/>
    </xf>
    <xf numFmtId="0" fontId="103" fillId="4" borderId="0" xfId="0" applyFont="1" applyFill="1" applyAlignment="1">
      <alignment vertical="center" wrapText="1"/>
    </xf>
    <xf numFmtId="0" fontId="24" fillId="4" borderId="0" xfId="0" applyFont="1" applyFill="1" applyAlignment="1" applyProtection="1">
      <alignment horizontal="center" vertical="center"/>
      <protection locked="0"/>
    </xf>
    <xf numFmtId="0" fontId="24" fillId="4" borderId="8" xfId="0" applyFont="1" applyFill="1" applyBorder="1" applyAlignment="1">
      <alignment horizontal="center" vertical="center"/>
    </xf>
    <xf numFmtId="0" fontId="24" fillId="4" borderId="9" xfId="0" applyFont="1" applyFill="1" applyBorder="1" applyAlignment="1">
      <alignment horizontal="center" vertical="center"/>
    </xf>
    <xf numFmtId="0" fontId="14" fillId="0" borderId="3" xfId="0" applyFont="1" applyBorder="1">
      <alignment vertical="center"/>
    </xf>
    <xf numFmtId="0" fontId="14" fillId="0" borderId="5" xfId="0" applyFont="1" applyBorder="1">
      <alignment vertical="center"/>
    </xf>
    <xf numFmtId="0" fontId="14" fillId="7" borderId="152" xfId="0" applyFont="1" applyFill="1" applyBorder="1" applyAlignment="1">
      <alignment horizontal="center" vertical="center"/>
    </xf>
    <xf numFmtId="0" fontId="14" fillId="68" borderId="3" xfId="0" applyFont="1" applyFill="1" applyBorder="1">
      <alignment vertical="center"/>
    </xf>
    <xf numFmtId="0" fontId="14" fillId="68" borderId="5" xfId="0" applyFont="1" applyFill="1" applyBorder="1">
      <alignment vertical="center"/>
    </xf>
    <xf numFmtId="0" fontId="14" fillId="0" borderId="7" xfId="0" applyFont="1" applyBorder="1">
      <alignment vertical="center"/>
    </xf>
    <xf numFmtId="0" fontId="57" fillId="4" borderId="157" xfId="0" applyFont="1" applyFill="1" applyBorder="1" applyAlignment="1">
      <alignment horizontal="center" vertical="center"/>
    </xf>
    <xf numFmtId="0" fontId="57" fillId="4" borderId="158" xfId="0" applyFont="1" applyFill="1" applyBorder="1" applyAlignment="1">
      <alignment horizontal="center" vertical="center"/>
    </xf>
    <xf numFmtId="0" fontId="130" fillId="4" borderId="159" xfId="0" applyFont="1" applyFill="1" applyBorder="1" applyAlignment="1">
      <alignment horizontal="center" vertical="center"/>
    </xf>
    <xf numFmtId="0" fontId="131" fillId="4" borderId="84" xfId="0" applyFont="1" applyFill="1" applyBorder="1" applyAlignment="1">
      <alignment horizontal="center" vertical="center" wrapText="1"/>
    </xf>
    <xf numFmtId="0" fontId="131" fillId="4" borderId="85" xfId="0" applyFont="1" applyFill="1" applyBorder="1" applyAlignment="1">
      <alignment horizontal="center" vertical="center" wrapText="1"/>
    </xf>
    <xf numFmtId="0" fontId="131" fillId="4" borderId="4" xfId="0" applyFont="1" applyFill="1" applyBorder="1" applyAlignment="1">
      <alignment horizontal="center" vertical="center" wrapText="1"/>
    </xf>
    <xf numFmtId="0" fontId="131" fillId="4" borderId="0" xfId="0" applyFont="1" applyFill="1" applyAlignment="1">
      <alignment horizontal="center" vertical="center" wrapText="1"/>
    </xf>
    <xf numFmtId="0" fontId="131" fillId="4" borderId="6" xfId="0" applyFont="1" applyFill="1" applyBorder="1" applyAlignment="1">
      <alignment horizontal="center" vertical="center" wrapText="1"/>
    </xf>
    <xf numFmtId="0" fontId="131" fillId="4" borderId="9" xfId="0" applyFont="1" applyFill="1" applyBorder="1" applyAlignment="1">
      <alignment horizontal="center" vertical="center" wrapText="1"/>
    </xf>
    <xf numFmtId="0" fontId="129" fillId="0" borderId="0" xfId="0" applyFont="1" applyAlignment="1">
      <alignment vertical="center" wrapText="1"/>
    </xf>
    <xf numFmtId="0" fontId="129" fillId="0" borderId="0" xfId="0" applyFont="1" applyAlignment="1">
      <alignment horizontal="center" vertical="center" wrapText="1"/>
    </xf>
    <xf numFmtId="0" fontId="95" fillId="0" borderId="0" xfId="0" applyFont="1" applyAlignment="1">
      <alignment horizontal="center" vertical="center" shrinkToFit="1"/>
    </xf>
    <xf numFmtId="0" fontId="24" fillId="0" borderId="3" xfId="0" applyFont="1" applyBorder="1">
      <alignment vertical="center"/>
    </xf>
    <xf numFmtId="0" fontId="24" fillId="0" borderId="5" xfId="0" applyFont="1" applyBorder="1">
      <alignment vertical="center"/>
    </xf>
    <xf numFmtId="0" fontId="24" fillId="0" borderId="7" xfId="0" applyFont="1" applyBorder="1">
      <alignment vertical="center"/>
    </xf>
    <xf numFmtId="0" fontId="24" fillId="8" borderId="155" xfId="0" applyFont="1" applyFill="1" applyBorder="1" applyAlignment="1">
      <alignment horizontal="center" vertical="center" wrapText="1"/>
    </xf>
    <xf numFmtId="0" fontId="24" fillId="8" borderId="75" xfId="0" applyFont="1" applyFill="1" applyBorder="1" applyAlignment="1" applyProtection="1">
      <alignment horizontal="center" vertical="center" wrapText="1"/>
      <protection locked="0"/>
    </xf>
    <xf numFmtId="0" fontId="19" fillId="7" borderId="2" xfId="54" applyFont="1" applyFill="1" applyBorder="1" applyAlignment="1">
      <alignment vertical="center"/>
      <protection locked="0"/>
    </xf>
    <xf numFmtId="0" fontId="24" fillId="3" borderId="4" xfId="0" applyFont="1" applyFill="1" applyBorder="1">
      <alignment vertical="center"/>
    </xf>
    <xf numFmtId="0" fontId="6" fillId="8" borderId="4" xfId="54" applyFont="1" applyFill="1" applyBorder="1" applyAlignment="1">
      <alignment vertical="center"/>
      <protection locked="0"/>
    </xf>
    <xf numFmtId="0" fontId="14" fillId="4" borderId="0" xfId="0" applyFont="1" applyFill="1">
      <alignment vertical="center"/>
    </xf>
    <xf numFmtId="0" fontId="24" fillId="4" borderId="5" xfId="0" applyFont="1" applyFill="1" applyBorder="1">
      <alignment vertical="center"/>
    </xf>
    <xf numFmtId="0" fontId="6" fillId="3" borderId="4" xfId="54" applyFont="1" applyFill="1" applyBorder="1" applyAlignment="1">
      <alignment vertical="center"/>
      <protection locked="0"/>
    </xf>
    <xf numFmtId="0" fontId="14" fillId="8" borderId="4" xfId="54" applyFont="1" applyFill="1" applyBorder="1" applyAlignment="1">
      <alignment vertical="center"/>
      <protection locked="0"/>
    </xf>
    <xf numFmtId="0" fontId="6" fillId="0" borderId="6" xfId="54" applyFont="1" applyBorder="1" applyAlignment="1">
      <alignment vertical="center"/>
      <protection locked="0"/>
    </xf>
    <xf numFmtId="0" fontId="24" fillId="4" borderId="9" xfId="0" applyFont="1" applyFill="1" applyBorder="1" applyAlignment="1">
      <alignment vertical="center" wrapText="1"/>
    </xf>
    <xf numFmtId="0" fontId="84" fillId="45" borderId="0" xfId="54" applyFont="1" applyFill="1" applyAlignment="1">
      <alignment horizontal="center" vertical="center"/>
      <protection locked="0"/>
    </xf>
    <xf numFmtId="0" fontId="19" fillId="43" borderId="0" xfId="54" applyFont="1" applyFill="1" applyAlignment="1">
      <alignment horizontal="center" vertical="center"/>
      <protection locked="0"/>
    </xf>
    <xf numFmtId="0" fontId="19" fillId="44" borderId="0" xfId="54" applyFont="1" applyFill="1" applyAlignment="1">
      <alignment vertical="center"/>
      <protection locked="0"/>
    </xf>
    <xf numFmtId="0" fontId="14" fillId="44" borderId="0" xfId="54" applyFont="1" applyFill="1" applyAlignment="1">
      <alignment vertical="center"/>
      <protection locked="0"/>
    </xf>
    <xf numFmtId="0" fontId="6" fillId="44" borderId="0" xfId="54" applyFont="1" applyFill="1" applyAlignment="1">
      <alignment vertical="center"/>
      <protection locked="0"/>
    </xf>
    <xf numFmtId="0" fontId="24" fillId="44" borderId="0" xfId="0" applyFont="1" applyFill="1">
      <alignment vertical="center"/>
    </xf>
    <xf numFmtId="0" fontId="130" fillId="4" borderId="160" xfId="0" applyFont="1" applyFill="1" applyBorder="1" applyAlignment="1">
      <alignment horizontal="center" vertical="center"/>
    </xf>
    <xf numFmtId="0" fontId="132" fillId="4" borderId="159" xfId="0" applyFont="1" applyFill="1" applyBorder="1" applyAlignment="1">
      <alignment horizontal="center" vertical="center"/>
    </xf>
    <xf numFmtId="0" fontId="132" fillId="4" borderId="161" xfId="0" applyFont="1" applyFill="1" applyBorder="1" applyAlignment="1">
      <alignment horizontal="center" vertical="center"/>
    </xf>
    <xf numFmtId="0" fontId="131" fillId="4" borderId="162" xfId="0" applyFont="1" applyFill="1" applyBorder="1" applyAlignment="1">
      <alignment horizontal="center" vertical="center" wrapText="1"/>
    </xf>
    <xf numFmtId="182" fontId="28" fillId="4" borderId="88" xfId="0" applyNumberFormat="1" applyFont="1" applyFill="1" applyBorder="1" applyAlignment="1">
      <alignment horizontal="center" vertical="center"/>
    </xf>
    <xf numFmtId="182" fontId="28" fillId="4" borderId="96" xfId="0" applyNumberFormat="1" applyFont="1" applyFill="1" applyBorder="1" applyAlignment="1">
      <alignment horizontal="center" vertical="center"/>
    </xf>
    <xf numFmtId="0" fontId="131" fillId="4" borderId="94" xfId="0" applyFont="1" applyFill="1" applyBorder="1" applyAlignment="1">
      <alignment horizontal="center" vertical="center" wrapText="1"/>
    </xf>
    <xf numFmtId="182" fontId="28" fillId="4" borderId="82" xfId="0" applyNumberFormat="1" applyFont="1" applyFill="1" applyBorder="1" applyAlignment="1">
      <alignment horizontal="center" vertical="center"/>
    </xf>
    <xf numFmtId="182" fontId="28" fillId="4" borderId="5" xfId="0" applyNumberFormat="1" applyFont="1" applyFill="1" applyBorder="1" applyAlignment="1">
      <alignment horizontal="center" vertical="center"/>
    </xf>
    <xf numFmtId="0" fontId="131" fillId="4" borderId="100" xfId="0" applyFont="1" applyFill="1" applyBorder="1" applyAlignment="1">
      <alignment horizontal="center" vertical="center" wrapText="1"/>
    </xf>
    <xf numFmtId="182" fontId="28" fillId="4" borderId="102" xfId="0" applyNumberFormat="1" applyFont="1" applyFill="1" applyBorder="1" applyAlignment="1">
      <alignment horizontal="center" vertical="center"/>
    </xf>
    <xf numFmtId="182" fontId="28" fillId="4" borderId="7" xfId="0" applyNumberFormat="1" applyFont="1" applyFill="1" applyBorder="1" applyAlignment="1">
      <alignment horizontal="center" vertical="center"/>
    </xf>
    <xf numFmtId="0" fontId="133" fillId="0" borderId="0" xfId="0" applyFont="1" applyAlignment="1">
      <alignment vertical="center" wrapText="1"/>
    </xf>
    <xf numFmtId="0" fontId="133" fillId="0" borderId="0" xfId="0" applyFont="1" applyAlignment="1">
      <alignment horizontal="center" vertical="center" wrapText="1"/>
    </xf>
    <xf numFmtId="0" fontId="24" fillId="8" borderId="5" xfId="0" applyFont="1" applyFill="1" applyBorder="1" applyAlignment="1">
      <alignment horizontal="center" vertical="center" wrapText="1"/>
    </xf>
    <xf numFmtId="0" fontId="24" fillId="0" borderId="163" xfId="0" applyFont="1" applyBorder="1" applyAlignment="1">
      <alignment horizontal="center" vertical="center" wrapText="1"/>
    </xf>
    <xf numFmtId="0" fontId="24" fillId="0" borderId="164" xfId="0" applyFont="1" applyBorder="1" applyAlignment="1" applyProtection="1">
      <alignment horizontal="center" vertical="center" wrapText="1"/>
      <protection locked="0"/>
    </xf>
    <xf numFmtId="0" fontId="24" fillId="7" borderId="149" xfId="0" applyFont="1" applyFill="1" applyBorder="1" applyAlignment="1">
      <alignment horizontal="center" vertical="center"/>
    </xf>
    <xf numFmtId="0" fontId="24" fillId="7" borderId="150" xfId="0" applyFont="1" applyFill="1" applyBorder="1" applyAlignment="1">
      <alignment horizontal="center" vertical="center"/>
    </xf>
    <xf numFmtId="0" fontId="24" fillId="7" borderId="3" xfId="0" applyFont="1" applyFill="1" applyBorder="1">
      <alignment vertical="center"/>
    </xf>
    <xf numFmtId="0" fontId="24" fillId="0" borderId="2" xfId="0" applyFont="1" applyBorder="1">
      <alignment vertical="center"/>
    </xf>
    <xf numFmtId="0" fontId="24" fillId="3" borderId="5" xfId="0" applyFont="1" applyFill="1" applyBorder="1">
      <alignment vertical="center"/>
    </xf>
    <xf numFmtId="0" fontId="6" fillId="8" borderId="5" xfId="54" applyFont="1" applyFill="1" applyBorder="1" applyAlignment="1">
      <alignment vertical="center"/>
      <protection locked="0"/>
    </xf>
    <xf numFmtId="0" fontId="6" fillId="0" borderId="5" xfId="54" applyFont="1" applyBorder="1" applyAlignment="1">
      <alignment vertical="center"/>
      <protection locked="0"/>
    </xf>
    <xf numFmtId="0" fontId="14" fillId="0" borderId="5" xfId="54" applyFont="1" applyBorder="1" applyAlignment="1">
      <alignment vertical="center"/>
      <protection locked="0"/>
    </xf>
    <xf numFmtId="0" fontId="6" fillId="0" borderId="7" xfId="54" applyFont="1" applyBorder="1" applyAlignment="1">
      <alignment vertical="center"/>
      <protection locked="0"/>
    </xf>
    <xf numFmtId="0" fontId="14" fillId="0" borderId="5" xfId="0" applyFont="1" applyBorder="1" applyAlignment="1" applyProtection="1">
      <alignment horizontal="center" vertical="center"/>
      <protection locked="0"/>
    </xf>
    <xf numFmtId="0" fontId="14" fillId="4" borderId="5" xfId="0" applyFont="1" applyFill="1" applyBorder="1" applyAlignment="1" applyProtection="1">
      <alignment horizontal="center" vertical="center"/>
      <protection locked="0"/>
    </xf>
    <xf numFmtId="0" fontId="24" fillId="4" borderId="7" xfId="0" applyFont="1" applyFill="1" applyBorder="1" applyAlignment="1">
      <alignment vertical="center" wrapText="1"/>
    </xf>
    <xf numFmtId="0" fontId="6" fillId="0" borderId="0" xfId="54" applyFont="1" applyAlignment="1">
      <alignment horizontal="right" vertical="center"/>
      <protection locked="0"/>
    </xf>
    <xf numFmtId="0" fontId="14" fillId="44" borderId="0" xfId="54" applyFont="1" applyFill="1" applyAlignment="1">
      <alignment horizontal="right" vertical="center"/>
      <protection locked="0"/>
    </xf>
    <xf numFmtId="0" fontId="6" fillId="44" borderId="0" xfId="54" applyFont="1" applyFill="1" applyAlignment="1">
      <alignment horizontal="right" vertical="center"/>
      <protection locked="0"/>
    </xf>
    <xf numFmtId="0" fontId="14" fillId="0" borderId="0" xfId="54" applyFont="1" applyAlignment="1">
      <alignment horizontal="right" vertical="center"/>
      <protection locked="0"/>
    </xf>
    <xf numFmtId="0" fontId="134" fillId="45" borderId="154" xfId="0" applyFont="1" applyFill="1" applyBorder="1" applyAlignment="1">
      <alignment horizontal="center" vertical="center" wrapText="1" readingOrder="1"/>
    </xf>
    <xf numFmtId="0" fontId="24" fillId="45" borderId="155" xfId="0" applyFont="1" applyFill="1" applyBorder="1">
      <alignment vertical="center"/>
    </xf>
    <xf numFmtId="0" fontId="102" fillId="44" borderId="165" xfId="0" applyFont="1" applyFill="1" applyBorder="1" applyAlignment="1">
      <alignment horizontal="center" vertical="center" wrapText="1"/>
    </xf>
    <xf numFmtId="0" fontId="102" fillId="0" borderId="1" xfId="0" applyFont="1" applyBorder="1" applyAlignment="1">
      <alignment horizontal="center" vertical="center"/>
    </xf>
    <xf numFmtId="49" fontId="24" fillId="0" borderId="0" xfId="0" applyNumberFormat="1" applyFont="1">
      <alignment vertical="center"/>
    </xf>
    <xf numFmtId="0" fontId="102" fillId="44" borderId="156" xfId="0" applyFont="1" applyFill="1" applyBorder="1" applyAlignment="1">
      <alignment horizontal="center" vertical="center" wrapText="1"/>
    </xf>
    <xf numFmtId="0" fontId="102" fillId="0" borderId="75" xfId="0" applyFont="1" applyBorder="1" applyAlignment="1">
      <alignment horizontal="center" vertical="center"/>
    </xf>
    <xf numFmtId="0" fontId="24" fillId="7" borderId="152" xfId="0" applyFont="1" applyFill="1" applyBorder="1" applyAlignment="1">
      <alignment horizontal="center" vertical="center"/>
    </xf>
    <xf numFmtId="181" fontId="24" fillId="0" borderId="5" xfId="0" applyNumberFormat="1" applyFont="1" applyBorder="1" applyProtection="1">
      <alignment vertical="center"/>
      <protection locked="0"/>
    </xf>
    <xf numFmtId="0" fontId="24" fillId="0" borderId="0" xfId="0" applyFont="1" applyAlignment="1" applyProtection="1">
      <alignment horizontal="center" vertical="center" wrapText="1"/>
      <protection locked="0"/>
    </xf>
    <xf numFmtId="0" fontId="134" fillId="45" borderId="163" xfId="0" applyFont="1" applyFill="1" applyBorder="1" applyAlignment="1">
      <alignment horizontal="center" vertical="center"/>
    </xf>
    <xf numFmtId="0" fontId="73" fillId="0" borderId="2" xfId="0" applyFont="1" applyBorder="1" applyAlignment="1">
      <alignment horizontal="center" vertical="center"/>
    </xf>
    <xf numFmtId="0" fontId="94" fillId="0" borderId="8" xfId="0" applyFont="1" applyBorder="1" applyAlignment="1">
      <alignment horizontal="center" vertical="center"/>
    </xf>
    <xf numFmtId="0" fontId="102" fillId="0" borderId="74" xfId="0" applyFont="1" applyBorder="1" applyAlignment="1">
      <alignment horizontal="center" vertical="center"/>
    </xf>
    <xf numFmtId="0" fontId="94" fillId="0" borderId="4" xfId="0" applyFont="1" applyBorder="1" applyAlignment="1">
      <alignment horizontal="center" vertical="center"/>
    </xf>
    <xf numFmtId="0" fontId="94" fillId="0" borderId="0" xfId="0" applyFont="1" applyAlignment="1">
      <alignment horizontal="center" vertical="center"/>
    </xf>
    <xf numFmtId="0" fontId="102" fillId="0" borderId="76" xfId="0" applyFont="1" applyBorder="1" applyAlignment="1">
      <alignment horizontal="center" vertical="center"/>
    </xf>
    <xf numFmtId="0" fontId="94" fillId="0" borderId="6" xfId="0" applyFont="1" applyBorder="1" applyAlignment="1">
      <alignment horizontal="center" vertical="center"/>
    </xf>
    <xf numFmtId="0" fontId="94" fillId="0" borderId="9" xfId="0" applyFont="1" applyBorder="1" applyAlignment="1">
      <alignment horizontal="center" vertical="center"/>
    </xf>
    <xf numFmtId="49" fontId="24" fillId="7" borderId="2" xfId="0" applyNumberFormat="1" applyFont="1" applyFill="1" applyBorder="1">
      <alignment vertical="center"/>
    </xf>
    <xf numFmtId="49" fontId="24" fillId="7" borderId="8" xfId="0" applyNumberFormat="1" applyFont="1" applyFill="1" applyBorder="1">
      <alignment vertical="center"/>
    </xf>
    <xf numFmtId="49" fontId="24" fillId="7" borderId="3" xfId="0" applyNumberFormat="1" applyFont="1" applyFill="1" applyBorder="1">
      <alignment vertical="center"/>
    </xf>
    <xf numFmtId="0" fontId="24" fillId="0" borderId="8" xfId="0" applyFont="1" applyBorder="1" applyAlignment="1">
      <alignment horizontal="center" vertical="center" wrapText="1"/>
    </xf>
    <xf numFmtId="49" fontId="24" fillId="0" borderId="6" xfId="0" applyNumberFormat="1" applyFont="1" applyBorder="1">
      <alignment vertical="center"/>
    </xf>
    <xf numFmtId="49" fontId="14" fillId="0" borderId="2" xfId="0" applyNumberFormat="1" applyFont="1" applyBorder="1" applyProtection="1">
      <alignment vertical="center"/>
      <protection locked="0" hidden="1"/>
    </xf>
    <xf numFmtId="49" fontId="14" fillId="0" borderId="4" xfId="0" applyNumberFormat="1" applyFont="1" applyBorder="1" applyProtection="1">
      <alignment vertical="center"/>
      <protection locked="0" hidden="1"/>
    </xf>
    <xf numFmtId="49" fontId="14" fillId="0" borderId="4" xfId="0" applyNumberFormat="1" applyFont="1" applyBorder="1" applyAlignment="1" applyProtection="1">
      <alignment vertical="center" wrapText="1"/>
      <protection locked="0" hidden="1"/>
    </xf>
    <xf numFmtId="183" fontId="14" fillId="0" borderId="4" xfId="0" applyNumberFormat="1" applyFont="1" applyBorder="1" applyProtection="1">
      <alignment vertical="center"/>
      <protection locked="0" hidden="1"/>
    </xf>
    <xf numFmtId="0" fontId="73" fillId="0" borderId="8" xfId="0" applyFont="1" applyBorder="1" applyAlignment="1">
      <alignment horizontal="center" vertical="center"/>
    </xf>
    <xf numFmtId="0" fontId="134" fillId="0" borderId="8" xfId="0" applyFont="1" applyBorder="1">
      <alignment vertical="center"/>
    </xf>
    <xf numFmtId="0" fontId="94" fillId="0" borderId="3" xfId="0" applyFont="1" applyBorder="1" applyAlignment="1">
      <alignment horizontal="center" vertical="center"/>
    </xf>
    <xf numFmtId="0" fontId="102" fillId="0" borderId="0" xfId="0" applyFont="1" applyAlignment="1">
      <alignment horizontal="center" vertical="center"/>
    </xf>
    <xf numFmtId="0" fontId="94" fillId="0" borderId="5" xfId="0" applyFont="1" applyBorder="1" applyAlignment="1">
      <alignment horizontal="center" vertical="center"/>
    </xf>
    <xf numFmtId="0" fontId="102" fillId="0" borderId="152" xfId="0" applyFont="1" applyBorder="1">
      <alignment vertical="center"/>
    </xf>
    <xf numFmtId="0" fontId="135" fillId="0" borderId="8" xfId="0" applyFont="1" applyBorder="1" applyAlignment="1">
      <alignment horizontal="center" vertical="center"/>
    </xf>
    <xf numFmtId="0" fontId="102" fillId="0" borderId="9" xfId="0" applyFont="1" applyBorder="1" applyAlignment="1">
      <alignment horizontal="center" vertical="center"/>
    </xf>
    <xf numFmtId="0" fontId="94" fillId="0" borderId="7" xfId="0" applyFont="1" applyBorder="1" applyAlignment="1">
      <alignment horizontal="center" vertical="center"/>
    </xf>
    <xf numFmtId="0" fontId="24" fillId="7" borderId="79" xfId="0" applyFont="1" applyFill="1" applyBorder="1" applyAlignment="1">
      <alignment horizontal="center" vertical="center"/>
    </xf>
    <xf numFmtId="0" fontId="24" fillId="0" borderId="2" xfId="0" applyFont="1" applyBorder="1" applyProtection="1">
      <alignment vertical="center"/>
      <protection locked="0"/>
    </xf>
    <xf numFmtId="0" fontId="24" fillId="0" borderId="79" xfId="0" applyFont="1" applyBorder="1" applyProtection="1">
      <alignment vertical="center"/>
      <protection locked="0"/>
    </xf>
    <xf numFmtId="0" fontId="24" fillId="7" borderId="80" xfId="0" applyFont="1" applyFill="1" applyBorder="1" applyAlignment="1">
      <alignment horizontal="center" vertical="center"/>
    </xf>
    <xf numFmtId="0" fontId="24" fillId="0" borderId="6" xfId="0" applyFont="1" applyBorder="1" applyAlignment="1" applyProtection="1">
      <alignment horizontal="center" vertical="center"/>
      <protection locked="0"/>
    </xf>
    <xf numFmtId="0" fontId="24" fillId="0" borderId="81" xfId="0" applyFont="1" applyBorder="1" applyProtection="1">
      <alignment vertical="center"/>
      <protection locked="0"/>
    </xf>
    <xf numFmtId="0" fontId="24" fillId="7" borderId="81" xfId="0" applyFont="1" applyFill="1" applyBorder="1" applyAlignment="1">
      <alignment horizontal="center" vertical="center"/>
    </xf>
    <xf numFmtId="0" fontId="24" fillId="0" borderId="149" xfId="0" applyFont="1" applyBorder="1">
      <alignment vertical="center"/>
    </xf>
    <xf numFmtId="0" fontId="24" fillId="0" borderId="149" xfId="0" applyFont="1" applyBorder="1" applyAlignment="1">
      <alignment vertical="center" wrapText="1"/>
    </xf>
    <xf numFmtId="0" fontId="24" fillId="0" borderId="6" xfId="0" applyFont="1" applyBorder="1" applyAlignment="1">
      <alignment vertical="center" wrapText="1"/>
    </xf>
    <xf numFmtId="0" fontId="62" fillId="0" borderId="0" xfId="0" applyFont="1" applyAlignment="1">
      <alignment horizontal="justify" vertical="center"/>
    </xf>
    <xf numFmtId="0" fontId="102" fillId="0" borderId="0" xfId="0" applyFont="1">
      <alignment vertical="center"/>
    </xf>
    <xf numFmtId="0" fontId="24" fillId="0" borderId="150" xfId="0" applyFont="1" applyBorder="1">
      <alignment vertical="center"/>
    </xf>
    <xf numFmtId="0" fontId="102" fillId="0" borderId="150" xfId="0" applyFont="1" applyBorder="1" applyAlignment="1">
      <alignment horizontal="left" vertical="center"/>
    </xf>
    <xf numFmtId="0" fontId="102" fillId="0" borderId="152" xfId="0" applyFont="1" applyBorder="1" applyAlignment="1">
      <alignment horizontal="center" vertical="center"/>
    </xf>
    <xf numFmtId="0" fontId="102" fillId="0" borderId="8" xfId="0" applyFont="1" applyBorder="1" applyAlignment="1">
      <alignment horizontal="left" vertical="center"/>
    </xf>
    <xf numFmtId="0" fontId="102" fillId="0" borderId="3" xfId="0" applyFont="1" applyBorder="1" applyAlignment="1">
      <alignment horizontal="center" vertical="center"/>
    </xf>
    <xf numFmtId="0" fontId="102" fillId="0" borderId="3" xfId="0" applyFont="1" applyBorder="1">
      <alignment vertical="center"/>
    </xf>
    <xf numFmtId="0" fontId="102" fillId="0" borderId="0" xfId="0" applyFont="1" applyAlignment="1">
      <alignment horizontal="left" vertical="center"/>
    </xf>
    <xf numFmtId="0" fontId="102" fillId="0" borderId="5" xfId="0" applyFont="1" applyBorder="1" applyAlignment="1">
      <alignment horizontal="center" vertical="center"/>
    </xf>
    <xf numFmtId="0" fontId="102" fillId="0" borderId="5" xfId="0" applyFont="1" applyBorder="1" applyAlignment="1" applyProtection="1">
      <alignment vertical="center" wrapText="1"/>
      <protection locked="0"/>
    </xf>
    <xf numFmtId="0" fontId="102" fillId="0" borderId="9" xfId="0" applyFont="1" applyBorder="1">
      <alignment vertical="center"/>
    </xf>
    <xf numFmtId="0" fontId="102" fillId="0" borderId="7" xfId="0" applyFont="1" applyBorder="1">
      <alignment vertical="center"/>
    </xf>
    <xf numFmtId="0" fontId="102" fillId="0" borderId="0" xfId="0" applyFont="1" applyAlignment="1" applyProtection="1">
      <alignment vertical="center" wrapText="1"/>
      <protection locked="0"/>
    </xf>
    <xf numFmtId="0" fontId="24" fillId="7" borderId="79" xfId="0" applyFont="1" applyFill="1" applyBorder="1">
      <alignment vertical="center"/>
    </xf>
    <xf numFmtId="0" fontId="24" fillId="0" borderId="166" xfId="0" applyFont="1" applyBorder="1">
      <alignment vertical="center"/>
    </xf>
    <xf numFmtId="0" fontId="24" fillId="7" borderId="167" xfId="0" applyFont="1" applyFill="1" applyBorder="1">
      <alignment vertical="center"/>
    </xf>
    <xf numFmtId="0" fontId="24" fillId="8" borderId="168" xfId="0" applyFont="1" applyFill="1" applyBorder="1">
      <alignment vertical="center"/>
    </xf>
    <xf numFmtId="0" fontId="24" fillId="8" borderId="167" xfId="0" applyFont="1" applyFill="1" applyBorder="1">
      <alignment vertical="center"/>
    </xf>
    <xf numFmtId="0" fontId="24" fillId="8" borderId="6" xfId="0" applyFont="1" applyFill="1" applyBorder="1">
      <alignment vertical="center"/>
    </xf>
    <xf numFmtId="0" fontId="24" fillId="8" borderId="7" xfId="0" applyFont="1" applyFill="1" applyBorder="1">
      <alignment vertical="center"/>
    </xf>
    <xf numFmtId="0" fontId="24" fillId="0" borderId="152" xfId="0" applyFont="1" applyBorder="1">
      <alignment vertical="center"/>
    </xf>
    <xf numFmtId="0" fontId="24" fillId="8" borderId="169" xfId="0" applyFont="1" applyFill="1" applyBorder="1">
      <alignment vertical="center"/>
    </xf>
    <xf numFmtId="0" fontId="24" fillId="7" borderId="170" xfId="0" applyFont="1" applyFill="1" applyBorder="1">
      <alignment vertical="center"/>
    </xf>
    <xf numFmtId="0" fontId="24" fillId="8" borderId="4" xfId="0" applyFont="1" applyFill="1" applyBorder="1">
      <alignment vertical="center"/>
    </xf>
    <xf numFmtId="0" fontId="24" fillId="8" borderId="171" xfId="0" applyFont="1" applyFill="1" applyBorder="1">
      <alignment vertical="center"/>
    </xf>
    <xf numFmtId="0" fontId="24" fillId="8" borderId="172" xfId="0" applyFont="1" applyFill="1" applyBorder="1">
      <alignment vertical="center"/>
    </xf>
    <xf numFmtId="0" fontId="24" fillId="8" borderId="149" xfId="0" applyFont="1" applyFill="1" applyBorder="1">
      <alignment vertical="center"/>
    </xf>
    <xf numFmtId="0" fontId="24" fillId="62" borderId="173" xfId="0" applyFont="1" applyFill="1" applyBorder="1">
      <alignment vertical="center"/>
    </xf>
    <xf numFmtId="0" fontId="24" fillId="62" borderId="0" xfId="0" applyFont="1" applyFill="1" applyProtection="1">
      <alignment vertical="center"/>
      <protection locked="0"/>
    </xf>
    <xf numFmtId="0" fontId="24" fillId="0" borderId="173" xfId="0" applyFont="1" applyBorder="1" applyAlignment="1">
      <alignment horizontal="left" vertical="center"/>
    </xf>
    <xf numFmtId="0" fontId="24" fillId="0" borderId="0" xfId="0" applyFont="1" applyAlignment="1">
      <alignment horizontal="left" vertical="center"/>
    </xf>
    <xf numFmtId="0" fontId="136" fillId="0" borderId="0" xfId="50" applyFill="1" applyBorder="1" applyAlignment="1" applyProtection="1">
      <alignment horizontal="center" vertical="center" wrapText="1"/>
    </xf>
    <xf numFmtId="0" fontId="55" fillId="0" borderId="0" xfId="0" applyFont="1">
      <alignment vertical="center"/>
    </xf>
    <xf numFmtId="0" fontId="102" fillId="0" borderId="0" xfId="0" applyFont="1" applyAlignment="1" applyProtection="1">
      <alignment horizontal="center" vertical="center" wrapText="1"/>
      <protection locked="0"/>
    </xf>
    <xf numFmtId="0" fontId="24" fillId="0" borderId="174" xfId="0" applyFont="1" applyBorder="1">
      <alignment vertical="center"/>
    </xf>
    <xf numFmtId="0" fontId="137" fillId="0" borderId="0" xfId="0" applyFont="1">
      <alignment vertical="center"/>
    </xf>
    <xf numFmtId="0" fontId="24" fillId="0" borderId="81" xfId="0" applyFont="1" applyBorder="1" applyAlignment="1" applyProtection="1">
      <alignment horizontal="center" vertical="center"/>
      <protection locked="0"/>
    </xf>
    <xf numFmtId="0" fontId="24" fillId="3" borderId="0" xfId="0" applyFont="1" applyFill="1">
      <alignment vertical="center"/>
    </xf>
    <xf numFmtId="0" fontId="24" fillId="62" borderId="0" xfId="0" applyFont="1" applyFill="1">
      <alignment vertical="center"/>
    </xf>
    <xf numFmtId="0" fontId="96" fillId="0" borderId="0" xfId="0" applyFont="1" applyProtection="1">
      <alignment vertical="center"/>
      <protection locked="0"/>
    </xf>
    <xf numFmtId="0" fontId="24" fillId="0" borderId="0" xfId="0" applyFont="1" applyAlignment="1" applyProtection="1">
      <alignment horizontal="left" vertical="center"/>
      <protection locked="0"/>
    </xf>
    <xf numFmtId="0" fontId="24" fillId="0" borderId="79" xfId="0" applyFont="1" applyBorder="1" applyAlignment="1" applyProtection="1">
      <alignment horizontal="center" vertical="center"/>
      <protection locked="0"/>
    </xf>
    <xf numFmtId="0" fontId="24" fillId="8" borderId="79" xfId="0" applyFont="1" applyFill="1" applyBorder="1" applyAlignment="1" applyProtection="1">
      <alignment horizontal="center" vertical="center"/>
      <protection locked="0"/>
    </xf>
    <xf numFmtId="0" fontId="24" fillId="0" borderId="80" xfId="0" applyFont="1" applyBorder="1" applyAlignment="1" applyProtection="1">
      <alignment horizontal="center" vertical="center"/>
      <protection locked="0"/>
    </xf>
    <xf numFmtId="0" fontId="24" fillId="8" borderId="80" xfId="0" applyFont="1" applyFill="1" applyBorder="1" applyAlignment="1" applyProtection="1">
      <alignment horizontal="center" vertical="center"/>
      <protection locked="0"/>
    </xf>
    <xf numFmtId="0" fontId="24" fillId="0" borderId="174" xfId="0" applyFont="1" applyBorder="1" applyAlignment="1" applyProtection="1">
      <alignment horizontal="center" vertical="center"/>
      <protection locked="0"/>
    </xf>
    <xf numFmtId="0" fontId="24" fillId="8" borderId="174" xfId="0" applyFont="1" applyFill="1" applyBorder="1" applyAlignment="1" applyProtection="1">
      <alignment horizontal="center" vertical="center"/>
      <protection locked="0"/>
    </xf>
    <xf numFmtId="0" fontId="24" fillId="0" borderId="4" xfId="0" applyFont="1" applyBorder="1" applyProtection="1">
      <alignment vertical="center"/>
      <protection locked="0"/>
    </xf>
    <xf numFmtId="0" fontId="26" fillId="0" borderId="0" xfId="0" applyFont="1" applyProtection="1">
      <alignment vertical="center"/>
      <protection locked="0"/>
    </xf>
    <xf numFmtId="0" fontId="24" fillId="0" borderId="0" xfId="0" applyFont="1" applyProtection="1">
      <alignment vertical="center"/>
      <protection locked="0"/>
    </xf>
    <xf numFmtId="0" fontId="18" fillId="0" borderId="0" xfId="0" applyFont="1" applyProtection="1">
      <alignment vertical="center"/>
      <protection locked="0"/>
    </xf>
    <xf numFmtId="0" fontId="24" fillId="0" borderId="175" xfId="0" applyFont="1" applyBorder="1">
      <alignment vertical="center"/>
    </xf>
    <xf numFmtId="0" fontId="24" fillId="0" borderId="148" xfId="0" applyFont="1" applyBorder="1">
      <alignment vertical="center"/>
    </xf>
    <xf numFmtId="0" fontId="24" fillId="3" borderId="8" xfId="0" applyFont="1" applyFill="1" applyBorder="1" applyAlignment="1">
      <alignment horizontal="center" vertical="center"/>
    </xf>
    <xf numFmtId="0" fontId="24" fillId="0" borderId="32" xfId="0" applyFont="1" applyBorder="1">
      <alignment vertical="center"/>
    </xf>
    <xf numFmtId="0" fontId="24" fillId="0" borderId="36" xfId="0" applyFont="1" applyBorder="1">
      <alignment vertical="center"/>
    </xf>
    <xf numFmtId="0" fontId="24" fillId="0" borderId="37" xfId="0" applyFont="1" applyBorder="1">
      <alignment vertical="center"/>
    </xf>
    <xf numFmtId="0" fontId="24" fillId="0" borderId="30" xfId="0" applyFont="1" applyBorder="1">
      <alignment vertical="center"/>
    </xf>
    <xf numFmtId="0" fontId="24" fillId="0" borderId="176" xfId="0" applyFont="1" applyBorder="1">
      <alignment vertical="center"/>
    </xf>
    <xf numFmtId="0" fontId="11" fillId="0" borderId="0" xfId="0" applyFont="1" applyProtection="1">
      <alignment vertical="center"/>
      <protection locked="0"/>
    </xf>
    <xf numFmtId="0" fontId="1" fillId="0" borderId="0" xfId="0" applyFont="1" applyAlignment="1" applyProtection="1">
      <alignment vertical="top"/>
      <protection locked="0"/>
    </xf>
    <xf numFmtId="0" fontId="24" fillId="3" borderId="3" xfId="0" applyFont="1" applyFill="1" applyBorder="1" applyAlignment="1">
      <alignment horizontal="center" vertical="center"/>
    </xf>
    <xf numFmtId="0" fontId="24" fillId="0" borderId="34" xfId="0" applyFont="1" applyBorder="1">
      <alignment vertical="center"/>
    </xf>
    <xf numFmtId="0" fontId="2" fillId="0" borderId="0" xfId="0" applyFont="1" applyProtection="1">
      <alignment vertical="center"/>
      <protection locked="0"/>
    </xf>
    <xf numFmtId="0" fontId="11" fillId="0" borderId="0" xfId="0" applyFont="1" applyAlignment="1" applyProtection="1">
      <protection locked="0"/>
    </xf>
    <xf numFmtId="0" fontId="24" fillId="0" borderId="0" xfId="0" applyFont="1" applyAlignment="1" applyProtection="1">
      <alignment vertical="top" wrapText="1"/>
      <protection locked="0"/>
    </xf>
    <xf numFmtId="0" fontId="11" fillId="0" borderId="0" xfId="0" applyFont="1" applyAlignment="1" applyProtection="1">
      <alignment vertical="top" wrapText="1"/>
      <protection locked="0"/>
    </xf>
    <xf numFmtId="0" fontId="2" fillId="0" borderId="0" xfId="0" applyFont="1" applyAlignment="1" applyProtection="1">
      <alignment horizontal="center" vertical="center"/>
      <protection locked="0"/>
    </xf>
    <xf numFmtId="0" fontId="24" fillId="0" borderId="0" xfId="0" applyFont="1" applyAlignment="1" applyProtection="1">
      <alignment vertical="center" wrapText="1"/>
      <protection locked="0"/>
    </xf>
    <xf numFmtId="0" fontId="24" fillId="4" borderId="0" xfId="0" applyFont="1" applyFill="1" applyAlignment="1" applyProtection="1">
      <alignment vertical="center" wrapText="1"/>
      <protection locked="0"/>
    </xf>
    <xf numFmtId="0" fontId="1" fillId="0" borderId="2" xfId="0" applyFont="1" applyBorder="1" applyAlignment="1" applyProtection="1">
      <alignment horizontal="center" vertical="center"/>
      <protection locked="0" hidden="1"/>
    </xf>
    <xf numFmtId="0" fontId="1" fillId="0" borderId="8" xfId="0" applyFont="1" applyBorder="1" applyProtection="1">
      <alignment vertical="center"/>
      <protection locked="0"/>
    </xf>
    <xf numFmtId="0" fontId="24" fillId="0" borderId="4" xfId="0" applyFont="1" applyBorder="1" applyAlignment="1" applyProtection="1">
      <alignment horizontal="left" vertical="center"/>
      <protection locked="0"/>
    </xf>
    <xf numFmtId="0" fontId="24" fillId="0" borderId="4" xfId="0" applyFont="1" applyBorder="1" applyAlignment="1" applyProtection="1">
      <protection locked="0"/>
    </xf>
    <xf numFmtId="0" fontId="103" fillId="0" borderId="0" xfId="0" applyFont="1" applyAlignment="1">
      <alignment vertical="center" wrapText="1"/>
    </xf>
    <xf numFmtId="0" fontId="24" fillId="0" borderId="0" xfId="0" applyFont="1" applyAlignment="1" applyProtection="1">
      <alignment horizontal="center" vertical="center"/>
      <protection locked="0"/>
    </xf>
    <xf numFmtId="0" fontId="1" fillId="0" borderId="8" xfId="0" applyFont="1" applyBorder="1" applyAlignment="1" applyProtection="1">
      <alignment horizontal="center" vertical="center"/>
      <protection locked="0"/>
    </xf>
    <xf numFmtId="0" fontId="24" fillId="0" borderId="5" xfId="0" applyFont="1" applyBorder="1" applyAlignment="1">
      <alignment horizontal="left" vertical="center"/>
    </xf>
    <xf numFmtId="0" fontId="96" fillId="0" borderId="5" xfId="0" applyFont="1" applyBorder="1" applyProtection="1">
      <alignment vertical="center"/>
      <protection locked="0"/>
    </xf>
    <xf numFmtId="0" fontId="32" fillId="0" borderId="2" xfId="0" applyFont="1" applyBorder="1">
      <alignment vertical="center"/>
    </xf>
    <xf numFmtId="49" fontId="138" fillId="69" borderId="8" xfId="54" applyNumberFormat="1" applyFont="1" applyFill="1" applyBorder="1" applyAlignment="1" applyProtection="1">
      <alignment horizontal="center" vertical="top" wrapText="1"/>
    </xf>
    <xf numFmtId="0" fontId="32" fillId="0" borderId="4" xfId="0" applyFont="1" applyBorder="1">
      <alignment vertical="center"/>
    </xf>
    <xf numFmtId="49" fontId="102" fillId="0" borderId="0" xfId="54" applyNumberFormat="1" applyFont="1" applyAlignment="1" applyProtection="1">
      <alignment horizontal="left" vertical="center" wrapText="1"/>
    </xf>
    <xf numFmtId="49" fontId="138" fillId="69" borderId="3" xfId="54" applyNumberFormat="1" applyFont="1" applyFill="1" applyBorder="1" applyAlignment="1" applyProtection="1">
      <alignment horizontal="center" vertical="top" wrapText="1"/>
    </xf>
    <xf numFmtId="0" fontId="32" fillId="0" borderId="8" xfId="0" applyFont="1" applyBorder="1">
      <alignment vertical="center"/>
    </xf>
    <xf numFmtId="49" fontId="102" fillId="0" borderId="5" xfId="54" applyNumberFormat="1" applyFont="1" applyBorder="1" applyAlignment="1" applyProtection="1">
      <alignment horizontal="left" vertical="center" wrapText="1"/>
    </xf>
    <xf numFmtId="0" fontId="62" fillId="0" borderId="79" xfId="0" applyFont="1" applyBorder="1" applyAlignment="1">
      <alignment horizontal="justify" vertical="center"/>
    </xf>
    <xf numFmtId="0" fontId="62" fillId="0" borderId="80" xfId="0" applyFont="1" applyBorder="1" applyAlignment="1">
      <alignment horizontal="justify" vertical="center"/>
    </xf>
    <xf numFmtId="183" fontId="14" fillId="0" borderId="0" xfId="0" applyNumberFormat="1" applyFont="1" applyAlignment="1" applyProtection="1">
      <alignment horizontal="left" vertical="center" wrapText="1"/>
      <protection locked="0" hidden="1"/>
    </xf>
    <xf numFmtId="0" fontId="139" fillId="0" borderId="0" xfId="0" applyFont="1" applyAlignment="1">
      <alignment horizontal="left" vertical="center"/>
    </xf>
    <xf numFmtId="0" fontId="14" fillId="0" borderId="0" xfId="0" applyFont="1" applyAlignment="1" applyProtection="1">
      <alignment horizontal="left" vertical="center" wrapText="1"/>
      <protection locked="0"/>
    </xf>
    <xf numFmtId="0" fontId="24" fillId="0" borderId="0" xfId="0" applyFont="1" applyAlignment="1" applyProtection="1">
      <alignment horizontal="left" vertical="center" wrapText="1"/>
      <protection locked="0"/>
    </xf>
    <xf numFmtId="0" fontId="24" fillId="0" borderId="0" xfId="0" applyFont="1" applyAlignment="1" applyProtection="1">
      <alignment vertical="top"/>
      <protection locked="0"/>
    </xf>
    <xf numFmtId="0" fontId="96" fillId="0" borderId="0" xfId="0" applyFont="1" applyAlignment="1" applyProtection="1">
      <alignment vertical="top"/>
      <protection locked="0"/>
    </xf>
    <xf numFmtId="0" fontId="1" fillId="0" borderId="0" xfId="0" applyFont="1" applyAlignment="1" applyProtection="1">
      <alignment vertical="top" wrapText="1"/>
      <protection locked="0"/>
    </xf>
    <xf numFmtId="0" fontId="1" fillId="0" borderId="0" xfId="0" applyFont="1" applyAlignment="1" applyProtection="1">
      <alignment vertical="center" wrapText="1"/>
      <protection locked="0"/>
    </xf>
    <xf numFmtId="0" fontId="96" fillId="0" borderId="0" xfId="0" applyFont="1" applyAlignment="1" applyProtection="1">
      <alignment vertical="center" wrapText="1"/>
      <protection locked="0"/>
    </xf>
    <xf numFmtId="0" fontId="96" fillId="0" borderId="0" xfId="0" applyFont="1" applyAlignment="1" applyProtection="1">
      <alignment vertical="top" wrapText="1"/>
      <protection locked="0"/>
    </xf>
    <xf numFmtId="0" fontId="24" fillId="66" borderId="0" xfId="0" applyFont="1" applyFill="1">
      <alignment vertical="center"/>
    </xf>
    <xf numFmtId="0" fontId="103" fillId="0" borderId="0" xfId="0" applyFont="1">
      <alignment vertical="center"/>
    </xf>
    <xf numFmtId="0" fontId="103" fillId="66" borderId="0" xfId="0" applyFont="1" applyFill="1" applyAlignment="1">
      <alignment horizontal="left" vertical="center"/>
    </xf>
    <xf numFmtId="0" fontId="24" fillId="66" borderId="5" xfId="0" applyFont="1" applyFill="1" applyBorder="1">
      <alignment vertical="center"/>
    </xf>
    <xf numFmtId="0" fontId="103" fillId="66" borderId="0" xfId="0" applyFont="1" applyFill="1">
      <alignment vertical="center"/>
    </xf>
    <xf numFmtId="0" fontId="140" fillId="0" borderId="0" xfId="0" applyFont="1">
      <alignment vertical="center"/>
    </xf>
    <xf numFmtId="0" fontId="24" fillId="0" borderId="177" xfId="0" applyFont="1" applyBorder="1">
      <alignment vertical="center"/>
    </xf>
    <xf numFmtId="0" fontId="139" fillId="0" borderId="0" xfId="0" applyFont="1" applyAlignment="1">
      <alignment horizontal="left" vertical="center" wrapText="1"/>
    </xf>
    <xf numFmtId="0" fontId="24" fillId="0" borderId="177" xfId="0" applyFont="1" applyBorder="1" applyAlignment="1">
      <alignment vertical="center" wrapText="1"/>
    </xf>
    <xf numFmtId="0" fontId="131" fillId="0" borderId="178" xfId="0" applyFont="1" applyBorder="1" applyAlignment="1">
      <alignment vertical="center" wrapText="1"/>
    </xf>
    <xf numFmtId="0" fontId="131" fillId="0" borderId="97" xfId="0" applyFont="1" applyBorder="1" applyAlignment="1">
      <alignment vertical="center" wrapText="1"/>
    </xf>
    <xf numFmtId="0" fontId="57" fillId="0" borderId="0" xfId="0" applyFont="1">
      <alignment vertical="center"/>
    </xf>
    <xf numFmtId="0" fontId="131" fillId="0" borderId="91" xfId="0" applyFont="1" applyBorder="1" applyAlignment="1">
      <alignment vertical="center" wrapText="1"/>
    </xf>
    <xf numFmtId="0" fontId="131" fillId="0" borderId="0" xfId="0" applyFont="1" applyAlignment="1">
      <alignment vertical="center" wrapText="1"/>
    </xf>
    <xf numFmtId="0" fontId="131" fillId="0" borderId="88" xfId="0" applyFont="1" applyBorder="1" applyAlignment="1">
      <alignment vertical="center" wrapText="1"/>
    </xf>
    <xf numFmtId="182" fontId="28" fillId="0" borderId="0" xfId="0" applyNumberFormat="1" applyFont="1">
      <alignment vertical="center"/>
    </xf>
    <xf numFmtId="49" fontId="14" fillId="66" borderId="4" xfId="0" applyNumberFormat="1" applyFont="1" applyFill="1" applyBorder="1" applyProtection="1">
      <alignment vertical="center"/>
      <protection locked="0" hidden="1"/>
    </xf>
    <xf numFmtId="49" fontId="24" fillId="0" borderId="9" xfId="0" applyNumberFormat="1" applyFont="1" applyBorder="1">
      <alignment vertical="center"/>
    </xf>
    <xf numFmtId="0" fontId="18" fillId="0" borderId="7" xfId="0" applyFont="1" applyBorder="1">
      <alignment vertical="center"/>
    </xf>
    <xf numFmtId="0" fontId="18" fillId="7" borderId="3" xfId="0" applyFont="1" applyFill="1" applyBorder="1">
      <alignment vertical="center"/>
    </xf>
    <xf numFmtId="0" fontId="24" fillId="7" borderId="149" xfId="0" applyFont="1" applyFill="1" applyBorder="1">
      <alignment vertical="center"/>
    </xf>
    <xf numFmtId="0" fontId="24" fillId="7" borderId="152" xfId="0" applyFont="1" applyFill="1" applyBorder="1">
      <alignment vertical="center"/>
    </xf>
    <xf numFmtId="0" fontId="18" fillId="0" borderId="4" xfId="0" applyFont="1" applyBorder="1">
      <alignment vertical="center"/>
    </xf>
    <xf numFmtId="0" fontId="18" fillId="0" borderId="0" xfId="0" applyFont="1">
      <alignment vertical="center"/>
    </xf>
    <xf numFmtId="0" fontId="18" fillId="0" borderId="6" xfId="0" applyFont="1" applyBorder="1">
      <alignment vertical="center"/>
    </xf>
    <xf numFmtId="0" fontId="18" fillId="0" borderId="9" xfId="0" applyFont="1" applyBorder="1">
      <alignment vertical="center"/>
    </xf>
    <xf numFmtId="0" fontId="24" fillId="7" borderId="2" xfId="0" applyFont="1" applyFill="1" applyBorder="1" applyAlignment="1">
      <alignment horizontal="right" vertical="center"/>
    </xf>
    <xf numFmtId="0" fontId="24" fillId="0" borderId="4" xfId="0" applyFont="1" applyBorder="1" applyAlignment="1">
      <alignment horizontal="right" vertical="center"/>
    </xf>
    <xf numFmtId="0" fontId="24" fillId="66" borderId="0" xfId="0" applyFont="1" applyFill="1" applyAlignment="1">
      <alignment horizontal="right" vertical="center"/>
    </xf>
    <xf numFmtId="0" fontId="24" fillId="7" borderId="8" xfId="0" applyFont="1" applyFill="1" applyBorder="1" applyAlignment="1">
      <alignment horizontal="right" vertical="center"/>
    </xf>
    <xf numFmtId="0" fontId="24" fillId="0" borderId="0" xfId="0" applyFont="1" applyAlignment="1">
      <alignment horizontal="right" vertical="center"/>
    </xf>
    <xf numFmtId="0" fontId="103" fillId="0" borderId="5" xfId="0" applyFont="1" applyBorder="1">
      <alignment vertical="center"/>
    </xf>
    <xf numFmtId="0" fontId="1" fillId="0" borderId="0" xfId="0" applyFont="1" applyAlignment="1" applyProtection="1">
      <alignment horizontal="center" vertical="center"/>
      <protection locked="0" hidden="1"/>
    </xf>
    <xf numFmtId="183" fontId="14" fillId="0" borderId="0" xfId="0" applyNumberFormat="1" applyFont="1" applyAlignment="1" applyProtection="1">
      <alignment horizontal="center" vertical="center"/>
      <protection locked="0" hidden="1"/>
    </xf>
    <xf numFmtId="0" fontId="32" fillId="0" borderId="6" xfId="0" applyFont="1" applyBorder="1">
      <alignment vertical="center"/>
    </xf>
    <xf numFmtId="49" fontId="102" fillId="0" borderId="9" xfId="54" applyNumberFormat="1" applyFont="1" applyBorder="1" applyAlignment="1" applyProtection="1">
      <alignment horizontal="left" vertical="center" wrapText="1"/>
    </xf>
    <xf numFmtId="0" fontId="2" fillId="11" borderId="148" xfId="0" applyFont="1" applyFill="1" applyBorder="1" applyAlignment="1" applyProtection="1">
      <alignment horizontal="center" vertical="center"/>
      <protection locked="0"/>
    </xf>
    <xf numFmtId="0" fontId="2" fillId="11" borderId="8" xfId="0" applyFont="1" applyFill="1" applyBorder="1" applyAlignment="1" applyProtection="1">
      <alignment horizontal="center" vertical="center"/>
      <protection locked="0"/>
    </xf>
    <xf numFmtId="0" fontId="1" fillId="7" borderId="36" xfId="0" applyFont="1" applyFill="1" applyBorder="1" applyAlignment="1" applyProtection="1">
      <alignment horizontal="center" vertical="center"/>
      <protection locked="0"/>
    </xf>
    <xf numFmtId="0" fontId="1" fillId="7" borderId="0" xfId="0" applyFont="1" applyFill="1" applyAlignment="1" applyProtection="1">
      <alignment horizontal="center" vertical="center"/>
      <protection locked="0"/>
    </xf>
    <xf numFmtId="0" fontId="1" fillId="0" borderId="36" xfId="0" applyFont="1" applyBorder="1" applyAlignment="1" applyProtection="1">
      <alignment horizontal="center" vertical="center"/>
      <protection locked="0" hidden="1"/>
    </xf>
    <xf numFmtId="0" fontId="1" fillId="8" borderId="36" xfId="0" applyFont="1" applyFill="1" applyBorder="1" applyAlignment="1" applyProtection="1">
      <alignment horizontal="center" vertical="center"/>
      <protection locked="0" hidden="1"/>
    </xf>
    <xf numFmtId="0" fontId="1" fillId="8" borderId="0" xfId="0" applyFont="1" applyFill="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1" fillId="8" borderId="5" xfId="0" applyFont="1" applyFill="1" applyBorder="1" applyAlignment="1" applyProtection="1">
      <alignment horizontal="center" vertical="center"/>
      <protection locked="0"/>
    </xf>
    <xf numFmtId="0" fontId="1" fillId="0" borderId="179" xfId="0" applyFont="1" applyBorder="1" applyAlignment="1" applyProtection="1">
      <alignment horizontal="center" vertical="center"/>
      <protection locked="0" hidden="1"/>
    </xf>
    <xf numFmtId="0" fontId="1" fillId="0" borderId="7" xfId="0" applyFont="1" applyBorder="1" applyAlignment="1" applyProtection="1">
      <alignment horizontal="center" vertical="center"/>
      <protection locked="0"/>
    </xf>
    <xf numFmtId="0" fontId="1" fillId="0" borderId="7" xfId="0" applyFont="1" applyBorder="1" applyAlignment="1" applyProtection="1">
      <alignment horizontal="center" vertical="center"/>
      <protection locked="0" hidden="1"/>
    </xf>
    <xf numFmtId="0" fontId="1" fillId="8" borderId="179" xfId="0" applyFont="1" applyFill="1" applyBorder="1" applyAlignment="1" applyProtection="1">
      <alignment horizontal="center" vertical="center"/>
      <protection locked="0" hidden="1"/>
    </xf>
    <xf numFmtId="0" fontId="24" fillId="0" borderId="179" xfId="0" applyFont="1" applyBorder="1" applyAlignment="1">
      <alignment horizontal="center" vertical="center"/>
    </xf>
    <xf numFmtId="0" fontId="24" fillId="0" borderId="7" xfId="0" applyFont="1" applyBorder="1" applyAlignment="1">
      <alignment horizontal="center" vertical="center"/>
    </xf>
    <xf numFmtId="0" fontId="24" fillId="7" borderId="0" xfId="0" applyFont="1" applyFill="1">
      <alignment vertical="center"/>
    </xf>
    <xf numFmtId="0" fontId="24" fillId="0" borderId="4" xfId="0" applyFont="1" applyBorder="1" applyAlignment="1">
      <alignment horizontal="left" vertical="center"/>
    </xf>
    <xf numFmtId="49" fontId="102" fillId="0" borderId="7" xfId="54" applyNumberFormat="1" applyFont="1" applyBorder="1" applyAlignment="1" applyProtection="1">
      <alignment horizontal="left" vertical="center" wrapText="1"/>
    </xf>
    <xf numFmtId="0" fontId="32" fillId="0" borderId="9" xfId="0" applyFont="1" applyBorder="1">
      <alignment vertical="center"/>
    </xf>
    <xf numFmtId="0" fontId="95" fillId="0" borderId="9" xfId="0" applyFont="1" applyBorder="1" applyAlignment="1">
      <alignment vertical="center" wrapText="1"/>
    </xf>
    <xf numFmtId="0" fontId="2" fillId="11" borderId="3" xfId="0" applyFont="1" applyFill="1" applyBorder="1" applyAlignment="1" applyProtection="1">
      <alignment horizontal="center" vertical="center"/>
      <protection locked="0"/>
    </xf>
    <xf numFmtId="0" fontId="1" fillId="7" borderId="5" xfId="0" applyFont="1" applyFill="1" applyBorder="1" applyAlignment="1" applyProtection="1">
      <alignment horizontal="center" vertical="center"/>
      <protection locked="0"/>
    </xf>
    <xf numFmtId="0" fontId="6" fillId="7" borderId="0" xfId="0" applyFont="1" applyFill="1" applyAlignment="1" applyProtection="1">
      <alignment horizontal="center" vertical="center"/>
      <protection locked="0"/>
    </xf>
    <xf numFmtId="0" fontId="6" fillId="7" borderId="5" xfId="0" applyFont="1" applyFill="1" applyBorder="1" applyAlignment="1" applyProtection="1">
      <alignment horizontal="center" vertical="center"/>
      <protection locked="0"/>
    </xf>
    <xf numFmtId="183" fontId="6" fillId="8" borderId="0" xfId="0" applyNumberFormat="1" applyFont="1" applyFill="1" applyAlignment="1" applyProtection="1">
      <alignment horizontal="center" vertical="center"/>
      <protection locked="0" hidden="1"/>
    </xf>
    <xf numFmtId="0" fontId="6" fillId="8" borderId="5" xfId="0" applyFont="1" applyFill="1" applyBorder="1" applyAlignment="1">
      <alignment horizontal="center" vertical="center"/>
    </xf>
    <xf numFmtId="183" fontId="6" fillId="0" borderId="9" xfId="0" applyNumberFormat="1" applyFont="1" applyBorder="1" applyAlignment="1" applyProtection="1">
      <alignment horizontal="center" vertical="center"/>
      <protection locked="0" hidden="1"/>
    </xf>
    <xf numFmtId="0" fontId="6" fillId="0" borderId="7" xfId="0" applyFont="1" applyBorder="1" applyAlignment="1">
      <alignment horizontal="center" vertical="center"/>
    </xf>
    <xf numFmtId="0" fontId="1" fillId="0" borderId="9" xfId="0" applyFont="1" applyBorder="1" applyAlignment="1" applyProtection="1">
      <alignment horizontal="center" vertical="center"/>
      <protection locked="0" hidden="1"/>
    </xf>
    <xf numFmtId="0" fontId="6" fillId="0" borderId="0" xfId="0" applyFont="1" applyAlignment="1">
      <alignment horizontal="center" vertical="center"/>
    </xf>
    <xf numFmtId="0" fontId="2" fillId="11" borderId="2" xfId="0" applyFont="1" applyFill="1" applyBorder="1" applyAlignment="1" applyProtection="1">
      <alignment horizontal="center" vertical="center"/>
      <protection locked="0"/>
    </xf>
    <xf numFmtId="0" fontId="1" fillId="7" borderId="4" xfId="0" applyFont="1" applyFill="1" applyBorder="1" applyAlignment="1" applyProtection="1">
      <alignment horizontal="center" vertical="center"/>
      <protection locked="0"/>
    </xf>
    <xf numFmtId="0" fontId="1" fillId="8" borderId="4" xfId="0" applyFont="1" applyFill="1" applyBorder="1" applyAlignment="1" applyProtection="1">
      <alignment horizontal="center" vertical="center"/>
      <protection locked="0" hidden="1"/>
    </xf>
    <xf numFmtId="0" fontId="1" fillId="8" borderId="6" xfId="0" applyFont="1" applyFill="1" applyBorder="1" applyAlignment="1" applyProtection="1">
      <alignment horizontal="center" vertical="center"/>
      <protection locked="0" hidden="1"/>
    </xf>
    <xf numFmtId="0" fontId="1" fillId="8" borderId="7" xfId="0" applyFont="1" applyFill="1" applyBorder="1" applyAlignment="1" applyProtection="1">
      <alignment horizontal="center" vertical="center"/>
      <protection locked="0"/>
    </xf>
    <xf numFmtId="0" fontId="1" fillId="0" borderId="0" xfId="0" applyFont="1" applyProtection="1">
      <alignment vertical="center"/>
      <protection locked="0"/>
    </xf>
    <xf numFmtId="0" fontId="24" fillId="7" borderId="180" xfId="0" applyFont="1" applyFill="1" applyBorder="1" applyAlignment="1">
      <alignment horizontal="center" vertical="center"/>
    </xf>
    <xf numFmtId="0" fontId="24" fillId="7" borderId="85" xfId="0" applyFont="1" applyFill="1" applyBorder="1" applyAlignment="1">
      <alignment horizontal="center" vertical="center"/>
    </xf>
    <xf numFmtId="0" fontId="24" fillId="70" borderId="181" xfId="0" applyFont="1" applyFill="1" applyBorder="1" applyAlignment="1">
      <alignment horizontal="center" vertical="center"/>
    </xf>
    <xf numFmtId="0" fontId="24" fillId="70" borderId="88" xfId="0" applyFont="1" applyFill="1" applyBorder="1" applyAlignment="1">
      <alignment horizontal="center" vertical="center"/>
    </xf>
    <xf numFmtId="0" fontId="24" fillId="70" borderId="0" xfId="0" applyFont="1" applyFill="1" applyAlignment="1">
      <alignment horizontal="center" vertical="center"/>
    </xf>
    <xf numFmtId="0" fontId="24" fillId="7" borderId="87" xfId="0" applyFont="1" applyFill="1" applyBorder="1" applyAlignment="1">
      <alignment horizontal="center" vertical="center"/>
    </xf>
    <xf numFmtId="0" fontId="24" fillId="70" borderId="87" xfId="0" applyFont="1" applyFill="1" applyBorder="1" applyAlignment="1" applyProtection="1">
      <alignment horizontal="center" vertical="center"/>
      <protection locked="0"/>
    </xf>
    <xf numFmtId="0" fontId="24" fillId="7" borderId="93" xfId="0" applyFont="1" applyFill="1" applyBorder="1" applyAlignment="1">
      <alignment horizontal="center" vertical="center"/>
    </xf>
    <xf numFmtId="0" fontId="24" fillId="70" borderId="0" xfId="0" applyFont="1" applyFill="1" applyAlignment="1" applyProtection="1">
      <alignment horizontal="center" vertical="center"/>
      <protection locked="0"/>
    </xf>
    <xf numFmtId="0" fontId="24" fillId="70" borderId="181" xfId="0" applyFont="1" applyFill="1" applyBorder="1" applyAlignment="1" applyProtection="1">
      <alignment horizontal="center" vertical="center"/>
      <protection locked="0"/>
    </xf>
    <xf numFmtId="0" fontId="24" fillId="70" borderId="182" xfId="0" applyFont="1" applyFill="1" applyBorder="1" applyAlignment="1" applyProtection="1">
      <alignment horizontal="center" vertical="center"/>
      <protection locked="0"/>
    </xf>
    <xf numFmtId="0" fontId="24" fillId="0" borderId="9" xfId="0" applyFont="1" applyBorder="1" applyAlignment="1">
      <alignment horizontal="center" vertical="center" wrapText="1"/>
    </xf>
    <xf numFmtId="0" fontId="24" fillId="68" borderId="8" xfId="0" applyFont="1" applyFill="1" applyBorder="1" applyAlignment="1">
      <alignment horizontal="center" vertical="center"/>
    </xf>
    <xf numFmtId="0" fontId="24" fillId="8" borderId="0" xfId="0" applyFont="1" applyFill="1">
      <alignment vertical="center"/>
    </xf>
    <xf numFmtId="0" fontId="14" fillId="3" borderId="0" xfId="0" applyFont="1" applyFill="1" applyAlignment="1">
      <alignment horizontal="center" vertical="center"/>
    </xf>
    <xf numFmtId="0" fontId="24" fillId="8" borderId="9" xfId="0" applyFont="1" applyFill="1" applyBorder="1">
      <alignment vertical="center"/>
    </xf>
    <xf numFmtId="184" fontId="24" fillId="0" borderId="0" xfId="0" applyNumberFormat="1" applyFont="1">
      <alignment vertical="center"/>
    </xf>
    <xf numFmtId="0" fontId="24" fillId="68" borderId="2" xfId="0" applyFont="1" applyFill="1" applyBorder="1">
      <alignment vertical="center"/>
    </xf>
    <xf numFmtId="0" fontId="14" fillId="68" borderId="8" xfId="0" applyFont="1" applyFill="1" applyBorder="1" applyAlignment="1">
      <alignment horizontal="center" vertical="center"/>
    </xf>
    <xf numFmtId="0" fontId="14" fillId="3" borderId="4" xfId="0" applyFont="1" applyFill="1" applyBorder="1" applyAlignment="1">
      <alignment vertical="center" wrapText="1"/>
    </xf>
    <xf numFmtId="0" fontId="14" fillId="3" borderId="4" xfId="0" applyFont="1" applyFill="1" applyBorder="1">
      <alignment vertical="center"/>
    </xf>
    <xf numFmtId="0" fontId="14" fillId="7" borderId="4" xfId="0" applyFont="1" applyFill="1" applyBorder="1" applyAlignment="1">
      <alignment vertical="center" wrapText="1"/>
    </xf>
    <xf numFmtId="0" fontId="24" fillId="0" borderId="3" xfId="0" applyFont="1" applyBorder="1" applyAlignment="1">
      <alignment horizontal="center" vertical="center" wrapText="1"/>
    </xf>
    <xf numFmtId="0" fontId="24" fillId="68" borderId="79" xfId="0" applyFont="1" applyFill="1" applyBorder="1">
      <alignment vertical="center"/>
    </xf>
    <xf numFmtId="0" fontId="24" fillId="3" borderId="149" xfId="0" applyFont="1" applyFill="1" applyBorder="1">
      <alignment vertical="center"/>
    </xf>
    <xf numFmtId="0" fontId="24" fillId="68" borderId="2" xfId="0" applyFont="1" applyFill="1" applyBorder="1" applyAlignment="1">
      <alignment horizontal="center" vertical="center"/>
    </xf>
    <xf numFmtId="0" fontId="14" fillId="3" borderId="4" xfId="0" applyFont="1" applyFill="1" applyBorder="1" applyAlignment="1">
      <alignment horizontal="center" vertical="center"/>
    </xf>
    <xf numFmtId="0" fontId="24" fillId="0" borderId="6" xfId="0" applyFont="1" applyBorder="1" applyAlignment="1">
      <alignment horizontal="right" vertical="center"/>
    </xf>
    <xf numFmtId="0" fontId="24" fillId="0" borderId="7" xfId="0" applyFont="1" applyBorder="1" applyAlignment="1">
      <alignment horizontal="center" vertical="center" wrapText="1"/>
    </xf>
    <xf numFmtId="0" fontId="24" fillId="68" borderId="3" xfId="0" applyFont="1" applyFill="1" applyBorder="1" applyAlignment="1">
      <alignment horizontal="center" vertical="center"/>
    </xf>
    <xf numFmtId="0" fontId="14" fillId="3" borderId="5" xfId="0" applyFont="1" applyFill="1" applyBorder="1" applyAlignment="1">
      <alignment horizontal="center" vertical="center"/>
    </xf>
    <xf numFmtId="0" fontId="24" fillId="0" borderId="6" xfId="0" applyFont="1" applyBorder="1" applyAlignment="1">
      <alignment horizontal="center" vertical="center"/>
    </xf>
    <xf numFmtId="0" fontId="24" fillId="0" borderId="9" xfId="0" applyFont="1" applyBorder="1" applyAlignment="1">
      <alignment horizontal="center" vertical="center"/>
    </xf>
    <xf numFmtId="184" fontId="30" fillId="0" borderId="0" xfId="0" applyNumberFormat="1" applyFont="1" applyAlignment="1">
      <alignment horizontal="left" vertical="center"/>
    </xf>
    <xf numFmtId="0" fontId="24" fillId="68" borderId="3" xfId="0" applyFont="1" applyFill="1" applyBorder="1">
      <alignment vertical="center"/>
    </xf>
    <xf numFmtId="0" fontId="134" fillId="0" borderId="0" xfId="0" applyFont="1" applyAlignment="1">
      <alignment horizontal="left" vertical="center"/>
    </xf>
    <xf numFmtId="0" fontId="134" fillId="0" borderId="0" xfId="0" applyFont="1" applyAlignment="1">
      <alignment horizontal="centerContinuous" vertical="center"/>
    </xf>
    <xf numFmtId="0" fontId="134" fillId="0" borderId="0" xfId="0" applyFont="1" applyAlignment="1">
      <alignment horizontal="center" vertical="center"/>
    </xf>
    <xf numFmtId="0" fontId="24" fillId="70" borderId="150" xfId="0" applyFont="1" applyFill="1" applyBorder="1" applyAlignment="1" applyProtection="1">
      <alignment horizontal="center" vertical="center"/>
      <protection locked="0"/>
    </xf>
    <xf numFmtId="0" fontId="14" fillId="0" borderId="0" xfId="0" applyFont="1" applyAlignment="1">
      <alignment horizontal="center" vertical="center" wrapText="1"/>
    </xf>
    <xf numFmtId="0" fontId="62" fillId="0" borderId="81" xfId="0" applyFont="1" applyBorder="1" applyAlignment="1">
      <alignment horizontal="justify" vertical="center"/>
    </xf>
    <xf numFmtId="0" fontId="24" fillId="0" borderId="9" xfId="0" applyFont="1" applyBorder="1" applyAlignment="1">
      <alignment horizontal="right" vertical="center"/>
    </xf>
    <xf numFmtId="0" fontId="134" fillId="0" borderId="1" xfId="0" applyFont="1" applyBorder="1" applyAlignment="1">
      <alignment horizontal="center" vertical="center"/>
    </xf>
    <xf numFmtId="0" fontId="102" fillId="0" borderId="1" xfId="0" applyFont="1" applyBorder="1" applyAlignment="1">
      <alignment horizontal="center" vertical="center" wrapText="1"/>
    </xf>
    <xf numFmtId="0" fontId="95" fillId="0" borderId="65" xfId="0" applyFont="1" applyBorder="1" applyAlignment="1" applyProtection="1">
      <alignment horizontal="center" vertical="center" wrapText="1"/>
      <protection locked="0"/>
    </xf>
    <xf numFmtId="0" fontId="24" fillId="0" borderId="6" xfId="0" applyFont="1" applyBorder="1" applyAlignment="1">
      <alignment horizontal="left" vertical="center"/>
    </xf>
    <xf numFmtId="0" fontId="108" fillId="71" borderId="183" xfId="0" applyFont="1" applyFill="1" applyBorder="1" applyAlignment="1">
      <alignment horizontal="center" vertical="center"/>
    </xf>
    <xf numFmtId="0" fontId="108" fillId="71" borderId="184" xfId="0" applyFont="1" applyFill="1" applyBorder="1" applyAlignment="1">
      <alignment horizontal="center" vertical="center"/>
    </xf>
    <xf numFmtId="0" fontId="7" fillId="0" borderId="0" xfId="0" applyFont="1" applyAlignment="1">
      <alignment horizontal="left" vertical="center"/>
    </xf>
    <xf numFmtId="0" fontId="11" fillId="72" borderId="185" xfId="0" applyFont="1" applyFill="1" applyBorder="1" applyAlignment="1">
      <alignment horizontal="center" vertical="center"/>
    </xf>
    <xf numFmtId="0" fontId="11" fillId="72" borderId="101" xfId="0" applyFont="1" applyFill="1" applyBorder="1" applyAlignment="1">
      <alignment horizontal="center" vertical="center"/>
    </xf>
    <xf numFmtId="185" fontId="17" fillId="33" borderId="84" xfId="0" applyNumberFormat="1" applyFont="1" applyFill="1" applyBorder="1" applyAlignment="1" applyProtection="1">
      <alignment horizontal="center" vertical="center" wrapText="1"/>
      <protection locked="0"/>
    </xf>
    <xf numFmtId="185" fontId="17" fillId="33" borderId="85" xfId="0" applyNumberFormat="1" applyFont="1" applyFill="1" applyBorder="1" applyAlignment="1" applyProtection="1">
      <alignment horizontal="center" vertical="center" wrapText="1"/>
      <protection locked="0"/>
    </xf>
    <xf numFmtId="185" fontId="17" fillId="33" borderId="4" xfId="0" applyNumberFormat="1" applyFont="1" applyFill="1" applyBorder="1" applyAlignment="1" applyProtection="1">
      <alignment horizontal="center" vertical="center" wrapText="1"/>
      <protection locked="0"/>
    </xf>
    <xf numFmtId="185" fontId="17" fillId="33" borderId="0" xfId="0" applyNumberFormat="1" applyFont="1" applyFill="1" applyAlignment="1" applyProtection="1">
      <alignment horizontal="center" vertical="center" wrapText="1"/>
      <protection locked="0"/>
    </xf>
    <xf numFmtId="0" fontId="11" fillId="72" borderId="92" xfId="0" applyFont="1" applyFill="1" applyBorder="1" applyAlignment="1">
      <alignment horizontal="center" vertical="center"/>
    </xf>
    <xf numFmtId="185" fontId="95" fillId="73" borderId="185" xfId="0" applyNumberFormat="1" applyFont="1" applyFill="1" applyBorder="1" applyAlignment="1">
      <alignment horizontal="left" vertical="center" wrapText="1"/>
    </xf>
    <xf numFmtId="185" fontId="95" fillId="73" borderId="101" xfId="0" applyNumberFormat="1" applyFont="1" applyFill="1" applyBorder="1" applyAlignment="1">
      <alignment horizontal="left" vertical="center" wrapText="1"/>
    </xf>
    <xf numFmtId="185" fontId="95" fillId="73" borderId="92" xfId="0" applyNumberFormat="1" applyFont="1" applyFill="1" applyBorder="1" applyAlignment="1">
      <alignment horizontal="left" vertical="center" wrapText="1"/>
    </xf>
    <xf numFmtId="185" fontId="94" fillId="73" borderId="84" xfId="0" applyNumberFormat="1" applyFont="1" applyFill="1" applyBorder="1" applyAlignment="1">
      <alignment horizontal="left" vertical="top" wrapText="1"/>
    </xf>
    <xf numFmtId="185" fontId="94" fillId="73" borderId="85" xfId="0" applyNumberFormat="1" applyFont="1" applyFill="1" applyBorder="1" applyAlignment="1">
      <alignment horizontal="left" vertical="top" wrapText="1"/>
    </xf>
    <xf numFmtId="185" fontId="94" fillId="73" borderId="4" xfId="0" applyNumberFormat="1" applyFont="1" applyFill="1" applyBorder="1" applyAlignment="1">
      <alignment horizontal="left" vertical="top" wrapText="1"/>
    </xf>
    <xf numFmtId="185" fontId="94" fillId="73" borderId="0" xfId="0" applyNumberFormat="1" applyFont="1" applyFill="1" applyAlignment="1">
      <alignment horizontal="left" vertical="top" wrapText="1"/>
    </xf>
    <xf numFmtId="185" fontId="94" fillId="73" borderId="6" xfId="0" applyNumberFormat="1" applyFont="1" applyFill="1" applyBorder="1" applyAlignment="1">
      <alignment horizontal="left" vertical="top" wrapText="1"/>
    </xf>
    <xf numFmtId="185" fontId="94" fillId="73" borderId="9" xfId="0" applyNumberFormat="1" applyFont="1" applyFill="1" applyBorder="1" applyAlignment="1">
      <alignment horizontal="left" vertical="top" wrapText="1"/>
    </xf>
    <xf numFmtId="0" fontId="94" fillId="0" borderId="0" xfId="0" applyFont="1" applyAlignment="1">
      <alignment vertical="top" wrapText="1"/>
    </xf>
    <xf numFmtId="0" fontId="28" fillId="73" borderId="2" xfId="0" applyFont="1" applyFill="1" applyBorder="1" applyAlignment="1">
      <alignment horizontal="center" vertical="center"/>
    </xf>
    <xf numFmtId="0" fontId="28" fillId="73" borderId="8" xfId="0" applyFont="1" applyFill="1" applyBorder="1" applyAlignment="1">
      <alignment horizontal="center" vertical="center"/>
    </xf>
    <xf numFmtId="49" fontId="141" fillId="73" borderId="101" xfId="0" applyNumberFormat="1" applyFont="1" applyFill="1" applyBorder="1" applyAlignment="1">
      <alignment horizontal="center" vertical="center"/>
    </xf>
    <xf numFmtId="185" fontId="142" fillId="73" borderId="101" xfId="0" applyNumberFormat="1" applyFont="1" applyFill="1" applyBorder="1" applyAlignment="1">
      <alignment horizontal="center" vertical="center" wrapText="1"/>
    </xf>
    <xf numFmtId="185" fontId="94" fillId="73" borderId="101" xfId="0" applyNumberFormat="1" applyFont="1" applyFill="1" applyBorder="1" applyAlignment="1">
      <alignment horizontal="left" vertical="center" wrapText="1" indent="1"/>
    </xf>
    <xf numFmtId="0" fontId="108" fillId="71" borderId="186" xfId="0" applyFont="1" applyFill="1" applyBorder="1" applyAlignment="1">
      <alignment horizontal="center" vertical="center"/>
    </xf>
    <xf numFmtId="0" fontId="11" fillId="72" borderId="19" xfId="0" applyFont="1" applyFill="1" applyBorder="1" applyAlignment="1">
      <alignment horizontal="center" vertical="center"/>
    </xf>
    <xf numFmtId="185" fontId="37" fillId="73" borderId="101" xfId="0" applyNumberFormat="1" applyFont="1" applyFill="1" applyBorder="1" applyAlignment="1">
      <alignment horizontal="left" vertical="center" wrapText="1"/>
    </xf>
    <xf numFmtId="185" fontId="37" fillId="73" borderId="85" xfId="0" applyNumberFormat="1" applyFont="1" applyFill="1" applyBorder="1" applyAlignment="1">
      <alignment horizontal="left" vertical="center" wrapText="1"/>
    </xf>
    <xf numFmtId="185" fontId="37" fillId="73" borderId="96" xfId="0" applyNumberFormat="1" applyFont="1" applyFill="1" applyBorder="1" applyAlignment="1">
      <alignment horizontal="left" vertical="center" wrapText="1"/>
    </xf>
    <xf numFmtId="185" fontId="37" fillId="73" borderId="0" xfId="0" applyNumberFormat="1" applyFont="1" applyFill="1" applyAlignment="1">
      <alignment horizontal="left" vertical="center" wrapText="1"/>
    </xf>
    <xf numFmtId="185" fontId="37" fillId="73" borderId="5" xfId="0" applyNumberFormat="1" applyFont="1" applyFill="1" applyBorder="1" applyAlignment="1">
      <alignment horizontal="left" vertical="center" wrapText="1"/>
    </xf>
    <xf numFmtId="0" fontId="11" fillId="72" borderId="93" xfId="0" applyFont="1" applyFill="1" applyBorder="1" applyAlignment="1">
      <alignment horizontal="center" vertical="center"/>
    </xf>
    <xf numFmtId="185" fontId="95" fillId="73" borderId="101" xfId="0" applyNumberFormat="1" applyFont="1" applyFill="1" applyBorder="1" applyAlignment="1">
      <alignment horizontal="left" vertical="top" wrapText="1" indent="1"/>
    </xf>
    <xf numFmtId="185" fontId="95" fillId="73" borderId="93" xfId="0" applyNumberFormat="1" applyFont="1" applyFill="1" applyBorder="1" applyAlignment="1">
      <alignment horizontal="left" vertical="top" wrapText="1" indent="1"/>
    </xf>
    <xf numFmtId="185" fontId="95" fillId="73" borderId="19" xfId="0" applyNumberFormat="1" applyFont="1" applyFill="1" applyBorder="1" applyAlignment="1">
      <alignment horizontal="left" vertical="top" wrapText="1" indent="1"/>
    </xf>
    <xf numFmtId="185" fontId="94" fillId="73" borderId="93" xfId="0" applyNumberFormat="1" applyFont="1" applyFill="1" applyBorder="1" applyAlignment="1">
      <alignment horizontal="left" vertical="center" wrapText="1" indent="1"/>
    </xf>
    <xf numFmtId="185" fontId="94" fillId="73" borderId="19" xfId="0" applyNumberFormat="1" applyFont="1" applyFill="1" applyBorder="1" applyAlignment="1">
      <alignment horizontal="left" vertical="center" wrapText="1" indent="1"/>
    </xf>
    <xf numFmtId="185" fontId="94" fillId="73" borderId="96" xfId="0" applyNumberFormat="1" applyFont="1" applyFill="1" applyBorder="1" applyAlignment="1">
      <alignment horizontal="left" vertical="top" wrapText="1"/>
    </xf>
    <xf numFmtId="185" fontId="94" fillId="73" borderId="5" xfId="0" applyNumberFormat="1" applyFont="1" applyFill="1" applyBorder="1" applyAlignment="1">
      <alignment horizontal="left" vertical="top" wrapText="1"/>
    </xf>
    <xf numFmtId="185" fontId="94" fillId="73" borderId="7" xfId="0" applyNumberFormat="1" applyFont="1" applyFill="1" applyBorder="1" applyAlignment="1">
      <alignment horizontal="left" vertical="top" wrapText="1"/>
    </xf>
    <xf numFmtId="0" fontId="143" fillId="0" borderId="0" xfId="0" applyFont="1" applyAlignment="1">
      <alignment vertical="center" wrapText="1"/>
    </xf>
    <xf numFmtId="0" fontId="2" fillId="71" borderId="2" xfId="0" applyFont="1" applyFill="1" applyBorder="1" applyAlignment="1">
      <alignment horizontal="center" vertical="center"/>
    </xf>
    <xf numFmtId="0" fontId="2" fillId="71" borderId="8" xfId="0" applyFont="1" applyFill="1" applyBorder="1" applyAlignment="1">
      <alignment horizontal="center" vertical="center"/>
    </xf>
    <xf numFmtId="0" fontId="1" fillId="72" borderId="4" xfId="0" applyFont="1" applyFill="1" applyBorder="1" applyAlignment="1">
      <alignment horizontal="center" vertical="center"/>
    </xf>
    <xf numFmtId="0" fontId="1" fillId="72" borderId="0" xfId="0" applyFont="1" applyFill="1" applyAlignment="1">
      <alignment horizontal="center" vertical="center"/>
    </xf>
    <xf numFmtId="49" fontId="1" fillId="0" borderId="4" xfId="0" applyNumberFormat="1" applyFont="1" applyBorder="1" applyAlignment="1">
      <alignment vertical="top" wrapText="1"/>
    </xf>
    <xf numFmtId="49" fontId="1" fillId="0" borderId="0" xfId="0" applyNumberFormat="1" applyFont="1" applyAlignment="1">
      <alignment horizontal="left" vertical="top" wrapText="1"/>
    </xf>
    <xf numFmtId="49" fontId="1" fillId="0" borderId="4" xfId="0" applyNumberFormat="1" applyFont="1" applyBorder="1">
      <alignment vertical="center"/>
    </xf>
    <xf numFmtId="49" fontId="1" fillId="0" borderId="0" xfId="0" applyNumberFormat="1" applyFont="1" applyAlignment="1">
      <alignment horizontal="left" vertical="center"/>
    </xf>
    <xf numFmtId="49" fontId="1" fillId="0" borderId="4" xfId="0" applyNumberFormat="1" applyFont="1" applyBorder="1" applyAlignment="1">
      <alignment vertical="center" wrapText="1"/>
    </xf>
    <xf numFmtId="49" fontId="1" fillId="0" borderId="0" xfId="0" applyNumberFormat="1" applyFont="1" applyAlignment="1">
      <alignment horizontal="left" vertical="center" wrapText="1"/>
    </xf>
    <xf numFmtId="49" fontId="1" fillId="0" borderId="4" xfId="0" applyNumberFormat="1" applyFont="1" applyBorder="1" applyAlignment="1">
      <alignment horizontal="left" vertical="center" wrapText="1"/>
    </xf>
    <xf numFmtId="0" fontId="136" fillId="0" borderId="0" xfId="0" applyFont="1" applyAlignment="1">
      <alignment vertical="center" wrapText="1"/>
    </xf>
    <xf numFmtId="49" fontId="1" fillId="0" borderId="0" xfId="0" applyNumberFormat="1" applyFont="1" applyAlignment="1">
      <alignment vertical="center" wrapText="1"/>
    </xf>
    <xf numFmtId="0" fontId="1" fillId="0" borderId="4" xfId="0" applyFont="1" applyBorder="1" applyAlignment="1">
      <alignment horizontal="center" vertical="center"/>
    </xf>
    <xf numFmtId="49" fontId="1" fillId="0" borderId="6" xfId="0" applyNumberFormat="1" applyFont="1" applyBorder="1" applyAlignment="1">
      <alignment vertical="center" wrapText="1"/>
    </xf>
    <xf numFmtId="49" fontId="1" fillId="0" borderId="9" xfId="0" applyNumberFormat="1" applyFont="1" applyBorder="1" applyAlignment="1">
      <alignment horizontal="left" vertical="center" wrapText="1"/>
    </xf>
    <xf numFmtId="0" fontId="132" fillId="0" borderId="0" xfId="0" applyFont="1" applyAlignment="1">
      <alignment horizontal="center" vertical="center"/>
    </xf>
    <xf numFmtId="0" fontId="2" fillId="71" borderId="3" xfId="0" applyFont="1" applyFill="1" applyBorder="1" applyAlignment="1">
      <alignment horizontal="center" vertical="center"/>
    </xf>
    <xf numFmtId="0" fontId="1" fillId="72" borderId="5" xfId="0" applyFont="1" applyFill="1" applyBorder="1" applyAlignment="1">
      <alignment horizontal="center" vertical="center"/>
    </xf>
    <xf numFmtId="49" fontId="1" fillId="0" borderId="5" xfId="0" applyNumberFormat="1" applyFont="1" applyBorder="1" applyAlignment="1">
      <alignment horizontal="left" vertical="top" wrapText="1"/>
    </xf>
    <xf numFmtId="49" fontId="1" fillId="0" borderId="5" xfId="0" applyNumberFormat="1" applyFont="1" applyBorder="1" applyAlignment="1">
      <alignment horizontal="left" vertical="center"/>
    </xf>
    <xf numFmtId="49" fontId="1" fillId="0" borderId="5" xfId="0" applyNumberFormat="1" applyFont="1" applyBorder="1" applyAlignment="1">
      <alignment horizontal="left" vertical="center" wrapText="1"/>
    </xf>
    <xf numFmtId="49" fontId="1" fillId="0" borderId="5" xfId="0" applyNumberFormat="1" applyFont="1" applyBorder="1" applyAlignment="1">
      <alignment vertical="center" wrapText="1"/>
    </xf>
    <xf numFmtId="0" fontId="1" fillId="0" borderId="5" xfId="0" applyFont="1" applyBorder="1" applyAlignment="1">
      <alignment horizontal="center" vertical="center"/>
    </xf>
    <xf numFmtId="0" fontId="1" fillId="0" borderId="5" xfId="0" applyFont="1" applyBorder="1" applyAlignment="1">
      <alignment horizontal="left" vertical="center"/>
    </xf>
    <xf numFmtId="49" fontId="1" fillId="0" borderId="7" xfId="0" applyNumberFormat="1" applyFont="1" applyBorder="1" applyAlignment="1">
      <alignment horizontal="left" vertical="center" wrapText="1"/>
    </xf>
    <xf numFmtId="0" fontId="28" fillId="73" borderId="3" xfId="0" applyFont="1" applyFill="1" applyBorder="1" applyAlignment="1">
      <alignment horizontal="center" vertical="center"/>
    </xf>
    <xf numFmtId="0" fontId="28" fillId="73" borderId="4" xfId="0" applyFont="1" applyFill="1" applyBorder="1" applyAlignment="1">
      <alignment horizontal="center" vertical="center"/>
    </xf>
    <xf numFmtId="0" fontId="28" fillId="73" borderId="0" xfId="0" applyFont="1" applyFill="1" applyAlignment="1">
      <alignment horizontal="center" vertical="center"/>
    </xf>
    <xf numFmtId="0" fontId="28" fillId="73" borderId="6" xfId="0" applyFont="1" applyFill="1" applyBorder="1" applyAlignment="1">
      <alignment horizontal="center" vertical="center"/>
    </xf>
    <xf numFmtId="0" fontId="28" fillId="73" borderId="9" xfId="0" applyFont="1" applyFill="1" applyBorder="1" applyAlignment="1">
      <alignment horizontal="center" vertical="center"/>
    </xf>
    <xf numFmtId="0" fontId="144" fillId="73" borderId="2" xfId="0" applyFont="1" applyFill="1" applyBorder="1" applyAlignment="1">
      <alignment horizontal="center" vertical="center"/>
    </xf>
    <xf numFmtId="0" fontId="144" fillId="73" borderId="8" xfId="0" applyFont="1" applyFill="1" applyBorder="1" applyAlignment="1">
      <alignment horizontal="center" vertical="center"/>
    </xf>
    <xf numFmtId="0" fontId="144" fillId="73" borderId="6" xfId="0" applyFont="1" applyFill="1" applyBorder="1" applyAlignment="1">
      <alignment horizontal="center" vertical="center"/>
    </xf>
    <xf numFmtId="0" fontId="144" fillId="73" borderId="9" xfId="0" applyFont="1" applyFill="1" applyBorder="1" applyAlignment="1">
      <alignment horizontal="center" vertical="center"/>
    </xf>
    <xf numFmtId="0" fontId="29" fillId="73" borderId="2" xfId="0" applyFont="1" applyFill="1" applyBorder="1" applyAlignment="1">
      <alignment horizontal="center" vertical="center"/>
    </xf>
    <xf numFmtId="0" fontId="29" fillId="73" borderId="8" xfId="0" applyFont="1" applyFill="1" applyBorder="1" applyAlignment="1">
      <alignment horizontal="center" vertical="center"/>
    </xf>
    <xf numFmtId="0" fontId="29" fillId="73" borderId="4" xfId="0" applyFont="1" applyFill="1" applyBorder="1" applyAlignment="1">
      <alignment horizontal="center" vertical="center"/>
    </xf>
    <xf numFmtId="0" fontId="29" fillId="73" borderId="0" xfId="0" applyFont="1" applyFill="1" applyAlignment="1">
      <alignment horizontal="center" vertical="center"/>
    </xf>
    <xf numFmtId="0" fontId="26" fillId="0" borderId="44" xfId="0" applyFont="1" applyBorder="1" applyAlignment="1">
      <alignment horizontal="center" vertical="center" wrapText="1"/>
    </xf>
    <xf numFmtId="0" fontId="11" fillId="0" borderId="4" xfId="0" applyFont="1" applyBorder="1" applyAlignment="1">
      <alignment horizontal="center" vertical="top" wrapText="1"/>
    </xf>
    <xf numFmtId="0" fontId="11" fillId="0" borderId="0" xfId="0" applyFont="1" applyAlignment="1">
      <alignment horizontal="center" vertical="top"/>
    </xf>
    <xf numFmtId="0" fontId="11" fillId="0" borderId="23" xfId="0" applyFont="1" applyBorder="1" applyAlignment="1">
      <alignment horizontal="center" vertical="top"/>
    </xf>
    <xf numFmtId="0" fontId="11" fillId="0" borderId="24" xfId="0" applyFont="1" applyBorder="1" applyAlignment="1">
      <alignment horizontal="center" vertical="top"/>
    </xf>
    <xf numFmtId="0" fontId="26" fillId="0" borderId="9" xfId="0" applyFont="1" applyBorder="1" applyAlignment="1">
      <alignment horizontal="center" vertical="center" wrapText="1"/>
    </xf>
    <xf numFmtId="0" fontId="145" fillId="73" borderId="4" xfId="0" applyFont="1" applyFill="1" applyBorder="1" applyAlignment="1">
      <alignment horizontal="center" vertical="center" wrapText="1"/>
    </xf>
    <xf numFmtId="0" fontId="145" fillId="73" borderId="0" xfId="0" applyFont="1" applyFill="1" applyAlignment="1">
      <alignment horizontal="center" vertical="center" wrapText="1"/>
    </xf>
    <xf numFmtId="0" fontId="146" fillId="0" borderId="4" xfId="0" applyFont="1" applyBorder="1" applyAlignment="1">
      <alignment horizontal="center" vertical="center"/>
    </xf>
    <xf numFmtId="0" fontId="146" fillId="0" borderId="0" xfId="0" applyFont="1" applyAlignment="1">
      <alignment horizontal="center" vertical="center"/>
    </xf>
    <xf numFmtId="0" fontId="11" fillId="0" borderId="6" xfId="0" applyFont="1" applyBorder="1" applyAlignment="1">
      <alignment horizontal="center" vertical="center"/>
    </xf>
    <xf numFmtId="0" fontId="144" fillId="73" borderId="4" xfId="0" applyFont="1" applyFill="1" applyBorder="1" applyAlignment="1">
      <alignment horizontal="center" vertical="center"/>
    </xf>
    <xf numFmtId="0" fontId="144" fillId="73" borderId="0" xfId="0" applyFont="1" applyFill="1" applyAlignment="1">
      <alignment horizontal="center" vertical="center"/>
    </xf>
    <xf numFmtId="0" fontId="26" fillId="33" borderId="4" xfId="0" applyFont="1" applyFill="1" applyBorder="1" applyAlignment="1">
      <alignment horizontal="center" vertical="center" wrapText="1"/>
    </xf>
    <xf numFmtId="0" fontId="26" fillId="33" borderId="0" xfId="0" applyFont="1" applyFill="1" applyAlignment="1">
      <alignment horizontal="center" vertical="center" wrapText="1"/>
    </xf>
    <xf numFmtId="0" fontId="19" fillId="0" borderId="4" xfId="0" applyFont="1" applyBorder="1" applyAlignment="1">
      <alignment horizontal="center" vertical="center" wrapText="1"/>
    </xf>
    <xf numFmtId="0" fontId="19" fillId="0" borderId="0" xfId="0" applyFont="1" applyAlignment="1">
      <alignment horizontal="center" vertical="center" wrapText="1"/>
    </xf>
    <xf numFmtId="0" fontId="19" fillId="0" borderId="6" xfId="0" applyFont="1" applyBorder="1" applyAlignment="1">
      <alignment horizontal="center" vertical="center" wrapText="1"/>
    </xf>
    <xf numFmtId="0" fontId="19" fillId="0" borderId="9" xfId="0" applyFont="1" applyBorder="1" applyAlignment="1">
      <alignment horizontal="center" vertical="center" wrapText="1"/>
    </xf>
    <xf numFmtId="0" fontId="26" fillId="0" borderId="47" xfId="0" applyFont="1" applyBorder="1" applyAlignment="1">
      <alignment horizontal="center" vertical="center" wrapText="1"/>
    </xf>
    <xf numFmtId="0" fontId="26" fillId="0" borderId="45" xfId="0" applyFont="1" applyBorder="1" applyAlignment="1">
      <alignment horizontal="center" vertical="center" wrapText="1"/>
    </xf>
    <xf numFmtId="0" fontId="11" fillId="0" borderId="45" xfId="0" applyFont="1" applyBorder="1" applyAlignment="1">
      <alignment horizontal="center" vertical="top" wrapText="1"/>
    </xf>
    <xf numFmtId="0" fontId="11" fillId="0" borderId="46" xfId="0" applyFont="1" applyBorder="1" applyAlignment="1">
      <alignment horizontal="center" vertical="top"/>
    </xf>
    <xf numFmtId="0" fontId="144" fillId="73" borderId="3" xfId="0" applyFont="1" applyFill="1" applyBorder="1" applyAlignment="1">
      <alignment horizontal="center" vertical="center"/>
    </xf>
    <xf numFmtId="0" fontId="144" fillId="0" borderId="0" xfId="0" applyFont="1">
      <alignment vertical="center"/>
    </xf>
    <xf numFmtId="0" fontId="144" fillId="73" borderId="5" xfId="0" applyFont="1" applyFill="1" applyBorder="1" applyAlignment="1">
      <alignment horizontal="center" vertical="center"/>
    </xf>
    <xf numFmtId="0" fontId="19" fillId="0" borderId="5" xfId="0" applyFont="1" applyBorder="1" applyAlignment="1">
      <alignment horizontal="center" vertical="center" wrapText="1"/>
    </xf>
    <xf numFmtId="0" fontId="19" fillId="0" borderId="7" xfId="0" applyFont="1" applyBorder="1" applyAlignment="1">
      <alignment horizontal="center" vertical="center" wrapText="1"/>
    </xf>
    <xf numFmtId="0" fontId="145" fillId="73" borderId="5" xfId="0" applyFont="1" applyFill="1" applyBorder="1" applyAlignment="1">
      <alignment horizontal="center" vertical="center" wrapText="1"/>
    </xf>
    <xf numFmtId="0" fontId="3" fillId="0" borderId="0" xfId="0" applyFont="1" applyAlignment="1">
      <alignment vertical="center" wrapText="1"/>
    </xf>
    <xf numFmtId="0" fontId="146" fillId="0" borderId="5" xfId="0" applyFont="1" applyBorder="1" applyAlignment="1">
      <alignment horizontal="center" vertical="center"/>
    </xf>
    <xf numFmtId="0" fontId="146" fillId="0" borderId="0" xfId="0" applyFont="1">
      <alignment vertical="center"/>
    </xf>
    <xf numFmtId="0" fontId="26" fillId="33" borderId="5" xfId="0" applyFont="1" applyFill="1" applyBorder="1" applyAlignment="1">
      <alignment horizontal="center" vertical="center" wrapText="1"/>
    </xf>
    <xf numFmtId="0" fontId="11" fillId="0" borderId="0" xfId="0" applyFont="1" applyAlignment="1">
      <alignment vertical="center" wrapText="1"/>
    </xf>
    <xf numFmtId="0" fontId="11" fillId="0" borderId="11"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7" xfId="0" applyFont="1" applyBorder="1" applyAlignment="1">
      <alignment horizontal="center" vertical="center" wrapText="1"/>
    </xf>
    <xf numFmtId="0" fontId="29" fillId="0" borderId="0" xfId="0" applyFont="1">
      <alignment vertical="center"/>
    </xf>
    <xf numFmtId="0" fontId="87" fillId="0" borderId="4" xfId="0" applyFont="1" applyBorder="1" applyAlignment="1">
      <alignment horizontal="center" vertical="center" wrapText="1"/>
    </xf>
    <xf numFmtId="0" fontId="19" fillId="0" borderId="165" xfId="0" applyFont="1" applyBorder="1" applyAlignment="1">
      <alignment horizontal="center" vertical="center" wrapText="1"/>
    </xf>
    <xf numFmtId="0" fontId="19" fillId="0" borderId="165" xfId="0" applyFont="1" applyBorder="1" applyAlignment="1">
      <alignment horizontal="center" vertical="center"/>
    </xf>
    <xf numFmtId="0" fontId="29" fillId="73" borderId="3" xfId="0" applyFont="1" applyFill="1" applyBorder="1" applyAlignment="1">
      <alignment horizontal="center" vertical="center"/>
    </xf>
    <xf numFmtId="0" fontId="29" fillId="73" borderId="5" xfId="0" applyFont="1" applyFill="1" applyBorder="1" applyAlignment="1">
      <alignment horizontal="center" vertical="center"/>
    </xf>
    <xf numFmtId="0" fontId="29" fillId="73" borderId="23" xfId="0" applyFont="1" applyFill="1" applyBorder="1" applyAlignment="1">
      <alignment horizontal="center" vertical="center"/>
    </xf>
    <xf numFmtId="0" fontId="29" fillId="73" borderId="24" xfId="0" applyFont="1" applyFill="1" applyBorder="1" applyAlignment="1">
      <alignment horizontal="center" vertical="center"/>
    </xf>
    <xf numFmtId="0" fontId="11" fillId="0" borderId="5" xfId="0" applyFont="1" applyBorder="1" applyAlignment="1">
      <alignment horizontal="center" vertical="top"/>
    </xf>
    <xf numFmtId="0" fontId="11" fillId="0" borderId="28" xfId="0" applyFont="1" applyBorder="1" applyAlignment="1">
      <alignment horizontal="center" vertical="top"/>
    </xf>
    <xf numFmtId="0" fontId="147" fillId="0" borderId="0" xfId="0" applyFont="1">
      <alignment vertical="center"/>
    </xf>
    <xf numFmtId="0" fontId="144" fillId="0" borderId="0" xfId="0" applyFont="1" applyAlignment="1">
      <alignment horizontal="center" vertical="top"/>
    </xf>
    <xf numFmtId="0" fontId="6" fillId="0" borderId="0" xfId="0" applyFont="1" applyAlignment="1">
      <alignment vertical="center" wrapText="1"/>
    </xf>
    <xf numFmtId="0" fontId="87" fillId="0" borderId="0" xfId="0" applyFont="1" applyAlignment="1">
      <alignment horizontal="center" vertical="center" wrapText="1"/>
    </xf>
    <xf numFmtId="0" fontId="19" fillId="0" borderId="1" xfId="0" applyFont="1" applyBorder="1" applyAlignment="1">
      <alignment horizontal="center" vertical="center"/>
    </xf>
    <xf numFmtId="0" fontId="19" fillId="0" borderId="1" xfId="0" applyFont="1" applyBorder="1" applyAlignment="1">
      <alignment horizontal="center" vertical="center" wrapText="1"/>
    </xf>
    <xf numFmtId="0" fontId="26" fillId="0" borderId="57" xfId="0" applyFont="1" applyBorder="1" applyAlignment="1">
      <alignment horizontal="center" vertical="center" wrapText="1"/>
    </xf>
    <xf numFmtId="0" fontId="11" fillId="0" borderId="57" xfId="0" applyFont="1" applyBorder="1" applyAlignment="1">
      <alignment horizontal="center" vertical="top"/>
    </xf>
    <xf numFmtId="0" fontId="11" fillId="0" borderId="56" xfId="0" applyFont="1" applyBorder="1" applyAlignment="1">
      <alignment horizontal="center" vertical="top"/>
    </xf>
    <xf numFmtId="0" fontId="87" fillId="0" borderId="5" xfId="0" applyFont="1" applyBorder="1" applyAlignment="1">
      <alignment horizontal="center" vertical="center" wrapText="1"/>
    </xf>
    <xf numFmtId="0" fontId="19" fillId="0" borderId="74" xfId="0" applyFont="1" applyBorder="1" applyAlignment="1">
      <alignment horizontal="center" vertical="center"/>
    </xf>
    <xf numFmtId="0" fontId="11" fillId="0" borderId="0" xfId="0" applyFont="1" applyAlignment="1">
      <alignment horizontal="center" vertical="top" wrapText="1"/>
    </xf>
    <xf numFmtId="0" fontId="28" fillId="73" borderId="5" xfId="0" applyFont="1" applyFill="1" applyBorder="1" applyAlignment="1">
      <alignment horizontal="center" vertical="center"/>
    </xf>
    <xf numFmtId="0" fontId="28" fillId="73" borderId="7" xfId="0" applyFont="1" applyFill="1" applyBorder="1" applyAlignment="1">
      <alignment horizontal="center" vertical="center"/>
    </xf>
    <xf numFmtId="0" fontId="144" fillId="73" borderId="7" xfId="0" applyFont="1" applyFill="1" applyBorder="1" applyAlignment="1">
      <alignment horizontal="center" vertical="center"/>
    </xf>
    <xf numFmtId="0" fontId="29" fillId="73" borderId="28" xfId="0" applyFont="1" applyFill="1" applyBorder="1" applyAlignment="1">
      <alignment horizontal="center" vertical="center"/>
    </xf>
    <xf numFmtId="0" fontId="58" fillId="0" borderId="4" xfId="0" applyFont="1" applyBorder="1" applyAlignment="1">
      <alignment horizontal="center" vertical="center"/>
    </xf>
    <xf numFmtId="0" fontId="19" fillId="0" borderId="25" xfId="0" applyFont="1" applyBorder="1">
      <alignment vertical="center"/>
    </xf>
    <xf numFmtId="0" fontId="19" fillId="0" borderId="4" xfId="0" applyFont="1" applyBorder="1">
      <alignment vertical="center"/>
    </xf>
    <xf numFmtId="0" fontId="19" fillId="0" borderId="38" xfId="0" applyFont="1" applyBorder="1">
      <alignment vertical="center"/>
    </xf>
    <xf numFmtId="0" fontId="19" fillId="0" borderId="6" xfId="0" applyFont="1" applyBorder="1">
      <alignment vertical="center"/>
    </xf>
    <xf numFmtId="0" fontId="58" fillId="0" borderId="0" xfId="0" applyFont="1" applyAlignment="1">
      <alignment horizontal="center" vertical="center"/>
    </xf>
    <xf numFmtId="0" fontId="19" fillId="0" borderId="26" xfId="0" applyFont="1" applyBorder="1" applyAlignment="1">
      <alignment horizontal="center" vertical="center" wrapText="1"/>
    </xf>
    <xf numFmtId="0" fontId="19" fillId="0" borderId="30" xfId="0" applyFont="1" applyBorder="1" applyAlignment="1">
      <alignment horizontal="center" vertical="center" wrapText="1"/>
    </xf>
    <xf numFmtId="0" fontId="58" fillId="0" borderId="5" xfId="0" applyFont="1" applyBorder="1" applyAlignment="1">
      <alignment horizontal="center" vertical="center"/>
    </xf>
    <xf numFmtId="0" fontId="19" fillId="0" borderId="29" xfId="0" applyFont="1" applyBorder="1" applyAlignment="1">
      <alignment horizontal="center" vertical="center" wrapText="1"/>
    </xf>
    <xf numFmtId="0" fontId="19" fillId="0" borderId="34" xfId="0" applyFont="1" applyBorder="1" applyAlignment="1">
      <alignment horizontal="center" vertical="center" wrapText="1"/>
    </xf>
    <xf numFmtId="0" fontId="4" fillId="0" borderId="0" xfId="0" applyFont="1" applyAlignment="1">
      <alignment horizontal="left"/>
    </xf>
    <xf numFmtId="0" fontId="102" fillId="33" borderId="0" xfId="0" applyFont="1" applyFill="1" applyAlignment="1">
      <alignment horizontal="center" vertical="center"/>
    </xf>
    <xf numFmtId="0" fontId="102" fillId="0" borderId="0" xfId="0" applyFont="1" applyAlignment="1">
      <alignment horizontal="center" vertical="center" wrapText="1"/>
    </xf>
    <xf numFmtId="0" fontId="102" fillId="0" borderId="0" xfId="0" applyFont="1" applyAlignment="1">
      <alignment horizontal="left" vertical="center" wrapText="1"/>
    </xf>
    <xf numFmtId="49" fontId="102" fillId="0" borderId="0" xfId="0" applyNumberFormat="1" applyFont="1" applyAlignment="1">
      <alignment horizontal="center" vertical="center" wrapText="1"/>
    </xf>
    <xf numFmtId="0" fontId="148" fillId="74" borderId="2" xfId="0" applyFont="1" applyFill="1" applyBorder="1" applyAlignment="1">
      <alignment horizontal="center" vertical="center" wrapText="1"/>
    </xf>
    <xf numFmtId="0" fontId="148" fillId="74" borderId="8" xfId="0" applyFont="1" applyFill="1" applyBorder="1" applyAlignment="1">
      <alignment horizontal="center" vertical="center" wrapText="1"/>
    </xf>
    <xf numFmtId="0" fontId="148" fillId="71" borderId="8" xfId="0" applyFont="1" applyFill="1" applyBorder="1" applyAlignment="1">
      <alignment horizontal="center" vertical="center" wrapText="1"/>
    </xf>
    <xf numFmtId="0" fontId="149" fillId="74" borderId="8" xfId="0" applyFont="1" applyFill="1" applyBorder="1" applyAlignment="1">
      <alignment horizontal="right" vertical="center" wrapText="1"/>
    </xf>
    <xf numFmtId="0" fontId="102" fillId="75" borderId="4" xfId="0" applyFont="1" applyFill="1" applyBorder="1" applyAlignment="1">
      <alignment horizontal="center" vertical="center" wrapText="1"/>
    </xf>
    <xf numFmtId="0" fontId="150" fillId="75" borderId="0" xfId="0" applyFont="1" applyFill="1" applyAlignment="1">
      <alignment horizontal="center" vertical="center" wrapText="1"/>
    </xf>
    <xf numFmtId="0" fontId="102" fillId="76" borderId="4" xfId="0" applyFont="1" applyFill="1" applyBorder="1" applyAlignment="1">
      <alignment horizontal="center" vertical="center" wrapText="1"/>
    </xf>
    <xf numFmtId="0" fontId="102" fillId="76" borderId="0" xfId="0" applyFont="1" applyFill="1" applyAlignment="1">
      <alignment vertical="center" wrapText="1"/>
    </xf>
    <xf numFmtId="0" fontId="128" fillId="76" borderId="0" xfId="0" applyFont="1" applyFill="1" applyAlignment="1" applyProtection="1">
      <alignment horizontal="center" vertical="center" wrapText="1"/>
      <protection locked="0"/>
    </xf>
    <xf numFmtId="186" fontId="134" fillId="76" borderId="0" xfId="0" applyNumberFormat="1" applyFont="1" applyFill="1" applyAlignment="1" applyProtection="1">
      <alignment horizontal="right" vertical="center" wrapText="1"/>
      <protection locked="0"/>
    </xf>
    <xf numFmtId="0" fontId="102" fillId="75" borderId="0" xfId="0" applyFont="1" applyFill="1" applyAlignment="1" applyProtection="1">
      <alignment horizontal="left" vertical="center" wrapText="1"/>
      <protection locked="0"/>
    </xf>
    <xf numFmtId="186" fontId="102" fillId="75" borderId="0" xfId="0" applyNumberFormat="1" applyFont="1" applyFill="1" applyAlignment="1" applyProtection="1">
      <alignment horizontal="right" vertical="center" wrapText="1"/>
      <protection locked="0"/>
    </xf>
    <xf numFmtId="0" fontId="102" fillId="77" borderId="4" xfId="0" applyFont="1" applyFill="1" applyBorder="1" applyAlignment="1">
      <alignment horizontal="center" vertical="center" wrapText="1"/>
    </xf>
    <xf numFmtId="0" fontId="102" fillId="77" borderId="0" xfId="0" applyFont="1" applyFill="1" applyAlignment="1" applyProtection="1">
      <alignment horizontal="left" vertical="center" wrapText="1"/>
      <protection locked="0"/>
    </xf>
    <xf numFmtId="0" fontId="102" fillId="73" borderId="0" xfId="0" applyFont="1" applyFill="1" applyAlignment="1" applyProtection="1">
      <alignment horizontal="left" vertical="center" wrapText="1"/>
      <protection locked="0"/>
    </xf>
    <xf numFmtId="186" fontId="102" fillId="77" borderId="0" xfId="0" applyNumberFormat="1" applyFont="1" applyFill="1" applyAlignment="1" applyProtection="1">
      <alignment horizontal="right" vertical="center" wrapText="1"/>
      <protection locked="0"/>
    </xf>
    <xf numFmtId="49" fontId="149" fillId="74" borderId="8" xfId="0" applyNumberFormat="1" applyFont="1" applyFill="1" applyBorder="1" applyAlignment="1">
      <alignment horizontal="left" vertical="center" wrapText="1"/>
    </xf>
    <xf numFmtId="0" fontId="148" fillId="74" borderId="3" xfId="0" applyFont="1" applyFill="1" applyBorder="1" applyAlignment="1">
      <alignment horizontal="center" vertical="center" wrapText="1"/>
    </xf>
    <xf numFmtId="0" fontId="150" fillId="75" borderId="5" xfId="0" applyFont="1" applyFill="1" applyBorder="1" applyAlignment="1">
      <alignment horizontal="center" vertical="center" wrapText="1"/>
    </xf>
    <xf numFmtId="49" fontId="102" fillId="76" borderId="0" xfId="0" applyNumberFormat="1" applyFont="1" applyFill="1" applyAlignment="1" applyProtection="1">
      <alignment horizontal="left" vertical="center" wrapText="1"/>
      <protection locked="0"/>
    </xf>
    <xf numFmtId="0" fontId="134" fillId="76" borderId="0" xfId="0" applyFont="1" applyFill="1" applyAlignment="1" applyProtection="1">
      <alignment horizontal="center" vertical="center" wrapText="1"/>
      <protection hidden="1"/>
    </xf>
    <xf numFmtId="0" fontId="102" fillId="76" borderId="0" xfId="0" applyFont="1" applyFill="1" applyAlignment="1">
      <alignment horizontal="center" vertical="center" wrapText="1"/>
    </xf>
    <xf numFmtId="0" fontId="102" fillId="76" borderId="5" xfId="0" applyFont="1" applyFill="1" applyBorder="1" applyAlignment="1">
      <alignment horizontal="left" vertical="center"/>
    </xf>
    <xf numFmtId="0" fontId="102" fillId="75" borderId="0" xfId="0" applyFont="1" applyFill="1" applyAlignment="1">
      <alignment horizontal="left" vertical="center" wrapText="1"/>
    </xf>
    <xf numFmtId="0" fontId="102" fillId="75" borderId="0" xfId="0" applyFont="1" applyFill="1" applyAlignment="1">
      <alignment horizontal="center" vertical="center" wrapText="1"/>
    </xf>
    <xf numFmtId="0" fontId="102" fillId="75" borderId="5" xfId="0" applyFont="1" applyFill="1" applyBorder="1" applyAlignment="1">
      <alignment horizontal="left" vertical="center" wrapText="1"/>
    </xf>
    <xf numFmtId="49" fontId="102" fillId="77" borderId="0" xfId="0" applyNumberFormat="1" applyFont="1" applyFill="1" applyAlignment="1">
      <alignment horizontal="left" vertical="center" wrapText="1"/>
    </xf>
    <xf numFmtId="0" fontId="102" fillId="77" borderId="0" xfId="0" applyFont="1" applyFill="1" applyAlignment="1">
      <alignment horizontal="center" vertical="center" wrapText="1"/>
    </xf>
    <xf numFmtId="0" fontId="102" fillId="77" borderId="5" xfId="0" applyFont="1" applyFill="1" applyBorder="1" applyAlignment="1">
      <alignment horizontal="left" vertical="center" wrapText="1"/>
    </xf>
    <xf numFmtId="0" fontId="102" fillId="77" borderId="0" xfId="0" applyFont="1" applyFill="1" applyAlignment="1">
      <alignment horizontal="left" vertical="center" wrapText="1"/>
    </xf>
    <xf numFmtId="0" fontId="134" fillId="75" borderId="0" xfId="0" applyFont="1" applyFill="1" applyAlignment="1">
      <alignment horizontal="center" vertical="center" wrapText="1"/>
    </xf>
    <xf numFmtId="0" fontId="151" fillId="2" borderId="0" xfId="0" applyFont="1" applyFill="1" applyAlignment="1">
      <alignment horizontal="center" vertical="center"/>
    </xf>
    <xf numFmtId="0" fontId="150" fillId="75" borderId="4" xfId="0" applyFont="1" applyFill="1" applyBorder="1" applyAlignment="1">
      <alignment horizontal="center" vertical="center" wrapText="1" readingOrder="1"/>
    </xf>
    <xf numFmtId="0" fontId="136" fillId="78" borderId="187" xfId="50" applyFill="1" applyBorder="1" applyAlignment="1" applyProtection="1">
      <alignment horizontal="center" vertical="center" wrapText="1"/>
    </xf>
    <xf numFmtId="0" fontId="136" fillId="79" borderId="188" xfId="50" applyFill="1" applyBorder="1" applyAlignment="1" applyProtection="1">
      <alignment horizontal="center" vertical="center" wrapText="1"/>
    </xf>
    <xf numFmtId="0" fontId="134" fillId="33" borderId="0" xfId="0" applyFont="1" applyFill="1" applyAlignment="1">
      <alignment horizontal="center" vertical="center" wrapText="1"/>
    </xf>
    <xf numFmtId="0" fontId="102" fillId="76" borderId="165" xfId="0" applyFont="1" applyFill="1" applyBorder="1" applyAlignment="1" applyProtection="1">
      <alignment horizontal="center" vertical="center"/>
      <protection locked="0"/>
    </xf>
    <xf numFmtId="0" fontId="102" fillId="44" borderId="74" xfId="0" applyFont="1" applyFill="1" applyBorder="1" applyAlignment="1" applyProtection="1">
      <alignment horizontal="center" vertical="center"/>
      <protection locked="0"/>
    </xf>
    <xf numFmtId="0" fontId="134" fillId="33" borderId="0" xfId="0" applyFont="1" applyFill="1" applyAlignment="1">
      <alignment horizontal="left" vertical="center"/>
    </xf>
    <xf numFmtId="0" fontId="103" fillId="76" borderId="156" xfId="0" applyFont="1" applyFill="1" applyBorder="1" applyAlignment="1">
      <alignment horizontal="left" vertical="center" wrapText="1"/>
    </xf>
    <xf numFmtId="187" fontId="102" fillId="76" borderId="76" xfId="0" applyNumberFormat="1" applyFont="1" applyFill="1" applyBorder="1" applyAlignment="1" applyProtection="1">
      <alignment horizontal="center" vertical="center"/>
      <protection locked="0"/>
    </xf>
    <xf numFmtId="0" fontId="102" fillId="75" borderId="0" xfId="0" applyFont="1" applyFill="1" applyAlignment="1">
      <alignment horizontal="center" vertical="center"/>
    </xf>
    <xf numFmtId="0" fontId="152" fillId="78" borderId="2" xfId="50" applyFont="1" applyFill="1" applyBorder="1" applyAlignment="1" applyProtection="1">
      <alignment horizontal="center" vertical="center" wrapText="1"/>
    </xf>
    <xf numFmtId="0" fontId="152" fillId="79" borderId="8" xfId="50" applyFont="1" applyFill="1" applyBorder="1" applyAlignment="1" applyProtection="1">
      <alignment horizontal="center" vertical="center" wrapText="1"/>
    </xf>
    <xf numFmtId="0" fontId="152" fillId="79" borderId="3" xfId="50" applyFont="1" applyFill="1" applyBorder="1" applyAlignment="1" applyProtection="1">
      <alignment horizontal="center" vertical="center" wrapText="1"/>
    </xf>
    <xf numFmtId="0" fontId="32" fillId="80" borderId="4" xfId="0" applyFont="1" applyFill="1" applyBorder="1" applyAlignment="1">
      <alignment horizontal="center" vertical="center" wrapText="1" readingOrder="1"/>
    </xf>
    <xf numFmtId="0" fontId="32" fillId="80" borderId="0" xfId="0" applyFont="1" applyFill="1" applyAlignment="1">
      <alignment horizontal="center" vertical="center"/>
    </xf>
    <xf numFmtId="0" fontId="32" fillId="80" borderId="5" xfId="0" applyFont="1" applyFill="1" applyBorder="1" applyAlignment="1">
      <alignment horizontal="center" vertical="center"/>
    </xf>
    <xf numFmtId="0" fontId="95" fillId="76" borderId="4" xfId="0" applyFont="1" applyFill="1" applyBorder="1" applyAlignment="1">
      <alignment horizontal="center" vertical="center" wrapText="1"/>
    </xf>
    <xf numFmtId="0" fontId="95" fillId="76" borderId="45" xfId="0" applyFont="1" applyFill="1" applyBorder="1" applyAlignment="1" applyProtection="1">
      <alignment horizontal="center" vertical="center" wrapText="1"/>
      <protection locked="0"/>
    </xf>
    <xf numFmtId="0" fontId="95" fillId="76" borderId="13" xfId="0" applyFont="1" applyFill="1" applyBorder="1" applyAlignment="1" applyProtection="1">
      <alignment horizontal="center" vertical="center" wrapText="1"/>
      <protection locked="0"/>
    </xf>
    <xf numFmtId="0" fontId="95" fillId="75" borderId="4" xfId="0" applyFont="1" applyFill="1" applyBorder="1" applyAlignment="1">
      <alignment horizontal="center" vertical="center" wrapText="1"/>
    </xf>
    <xf numFmtId="0" fontId="95" fillId="75" borderId="45" xfId="0" applyFont="1" applyFill="1" applyBorder="1" applyAlignment="1" applyProtection="1">
      <alignment horizontal="center" vertical="center" wrapText="1"/>
      <protection locked="0"/>
    </xf>
    <xf numFmtId="0" fontId="95" fillId="75" borderId="13" xfId="0" applyFont="1" applyFill="1" applyBorder="1" applyAlignment="1" applyProtection="1">
      <alignment horizontal="center" vertical="center" wrapText="1"/>
      <protection locked="0"/>
    </xf>
    <xf numFmtId="0" fontId="95" fillId="76" borderId="2" xfId="0" applyFont="1" applyFill="1" applyBorder="1" applyAlignment="1">
      <alignment horizontal="center" vertical="center" wrapText="1"/>
    </xf>
    <xf numFmtId="0" fontId="95" fillId="43" borderId="8" xfId="0" applyFont="1" applyFill="1" applyBorder="1" applyAlignment="1">
      <alignment horizontal="center" vertical="center" wrapText="1"/>
    </xf>
    <xf numFmtId="0" fontId="95" fillId="43" borderId="3" xfId="0" applyFont="1" applyFill="1" applyBorder="1" applyAlignment="1">
      <alignment horizontal="center" vertical="center" wrapText="1"/>
    </xf>
    <xf numFmtId="0" fontId="102" fillId="0" borderId="0" xfId="0" applyFont="1" applyAlignment="1">
      <alignment vertical="center" wrapText="1"/>
    </xf>
    <xf numFmtId="0" fontId="95" fillId="75" borderId="86" xfId="0" applyFont="1" applyFill="1" applyBorder="1" applyAlignment="1" applyProtection="1">
      <alignment horizontal="center" vertical="center" wrapText="1"/>
      <protection locked="0"/>
    </xf>
    <xf numFmtId="0" fontId="95" fillId="75" borderId="87" xfId="0" applyFont="1" applyFill="1" applyBorder="1" applyAlignment="1" applyProtection="1">
      <alignment horizontal="center" vertical="center" wrapText="1"/>
      <protection locked="0"/>
    </xf>
    <xf numFmtId="0" fontId="95" fillId="75" borderId="98" xfId="0" applyFont="1" applyFill="1" applyBorder="1" applyAlignment="1" applyProtection="1">
      <alignment horizontal="center" vertical="center" wrapText="1"/>
      <protection locked="0"/>
    </xf>
    <xf numFmtId="0" fontId="102" fillId="76" borderId="4" xfId="0" applyFont="1" applyFill="1" applyBorder="1" applyAlignment="1">
      <alignment horizontal="center" vertical="top" wrapText="1"/>
    </xf>
    <xf numFmtId="0" fontId="102" fillId="43" borderId="0" xfId="0" applyFont="1" applyFill="1" applyAlignment="1">
      <alignment horizontal="center" vertical="top" wrapText="1"/>
    </xf>
    <xf numFmtId="0" fontId="102" fillId="43" borderId="5" xfId="0" applyFont="1" applyFill="1" applyBorder="1" applyAlignment="1">
      <alignment horizontal="center" vertical="top" wrapText="1"/>
    </xf>
    <xf numFmtId="0" fontId="102" fillId="43" borderId="4" xfId="0" applyFont="1" applyFill="1" applyBorder="1" applyAlignment="1">
      <alignment horizontal="center" vertical="top" wrapText="1"/>
    </xf>
    <xf numFmtId="0" fontId="152" fillId="78" borderId="2" xfId="50" applyFont="1" applyFill="1" applyBorder="1" applyAlignment="1" applyProtection="1">
      <alignment horizontal="center" vertical="center"/>
    </xf>
    <xf numFmtId="0" fontId="152" fillId="79" borderId="8" xfId="50" applyFont="1" applyFill="1" applyBorder="1" applyAlignment="1" applyProtection="1">
      <alignment horizontal="center" vertical="center"/>
    </xf>
    <xf numFmtId="0" fontId="152" fillId="79" borderId="3" xfId="50" applyFont="1" applyFill="1" applyBorder="1" applyAlignment="1" applyProtection="1">
      <alignment horizontal="center" vertical="center"/>
    </xf>
    <xf numFmtId="0" fontId="32" fillId="80" borderId="4" xfId="0" applyFont="1" applyFill="1" applyBorder="1" applyAlignment="1">
      <alignment horizontal="center" vertical="center" readingOrder="1"/>
    </xf>
    <xf numFmtId="0" fontId="102" fillId="75" borderId="189" xfId="0" applyFont="1" applyFill="1" applyBorder="1" applyProtection="1">
      <alignment vertical="center"/>
      <protection locked="0"/>
    </xf>
    <xf numFmtId="0" fontId="95" fillId="76" borderId="49" xfId="0" applyFont="1" applyFill="1" applyBorder="1" applyAlignment="1" applyProtection="1">
      <alignment horizontal="center" vertical="center"/>
      <protection locked="0"/>
    </xf>
    <xf numFmtId="187" fontId="102" fillId="75" borderId="60" xfId="0" applyNumberFormat="1" applyFont="1" applyFill="1" applyBorder="1" applyAlignment="1" applyProtection="1">
      <alignment horizontal="center" vertical="center"/>
      <protection locked="0"/>
    </xf>
    <xf numFmtId="0" fontId="153" fillId="76" borderId="4" xfId="0" applyFont="1" applyFill="1" applyBorder="1" applyAlignment="1" applyProtection="1">
      <alignment horizontal="left" vertical="top" wrapText="1"/>
      <protection locked="0"/>
    </xf>
    <xf numFmtId="0" fontId="95" fillId="75" borderId="51" xfId="0" applyFont="1" applyFill="1" applyBorder="1" applyAlignment="1" applyProtection="1">
      <alignment horizontal="center" vertical="center"/>
      <protection locked="0"/>
    </xf>
    <xf numFmtId="0" fontId="102" fillId="76" borderId="5" xfId="0" applyFont="1" applyFill="1" applyBorder="1">
      <alignment vertical="center"/>
    </xf>
    <xf numFmtId="0" fontId="153" fillId="44" borderId="4" xfId="0" applyFont="1" applyFill="1" applyBorder="1" applyAlignment="1" applyProtection="1">
      <alignment horizontal="left" vertical="top" wrapText="1"/>
      <protection locked="0"/>
    </xf>
    <xf numFmtId="0" fontId="95" fillId="76" borderId="51" xfId="0" applyFont="1" applyFill="1" applyBorder="1" applyAlignment="1" applyProtection="1">
      <alignment horizontal="center" vertical="center"/>
      <protection locked="0"/>
    </xf>
    <xf numFmtId="0" fontId="95" fillId="80" borderId="11" xfId="0" applyFont="1" applyFill="1" applyBorder="1" applyAlignment="1" applyProtection="1">
      <alignment horizontal="center" vertical="top"/>
      <protection locked="0"/>
    </xf>
    <xf numFmtId="0" fontId="95" fillId="76" borderId="53" xfId="0" applyFont="1" applyFill="1" applyBorder="1" applyAlignment="1" applyProtection="1">
      <alignment horizontal="center" vertical="center"/>
      <protection locked="0"/>
    </xf>
    <xf numFmtId="0" fontId="134" fillId="75" borderId="28" xfId="0" applyFont="1" applyFill="1" applyBorder="1" applyAlignment="1" applyProtection="1">
      <alignment horizontal="center" vertical="top"/>
      <protection locked="0"/>
    </xf>
    <xf numFmtId="0" fontId="103" fillId="75" borderId="140" xfId="0" applyFont="1" applyFill="1" applyBorder="1" applyAlignment="1" applyProtection="1">
      <alignment horizontal="left" vertical="center"/>
      <protection locked="0"/>
    </xf>
    <xf numFmtId="0" fontId="103" fillId="75" borderId="141" xfId="0" applyFont="1" applyFill="1" applyBorder="1" applyAlignment="1" applyProtection="1">
      <alignment horizontal="left" vertical="center"/>
      <protection locked="0"/>
    </xf>
    <xf numFmtId="0" fontId="103" fillId="75" borderId="190" xfId="0" applyFont="1" applyFill="1" applyBorder="1" applyAlignment="1" applyProtection="1">
      <alignment horizontal="left" vertical="center"/>
      <protection locked="0"/>
    </xf>
    <xf numFmtId="0" fontId="153" fillId="76" borderId="4" xfId="0" applyFont="1" applyFill="1" applyBorder="1" applyAlignment="1" applyProtection="1">
      <alignment horizontal="left" vertical="top"/>
      <protection locked="0"/>
    </xf>
    <xf numFmtId="0" fontId="153" fillId="44" borderId="4" xfId="0" applyFont="1" applyFill="1" applyBorder="1" applyAlignment="1" applyProtection="1">
      <alignment horizontal="left" vertical="top"/>
      <protection locked="0"/>
    </xf>
    <xf numFmtId="0" fontId="95" fillId="80" borderId="50" xfId="0" applyFont="1" applyFill="1" applyBorder="1" applyAlignment="1" applyProtection="1">
      <alignment horizontal="center" vertical="top"/>
      <protection locked="0"/>
    </xf>
    <xf numFmtId="0" fontId="153" fillId="76" borderId="4" xfId="0" applyFont="1" applyFill="1" applyBorder="1" applyAlignment="1" applyProtection="1">
      <alignment horizontal="center" vertical="top"/>
      <protection locked="0"/>
    </xf>
    <xf numFmtId="0" fontId="153" fillId="44" borderId="4" xfId="0" applyFont="1" applyFill="1" applyBorder="1" applyAlignment="1" applyProtection="1">
      <alignment horizontal="center" vertical="top"/>
      <protection locked="0"/>
    </xf>
    <xf numFmtId="0" fontId="32" fillId="80" borderId="50" xfId="0" applyFont="1" applyFill="1" applyBorder="1" applyAlignment="1">
      <alignment horizontal="center" vertical="center"/>
    </xf>
    <xf numFmtId="0" fontId="134" fillId="33" borderId="0" xfId="0" applyFont="1" applyFill="1" applyAlignment="1">
      <alignment horizontal="center" vertical="center"/>
    </xf>
    <xf numFmtId="0" fontId="134" fillId="33" borderId="0" xfId="0" applyFont="1" applyFill="1" applyAlignment="1">
      <alignment horizontal="centerContinuous" vertical="center"/>
    </xf>
    <xf numFmtId="0" fontId="134" fillId="0" borderId="4" xfId="0" applyFont="1" applyBorder="1" applyAlignment="1">
      <alignment horizontal="center" vertical="center"/>
    </xf>
    <xf numFmtId="0" fontId="151" fillId="0" borderId="0" xfId="0" applyFont="1" applyAlignment="1">
      <alignment horizontal="center" vertical="center"/>
    </xf>
    <xf numFmtId="49" fontId="24" fillId="0" borderId="0" xfId="0" applyNumberFormat="1" applyFont="1" applyProtection="1">
      <alignment vertical="center"/>
      <protection hidden="1"/>
    </xf>
    <xf numFmtId="49" fontId="24" fillId="0" borderId="0" xfId="0" applyNumberFormat="1" applyFont="1" applyAlignment="1" applyProtection="1">
      <alignment vertical="center" wrapText="1"/>
      <protection hidden="1"/>
    </xf>
    <xf numFmtId="183" fontId="24" fillId="0" borderId="0" xfId="0" applyNumberFormat="1" applyFont="1" applyProtection="1">
      <alignment vertical="center"/>
      <protection hidden="1"/>
    </xf>
    <xf numFmtId="0" fontId="102" fillId="0" borderId="174" xfId="0" applyFont="1" applyBorder="1" applyAlignment="1">
      <alignment horizontal="center" vertical="center"/>
    </xf>
    <xf numFmtId="0" fontId="0" fillId="33" borderId="0" xfId="0" applyFill="1">
      <alignment vertical="center"/>
    </xf>
    <xf numFmtId="0" fontId="154" fillId="0" borderId="0" xfId="0" applyFont="1" applyAlignment="1">
      <alignment horizontal="center" vertical="center" wrapText="1"/>
    </xf>
    <xf numFmtId="0" fontId="155" fillId="0" borderId="0" xfId="0" applyFont="1" applyAlignment="1">
      <alignment horizontal="center" vertical="center" wrapText="1"/>
    </xf>
    <xf numFmtId="0" fontId="134" fillId="33" borderId="0" xfId="0" applyFont="1" applyFill="1" applyAlignment="1">
      <alignment horizontal="left" vertical="center" wrapText="1"/>
    </xf>
    <xf numFmtId="0" fontId="102" fillId="0" borderId="1" xfId="0" applyFont="1" applyBorder="1">
      <alignment vertical="center"/>
    </xf>
    <xf numFmtId="0" fontId="102" fillId="0" borderId="41" xfId="0" applyFont="1" applyBorder="1">
      <alignment vertical="center"/>
    </xf>
    <xf numFmtId="0" fontId="73" fillId="74" borderId="183" xfId="0" applyFont="1" applyFill="1" applyBorder="1" applyAlignment="1">
      <alignment horizontal="center" vertical="center" wrapText="1"/>
    </xf>
    <xf numFmtId="0" fontId="94" fillId="75" borderId="185" xfId="0" applyFont="1" applyFill="1" applyBorder="1" applyAlignment="1">
      <alignment horizontal="center" vertical="center" wrapText="1"/>
    </xf>
    <xf numFmtId="0" fontId="134" fillId="0" borderId="65" xfId="0" applyFont="1" applyBorder="1" applyAlignment="1">
      <alignment horizontal="center" vertical="center"/>
    </xf>
    <xf numFmtId="0" fontId="94" fillId="77" borderId="185" xfId="0" applyFont="1" applyFill="1" applyBorder="1" applyAlignment="1">
      <alignment horizontal="center" vertical="center" wrapText="1"/>
    </xf>
    <xf numFmtId="0" fontId="94" fillId="77" borderId="191" xfId="0" applyFont="1" applyFill="1" applyBorder="1" applyAlignment="1">
      <alignment horizontal="center" vertical="center" wrapText="1"/>
    </xf>
    <xf numFmtId="0" fontId="73" fillId="0" borderId="0" xfId="0" applyFont="1" applyAlignment="1">
      <alignment horizontal="left" vertical="center" wrapText="1"/>
    </xf>
    <xf numFmtId="0" fontId="134" fillId="0" borderId="41" xfId="0" applyFont="1" applyBorder="1" applyAlignment="1">
      <alignment horizontal="center" vertical="center"/>
    </xf>
    <xf numFmtId="0" fontId="32" fillId="0" borderId="0" xfId="0" applyFont="1" applyAlignment="1">
      <alignment horizontal="left" vertical="center" wrapText="1" indent="1"/>
    </xf>
    <xf numFmtId="0" fontId="134" fillId="0" borderId="0" xfId="0" applyFont="1" applyAlignment="1">
      <alignment horizontal="left" vertical="center" wrapText="1"/>
    </xf>
    <xf numFmtId="0" fontId="73" fillId="71" borderId="184" xfId="0" applyFont="1" applyFill="1" applyBorder="1" applyAlignment="1">
      <alignment horizontal="center" vertical="center" wrapText="1"/>
    </xf>
    <xf numFmtId="0" fontId="73" fillId="74" borderId="186" xfId="0" applyFont="1" applyFill="1" applyBorder="1">
      <alignment vertical="center"/>
    </xf>
    <xf numFmtId="0" fontId="94" fillId="75" borderId="101" xfId="0" applyFont="1" applyFill="1" applyBorder="1" applyAlignment="1">
      <alignment horizontal="center" vertical="center" wrapText="1"/>
    </xf>
    <xf numFmtId="0" fontId="73" fillId="75" borderId="19" xfId="0" applyFont="1" applyFill="1" applyBorder="1">
      <alignment vertical="center"/>
    </xf>
    <xf numFmtId="0" fontId="94" fillId="73" borderId="101" xfId="0" applyFont="1" applyFill="1" applyBorder="1" applyAlignment="1">
      <alignment horizontal="center" vertical="center" wrapText="1"/>
    </xf>
    <xf numFmtId="0" fontId="73" fillId="77" borderId="19" xfId="0" applyFont="1" applyFill="1" applyBorder="1">
      <alignment vertical="center"/>
    </xf>
    <xf numFmtId="0" fontId="94" fillId="73" borderId="192" xfId="0" applyFont="1" applyFill="1" applyBorder="1" applyAlignment="1">
      <alignment horizontal="center" vertical="center" wrapText="1"/>
    </xf>
    <xf numFmtId="0" fontId="73" fillId="77" borderId="153" xfId="0" applyFont="1" applyFill="1" applyBorder="1">
      <alignment vertical="center"/>
    </xf>
    <xf numFmtId="49" fontId="134" fillId="0" borderId="0" xfId="0" applyNumberFormat="1" applyFont="1" applyAlignment="1">
      <alignment horizontal="center" vertical="center"/>
    </xf>
    <xf numFmtId="49" fontId="134" fillId="0" borderId="0" xfId="0" applyNumberFormat="1" applyFont="1" applyAlignment="1">
      <alignment horizontal="left" vertical="center"/>
    </xf>
    <xf numFmtId="0" fontId="148" fillId="81" borderId="2" xfId="0" applyFont="1" applyFill="1" applyBorder="1" applyAlignment="1">
      <alignment horizontal="left" vertical="center" indent="4"/>
    </xf>
    <xf numFmtId="0" fontId="148" fillId="82" borderId="8" xfId="0" applyFont="1" applyFill="1" applyBorder="1" applyAlignment="1">
      <alignment horizontal="left" vertical="center" indent="4"/>
    </xf>
    <xf numFmtId="0" fontId="102" fillId="81" borderId="4" xfId="0" applyFont="1" applyFill="1" applyBorder="1" applyAlignment="1">
      <alignment horizontal="center" vertical="center"/>
    </xf>
    <xf numFmtId="0" fontId="102" fillId="82" borderId="0" xfId="0" applyFont="1" applyFill="1" applyAlignment="1">
      <alignment horizontal="center" vertical="center"/>
    </xf>
    <xf numFmtId="0" fontId="102" fillId="81" borderId="0" xfId="0" applyFont="1" applyFill="1" applyAlignment="1">
      <alignment horizontal="left" vertical="center" indent="4"/>
    </xf>
    <xf numFmtId="0" fontId="102" fillId="82" borderId="0" xfId="0" applyFont="1" applyFill="1" applyAlignment="1">
      <alignment horizontal="left" vertical="center" indent="4"/>
    </xf>
    <xf numFmtId="0" fontId="134" fillId="83" borderId="185" xfId="0" applyFont="1" applyFill="1" applyBorder="1" applyAlignment="1">
      <alignment horizontal="center" vertical="center"/>
    </xf>
    <xf numFmtId="0" fontId="134" fillId="72" borderId="101" xfId="0" applyFont="1" applyFill="1" applyBorder="1" applyAlignment="1">
      <alignment horizontal="center" vertical="center"/>
    </xf>
    <xf numFmtId="0" fontId="31" fillId="75" borderId="101" xfId="0" applyFont="1" applyFill="1" applyBorder="1" applyAlignment="1">
      <alignment horizontal="left" vertical="top" wrapText="1"/>
    </xf>
    <xf numFmtId="0" fontId="134" fillId="72" borderId="185" xfId="0" applyFont="1" applyFill="1" applyBorder="1" applyAlignment="1">
      <alignment horizontal="center" vertical="center"/>
    </xf>
    <xf numFmtId="0" fontId="104" fillId="75" borderId="185" xfId="0" applyFont="1" applyFill="1" applyBorder="1" applyAlignment="1" applyProtection="1">
      <alignment horizontal="center" vertical="center"/>
      <protection locked="0"/>
    </xf>
    <xf numFmtId="0" fontId="104" fillId="75" borderId="101" xfId="0" applyFont="1" applyFill="1" applyBorder="1" applyAlignment="1" applyProtection="1">
      <alignment horizontal="center" vertical="center"/>
      <protection locked="0"/>
    </xf>
    <xf numFmtId="0" fontId="102" fillId="23" borderId="84" xfId="0" applyFont="1" applyFill="1" applyBorder="1" applyAlignment="1">
      <alignment horizontal="center" vertical="center"/>
    </xf>
    <xf numFmtId="0" fontId="102" fillId="23" borderId="162" xfId="0" applyFont="1" applyFill="1" applyBorder="1" applyAlignment="1">
      <alignment horizontal="center" vertical="center"/>
    </xf>
    <xf numFmtId="0" fontId="102" fillId="23" borderId="193" xfId="0" applyFont="1" applyFill="1" applyBorder="1" applyAlignment="1">
      <alignment horizontal="center" vertical="center"/>
    </xf>
    <xf numFmtId="0" fontId="102" fillId="23" borderId="194" xfId="0" applyFont="1" applyFill="1" applyBorder="1" applyAlignment="1">
      <alignment horizontal="center" vertical="center"/>
    </xf>
    <xf numFmtId="0" fontId="31" fillId="75" borderId="195" xfId="0" applyFont="1" applyFill="1" applyBorder="1" applyAlignment="1">
      <alignment horizontal="left" vertical="top" wrapText="1"/>
    </xf>
    <xf numFmtId="0" fontId="134" fillId="83" borderId="196" xfId="0" applyFont="1" applyFill="1" applyBorder="1" applyAlignment="1">
      <alignment horizontal="center" vertical="center"/>
    </xf>
    <xf numFmtId="0" fontId="134" fillId="72" borderId="197" xfId="0" applyFont="1" applyFill="1" applyBorder="1" applyAlignment="1">
      <alignment horizontal="center" vertical="center"/>
    </xf>
    <xf numFmtId="0" fontId="31" fillId="75" borderId="197" xfId="0" applyFont="1" applyFill="1" applyBorder="1" applyAlignment="1">
      <alignment horizontal="left" vertical="top" wrapText="1"/>
    </xf>
    <xf numFmtId="0" fontId="101" fillId="75" borderId="185" xfId="0" applyFont="1" applyFill="1" applyBorder="1" applyAlignment="1" applyProtection="1">
      <alignment horizontal="center" vertical="center"/>
      <protection locked="0"/>
    </xf>
    <xf numFmtId="0" fontId="101" fillId="75" borderId="101" xfId="0" applyFont="1" applyFill="1" applyBorder="1" applyAlignment="1" applyProtection="1">
      <alignment horizontal="center" vertical="center"/>
      <protection locked="0"/>
    </xf>
    <xf numFmtId="0" fontId="102" fillId="75" borderId="185" xfId="0" applyFont="1" applyFill="1" applyBorder="1" applyAlignment="1" applyProtection="1">
      <alignment horizontal="center" vertical="center"/>
      <protection locked="0"/>
    </xf>
    <xf numFmtId="0" fontId="102" fillId="75" borderId="101" xfId="0" applyFont="1" applyFill="1" applyBorder="1" applyAlignment="1" applyProtection="1">
      <alignment horizontal="center" vertical="center"/>
      <protection locked="0"/>
    </xf>
    <xf numFmtId="0" fontId="101" fillId="23" borderId="185" xfId="0" applyFont="1" applyFill="1" applyBorder="1" applyAlignment="1" applyProtection="1">
      <alignment horizontal="center" vertical="center"/>
      <protection locked="0"/>
    </xf>
    <xf numFmtId="0" fontId="101" fillId="23" borderId="101" xfId="0" applyFont="1" applyFill="1" applyBorder="1" applyAlignment="1" applyProtection="1">
      <alignment horizontal="center" vertical="center"/>
      <protection locked="0"/>
    </xf>
    <xf numFmtId="0" fontId="101" fillId="23" borderId="198" xfId="0" applyFont="1" applyFill="1" applyBorder="1" applyAlignment="1" applyProtection="1">
      <alignment horizontal="center" vertical="center"/>
      <protection locked="0"/>
    </xf>
    <xf numFmtId="0" fontId="101" fillId="23" borderId="195" xfId="0" applyFont="1" applyFill="1" applyBorder="1" applyAlignment="1" applyProtection="1">
      <alignment horizontal="center" vertical="center"/>
      <protection locked="0"/>
    </xf>
    <xf numFmtId="49" fontId="134" fillId="0" borderId="0" xfId="0" applyNumberFormat="1" applyFont="1" applyAlignment="1">
      <alignment horizontal="center" vertical="center" wrapText="1"/>
    </xf>
    <xf numFmtId="0" fontId="148" fillId="82" borderId="3" xfId="0" applyFont="1" applyFill="1" applyBorder="1" applyAlignment="1">
      <alignment horizontal="left" vertical="center" indent="4"/>
    </xf>
    <xf numFmtId="0" fontId="102" fillId="82" borderId="5" xfId="0" applyFont="1" applyFill="1" applyBorder="1" applyAlignment="1">
      <alignment horizontal="left" vertical="center" indent="4"/>
    </xf>
    <xf numFmtId="0" fontId="31" fillId="75" borderId="19" xfId="0" applyFont="1" applyFill="1" applyBorder="1" applyAlignment="1">
      <alignment horizontal="left" vertical="top" wrapText="1"/>
    </xf>
    <xf numFmtId="0" fontId="31" fillId="75" borderId="199" xfId="0" applyFont="1" applyFill="1" applyBorder="1" applyAlignment="1">
      <alignment horizontal="left" vertical="top" wrapText="1"/>
    </xf>
    <xf numFmtId="0" fontId="31" fillId="75" borderId="22" xfId="0" applyFont="1" applyFill="1" applyBorder="1" applyAlignment="1">
      <alignment horizontal="left" vertical="top" wrapText="1"/>
    </xf>
    <xf numFmtId="0" fontId="134" fillId="0" borderId="0" xfId="0" applyFont="1" applyAlignment="1">
      <alignment horizontal="center" vertical="center" wrapText="1"/>
    </xf>
    <xf numFmtId="0" fontId="134" fillId="0" borderId="0" xfId="0" applyFont="1">
      <alignment vertical="center"/>
    </xf>
    <xf numFmtId="0" fontId="32" fillId="0" borderId="0" xfId="0" applyFont="1" applyAlignment="1">
      <alignment horizontal="center" vertical="center" wrapText="1"/>
    </xf>
    <xf numFmtId="0" fontId="101" fillId="23" borderId="191" xfId="0" applyFont="1" applyFill="1" applyBorder="1" applyAlignment="1" applyProtection="1">
      <alignment horizontal="center" vertical="center"/>
      <protection locked="0"/>
    </xf>
    <xf numFmtId="0" fontId="101" fillId="23" borderId="192" xfId="0" applyFont="1" applyFill="1" applyBorder="1" applyAlignment="1" applyProtection="1">
      <alignment horizontal="center" vertical="center"/>
      <protection locked="0"/>
    </xf>
    <xf numFmtId="0" fontId="31" fillId="75" borderId="192" xfId="0" applyFont="1" applyFill="1" applyBorder="1" applyAlignment="1">
      <alignment horizontal="left" vertical="top" wrapText="1"/>
    </xf>
    <xf numFmtId="0" fontId="31" fillId="75" borderId="153" xfId="0" applyFont="1" applyFill="1" applyBorder="1" applyAlignment="1">
      <alignment horizontal="left" vertical="top" wrapText="1"/>
    </xf>
    <xf numFmtId="0" fontId="128" fillId="0" borderId="0" xfId="0" applyFont="1" applyAlignment="1">
      <alignment vertical="top" wrapText="1"/>
    </xf>
    <xf numFmtId="0" fontId="11" fillId="84" borderId="2" xfId="0" applyFont="1" applyFill="1" applyBorder="1" applyAlignment="1">
      <alignment horizontal="center" vertical="center"/>
    </xf>
    <xf numFmtId="0" fontId="11" fillId="71" borderId="8" xfId="0" applyFont="1" applyFill="1" applyBorder="1" applyAlignment="1">
      <alignment horizontal="center" vertical="center"/>
    </xf>
    <xf numFmtId="0" fontId="11" fillId="77" borderId="4" xfId="0" applyFont="1" applyFill="1" applyBorder="1" applyAlignment="1">
      <alignment horizontal="center" vertical="center"/>
    </xf>
    <xf numFmtId="185" fontId="11" fillId="77" borderId="0" xfId="0" applyNumberFormat="1" applyFont="1" applyFill="1" applyAlignment="1" applyProtection="1">
      <alignment horizontal="center" vertical="center"/>
      <protection locked="0"/>
    </xf>
    <xf numFmtId="0" fontId="11" fillId="73" borderId="4" xfId="0" applyFont="1" applyFill="1" applyBorder="1" applyAlignment="1">
      <alignment horizontal="center" vertical="center"/>
    </xf>
    <xf numFmtId="185" fontId="11" fillId="73" borderId="0" xfId="0" applyNumberFormat="1" applyFont="1" applyFill="1" applyAlignment="1" applyProtection="1">
      <alignment horizontal="center" vertical="center"/>
      <protection locked="0"/>
    </xf>
    <xf numFmtId="185" fontId="14" fillId="77" borderId="0" xfId="0" applyNumberFormat="1" applyFont="1" applyFill="1" applyAlignment="1" applyProtection="1">
      <alignment horizontal="center" vertical="center"/>
      <protection locked="0"/>
    </xf>
    <xf numFmtId="0" fontId="11" fillId="78" borderId="4" xfId="0" applyFont="1" applyFill="1" applyBorder="1" applyAlignment="1">
      <alignment horizontal="center" vertical="center"/>
    </xf>
    <xf numFmtId="185" fontId="11" fillId="78" borderId="0" xfId="0" applyNumberFormat="1" applyFont="1" applyFill="1" applyAlignment="1" applyProtection="1">
      <alignment horizontal="center" vertical="center"/>
      <protection locked="0"/>
    </xf>
    <xf numFmtId="0" fontId="11" fillId="72" borderId="6" xfId="0" applyFont="1" applyFill="1" applyBorder="1" applyAlignment="1">
      <alignment horizontal="center" vertical="center"/>
    </xf>
    <xf numFmtId="185" fontId="11" fillId="72" borderId="9" xfId="0" applyNumberFormat="1" applyFont="1" applyFill="1" applyBorder="1" applyAlignment="1" applyProtection="1">
      <alignment horizontal="center" vertical="center"/>
      <protection locked="0"/>
    </xf>
    <xf numFmtId="185" fontId="14" fillId="78" borderId="9" xfId="0" applyNumberFormat="1" applyFont="1" applyFill="1" applyBorder="1" applyAlignment="1" applyProtection="1">
      <alignment horizontal="center" vertical="center"/>
      <protection locked="0"/>
    </xf>
    <xf numFmtId="0" fontId="11" fillId="75" borderId="2" xfId="0" applyFont="1" applyFill="1" applyBorder="1" applyAlignment="1">
      <alignment horizontal="center" vertical="center"/>
    </xf>
    <xf numFmtId="0" fontId="11" fillId="75" borderId="8" xfId="0" applyFont="1" applyFill="1" applyBorder="1" applyAlignment="1" applyProtection="1">
      <alignment horizontal="right" vertical="center"/>
      <protection locked="0"/>
    </xf>
    <xf numFmtId="188" fontId="11" fillId="75" borderId="8" xfId="0" applyNumberFormat="1" applyFont="1" applyFill="1" applyBorder="1" applyAlignment="1" applyProtection="1">
      <alignment horizontal="left" vertical="center"/>
      <protection locked="0"/>
    </xf>
    <xf numFmtId="0" fontId="11" fillId="75" borderId="4" xfId="0" applyFont="1" applyFill="1" applyBorder="1" applyAlignment="1">
      <alignment horizontal="center" vertical="center"/>
    </xf>
    <xf numFmtId="0" fontId="11" fillId="75" borderId="0" xfId="0" applyFont="1" applyFill="1" applyAlignment="1" applyProtection="1">
      <alignment horizontal="right" vertical="center"/>
      <protection locked="0"/>
    </xf>
    <xf numFmtId="188" fontId="11" fillId="75" borderId="0" xfId="0" applyNumberFormat="1" applyFont="1" applyFill="1" applyAlignment="1" applyProtection="1">
      <alignment horizontal="left" vertical="center"/>
      <protection locked="0"/>
    </xf>
    <xf numFmtId="0" fontId="11" fillId="75" borderId="0" xfId="0" applyFont="1" applyFill="1" applyAlignment="1" applyProtection="1">
      <alignment horizontal="center" vertical="center"/>
      <protection locked="0"/>
    </xf>
    <xf numFmtId="0" fontId="11" fillId="75" borderId="6" xfId="0" applyFont="1" applyFill="1" applyBorder="1" applyAlignment="1">
      <alignment horizontal="center" vertical="center"/>
    </xf>
    <xf numFmtId="0" fontId="11" fillId="75" borderId="9" xfId="0" applyFont="1" applyFill="1" applyBorder="1" applyAlignment="1" applyProtection="1">
      <alignment horizontal="center" vertical="center"/>
      <protection locked="0"/>
    </xf>
    <xf numFmtId="185" fontId="96" fillId="75" borderId="4" xfId="0" applyNumberFormat="1" applyFont="1" applyFill="1" applyBorder="1" applyAlignment="1" applyProtection="1">
      <alignment horizontal="center" vertical="center"/>
      <protection locked="0"/>
    </xf>
    <xf numFmtId="185" fontId="96" fillId="75" borderId="0" xfId="0" applyNumberFormat="1" applyFont="1" applyFill="1" applyAlignment="1" applyProtection="1">
      <alignment horizontal="center" vertical="center"/>
      <protection locked="0"/>
    </xf>
    <xf numFmtId="185" fontId="18" fillId="77" borderId="4" xfId="0" applyNumberFormat="1" applyFont="1" applyFill="1" applyBorder="1" applyAlignment="1" applyProtection="1">
      <alignment horizontal="center" vertical="center"/>
      <protection locked="0"/>
    </xf>
    <xf numFmtId="185" fontId="18" fillId="77" borderId="0" xfId="0" applyNumberFormat="1" applyFont="1" applyFill="1" applyAlignment="1" applyProtection="1">
      <alignment horizontal="center" vertical="center"/>
      <protection locked="0"/>
    </xf>
    <xf numFmtId="185" fontId="18" fillId="75" borderId="4" xfId="0" applyNumberFormat="1" applyFont="1" applyFill="1" applyBorder="1" applyAlignment="1" applyProtection="1">
      <alignment horizontal="center" vertical="center"/>
      <protection locked="0"/>
    </xf>
    <xf numFmtId="185" fontId="18" fillId="75" borderId="0" xfId="0" applyNumberFormat="1" applyFont="1" applyFill="1" applyAlignment="1" applyProtection="1">
      <alignment horizontal="center" vertical="center"/>
      <protection locked="0"/>
    </xf>
    <xf numFmtId="0" fontId="96" fillId="78" borderId="4" xfId="0" applyFont="1" applyFill="1" applyBorder="1" applyAlignment="1">
      <alignment horizontal="center" vertical="center"/>
    </xf>
    <xf numFmtId="0" fontId="96" fillId="72" borderId="0" xfId="0" applyFont="1" applyFill="1" applyAlignment="1">
      <alignment horizontal="center" vertical="center"/>
    </xf>
    <xf numFmtId="0" fontId="24" fillId="77" borderId="4" xfId="0" applyFont="1" applyFill="1" applyBorder="1" applyAlignment="1" applyProtection="1">
      <alignment horizontal="center" vertical="center"/>
      <protection locked="0"/>
    </xf>
    <xf numFmtId="0" fontId="24" fillId="73" borderId="0" xfId="0" applyFont="1" applyFill="1" applyAlignment="1" applyProtection="1">
      <alignment horizontal="center" vertical="center"/>
      <protection locked="0"/>
    </xf>
    <xf numFmtId="0" fontId="18" fillId="75" borderId="4" xfId="0" applyFont="1" applyFill="1" applyBorder="1" applyAlignment="1" applyProtection="1">
      <alignment horizontal="left" vertical="top"/>
      <protection locked="0"/>
    </xf>
    <xf numFmtId="0" fontId="18" fillId="75" borderId="0" xfId="0" applyFont="1" applyFill="1" applyAlignment="1" applyProtection="1">
      <alignment horizontal="left" vertical="top"/>
      <protection locked="0"/>
    </xf>
    <xf numFmtId="0" fontId="18" fillId="75" borderId="6" xfId="0" applyFont="1" applyFill="1" applyBorder="1" applyAlignment="1" applyProtection="1">
      <alignment horizontal="left" vertical="top"/>
      <protection locked="0"/>
    </xf>
    <xf numFmtId="0" fontId="18" fillId="75" borderId="9" xfId="0" applyFont="1" applyFill="1" applyBorder="1" applyAlignment="1" applyProtection="1">
      <alignment horizontal="left" vertical="top"/>
      <protection locked="0"/>
    </xf>
    <xf numFmtId="185" fontId="24" fillId="75" borderId="4" xfId="0" applyNumberFormat="1" applyFont="1" applyFill="1" applyBorder="1" applyAlignment="1" applyProtection="1">
      <alignment horizontal="center" vertical="center"/>
      <protection locked="0"/>
    </xf>
    <xf numFmtId="185" fontId="24" fillId="75" borderId="0" xfId="0" applyNumberFormat="1" applyFont="1" applyFill="1" applyAlignment="1" applyProtection="1">
      <alignment horizontal="center" vertical="center"/>
      <protection locked="0"/>
    </xf>
    <xf numFmtId="185" fontId="24" fillId="77" borderId="4" xfId="0" applyNumberFormat="1" applyFont="1" applyFill="1" applyBorder="1" applyAlignment="1" applyProtection="1">
      <alignment horizontal="center" vertical="center"/>
      <protection locked="0"/>
    </xf>
    <xf numFmtId="185" fontId="24" fillId="73" borderId="0" xfId="0" applyNumberFormat="1" applyFont="1" applyFill="1" applyAlignment="1" applyProtection="1">
      <alignment horizontal="center" vertical="center"/>
      <protection locked="0"/>
    </xf>
    <xf numFmtId="185" fontId="24" fillId="75" borderId="6" xfId="0" applyNumberFormat="1" applyFont="1" applyFill="1" applyBorder="1" applyAlignment="1" applyProtection="1">
      <alignment horizontal="center" vertical="center"/>
      <protection locked="0"/>
    </xf>
    <xf numFmtId="185" fontId="24" fillId="75" borderId="9" xfId="0" applyNumberFormat="1" applyFont="1" applyFill="1" applyBorder="1" applyAlignment="1" applyProtection="1">
      <alignment horizontal="center" vertical="center"/>
      <protection locked="0"/>
    </xf>
    <xf numFmtId="0" fontId="11" fillId="84" borderId="157" xfId="0" applyFont="1" applyFill="1" applyBorder="1" applyAlignment="1">
      <alignment horizontal="center" vertical="center"/>
    </xf>
    <xf numFmtId="0" fontId="11" fillId="71" borderId="158" xfId="0" applyFont="1" applyFill="1" applyBorder="1" applyAlignment="1">
      <alignment horizontal="center" vertical="center"/>
    </xf>
    <xf numFmtId="0" fontId="24" fillId="77" borderId="4" xfId="0" applyFont="1" applyFill="1" applyBorder="1" applyAlignment="1">
      <alignment horizontal="center" vertical="center"/>
    </xf>
    <xf numFmtId="185" fontId="24" fillId="77" borderId="82" xfId="0" applyNumberFormat="1" applyFont="1" applyFill="1" applyBorder="1" applyAlignment="1" applyProtection="1">
      <alignment horizontal="center" vertical="center"/>
      <protection locked="0"/>
    </xf>
    <xf numFmtId="0" fontId="24" fillId="75" borderId="4" xfId="0" applyFont="1" applyFill="1" applyBorder="1" applyAlignment="1">
      <alignment horizontal="center" vertical="center"/>
    </xf>
    <xf numFmtId="185" fontId="24" fillId="75" borderId="82" xfId="0" applyNumberFormat="1" applyFont="1" applyFill="1" applyBorder="1" applyAlignment="1" applyProtection="1">
      <alignment horizontal="center" vertical="center"/>
      <protection locked="0"/>
    </xf>
    <xf numFmtId="0" fontId="24" fillId="75" borderId="6" xfId="0" applyFont="1" applyFill="1" applyBorder="1" applyAlignment="1">
      <alignment horizontal="center" vertical="center" wrapText="1"/>
    </xf>
    <xf numFmtId="185" fontId="24" fillId="75" borderId="102" xfId="0" applyNumberFormat="1" applyFont="1" applyFill="1" applyBorder="1" applyAlignment="1" applyProtection="1">
      <alignment horizontal="center" vertical="center"/>
      <protection locked="0"/>
    </xf>
    <xf numFmtId="0" fontId="57" fillId="84" borderId="2" xfId="0" applyFont="1" applyFill="1" applyBorder="1" applyAlignment="1" applyProtection="1">
      <alignment horizontal="center" vertical="center"/>
      <protection locked="0"/>
    </xf>
    <xf numFmtId="0" fontId="57" fillId="71" borderId="8" xfId="0" applyFont="1" applyFill="1" applyBorder="1" applyAlignment="1" applyProtection="1">
      <alignment horizontal="center" vertical="center"/>
      <protection locked="0"/>
    </xf>
    <xf numFmtId="0" fontId="14" fillId="78" borderId="4" xfId="0" applyFont="1" applyFill="1" applyBorder="1" applyAlignment="1" applyProtection="1">
      <alignment horizontal="center" vertical="center"/>
      <protection locked="0"/>
    </xf>
    <xf numFmtId="0" fontId="14" fillId="72" borderId="0" xfId="0" applyFont="1" applyFill="1" applyAlignment="1" applyProtection="1">
      <alignment horizontal="center" vertical="center"/>
      <protection locked="0"/>
    </xf>
    <xf numFmtId="0" fontId="14" fillId="75" borderId="4" xfId="0" applyFont="1" applyFill="1" applyBorder="1" applyAlignment="1" applyProtection="1">
      <alignment horizontal="left" vertical="center" wrapText="1"/>
      <protection locked="0"/>
    </xf>
    <xf numFmtId="0" fontId="14" fillId="75" borderId="0" xfId="0" applyFont="1" applyFill="1" applyAlignment="1" applyProtection="1">
      <alignment horizontal="left" vertical="center" wrapText="1"/>
      <protection locked="0"/>
    </xf>
    <xf numFmtId="0" fontId="24" fillId="78" borderId="4" xfId="0" applyFont="1" applyFill="1" applyBorder="1" applyAlignment="1" applyProtection="1">
      <alignment horizontal="left" vertical="center"/>
      <protection locked="0"/>
    </xf>
    <xf numFmtId="0" fontId="24" fillId="72" borderId="0" xfId="0" applyFont="1" applyFill="1" applyAlignment="1" applyProtection="1">
      <alignment horizontal="left" vertical="center"/>
      <protection locked="0"/>
    </xf>
    <xf numFmtId="0" fontId="24" fillId="78" borderId="0" xfId="0" applyFont="1" applyFill="1" applyAlignment="1" applyProtection="1">
      <alignment horizontal="center" vertical="center"/>
      <protection locked="0"/>
    </xf>
    <xf numFmtId="0" fontId="24" fillId="75" borderId="4" xfId="0" applyFont="1" applyFill="1" applyBorder="1" applyAlignment="1" applyProtection="1">
      <alignment horizontal="center" vertical="center"/>
      <protection locked="0"/>
    </xf>
    <xf numFmtId="0" fontId="24" fillId="75" borderId="0" xfId="0" applyFont="1" applyFill="1" applyAlignment="1" applyProtection="1">
      <alignment horizontal="center" vertical="center"/>
      <protection locked="0"/>
    </xf>
    <xf numFmtId="0" fontId="24" fillId="77" borderId="0" xfId="0" applyFont="1" applyFill="1" applyAlignment="1" applyProtection="1">
      <alignment horizontal="center" vertical="center"/>
      <protection locked="0"/>
    </xf>
    <xf numFmtId="0" fontId="14" fillId="77" borderId="4" xfId="0" applyFont="1" applyFill="1" applyBorder="1" applyAlignment="1" applyProtection="1">
      <alignment horizontal="center" vertical="center"/>
      <protection locked="0"/>
    </xf>
    <xf numFmtId="0" fontId="14" fillId="73" borderId="0" xfId="0" applyFont="1" applyFill="1" applyAlignment="1" applyProtection="1">
      <alignment horizontal="center" vertical="center"/>
      <protection locked="0"/>
    </xf>
    <xf numFmtId="0" fontId="14" fillId="77" borderId="0" xfId="0" applyFont="1" applyFill="1" applyAlignment="1" applyProtection="1">
      <alignment horizontal="center" vertical="center"/>
      <protection locked="0"/>
    </xf>
    <xf numFmtId="0" fontId="14" fillId="75" borderId="4" xfId="0" applyFont="1" applyFill="1" applyBorder="1" applyAlignment="1" applyProtection="1">
      <alignment horizontal="center" vertical="center"/>
      <protection locked="0"/>
    </xf>
    <xf numFmtId="0" fontId="14" fillId="75" borderId="0" xfId="0" applyFont="1" applyFill="1" applyAlignment="1" applyProtection="1">
      <alignment horizontal="center" vertical="center"/>
      <protection locked="0"/>
    </xf>
    <xf numFmtId="0" fontId="24" fillId="75" borderId="6" xfId="0" applyFont="1" applyFill="1" applyBorder="1" applyAlignment="1" applyProtection="1">
      <alignment horizontal="center" vertical="center"/>
      <protection locked="0"/>
    </xf>
    <xf numFmtId="0" fontId="24" fillId="75" borderId="9" xfId="0" applyFont="1" applyFill="1" applyBorder="1" applyAlignment="1" applyProtection="1">
      <alignment horizontal="center" vertical="center"/>
      <protection locked="0"/>
    </xf>
    <xf numFmtId="0" fontId="156" fillId="0" borderId="0" xfId="0" applyFont="1" applyAlignment="1" applyProtection="1">
      <alignment horizontal="center" vertical="center" wrapText="1"/>
      <protection locked="0"/>
    </xf>
    <xf numFmtId="0" fontId="1" fillId="75" borderId="4" xfId="0" applyFont="1" applyFill="1" applyBorder="1" applyAlignment="1" applyProtection="1">
      <alignment horizontal="center" vertical="center" wrapText="1"/>
      <protection locked="0"/>
    </xf>
    <xf numFmtId="0" fontId="1" fillId="75" borderId="0" xfId="0" applyFont="1" applyFill="1" applyAlignment="1" applyProtection="1">
      <alignment horizontal="center" vertical="center" wrapText="1"/>
      <protection locked="0"/>
    </xf>
    <xf numFmtId="0" fontId="1" fillId="75" borderId="6" xfId="0" applyFont="1" applyFill="1" applyBorder="1" applyAlignment="1" applyProtection="1">
      <alignment horizontal="center" vertical="center" wrapText="1"/>
      <protection locked="0"/>
    </xf>
    <xf numFmtId="0" fontId="1" fillId="75" borderId="9" xfId="0" applyFont="1" applyFill="1" applyBorder="1" applyAlignment="1" applyProtection="1">
      <alignment horizontal="center" vertical="center" wrapText="1"/>
      <protection locked="0"/>
    </xf>
    <xf numFmtId="0" fontId="11" fillId="78" borderId="0" xfId="0" applyFont="1" applyFill="1" applyAlignment="1">
      <alignment horizontal="center" vertical="center"/>
    </xf>
    <xf numFmtId="0" fontId="11" fillId="77" borderId="0" xfId="0" applyFont="1" applyFill="1" applyAlignment="1">
      <alignment horizontal="center" vertical="center"/>
    </xf>
    <xf numFmtId="0" fontId="11" fillId="72" borderId="0" xfId="0" applyFont="1" applyFill="1" applyAlignment="1">
      <alignment horizontal="center" vertical="center"/>
    </xf>
    <xf numFmtId="185" fontId="11" fillId="72" borderId="0" xfId="0" applyNumberFormat="1" applyFont="1" applyFill="1" applyAlignment="1" applyProtection="1">
      <alignment horizontal="center" vertical="center"/>
      <protection locked="0"/>
    </xf>
    <xf numFmtId="185" fontId="14" fillId="78" borderId="0" xfId="0" applyNumberFormat="1" applyFont="1" applyFill="1" applyAlignment="1" applyProtection="1">
      <alignment horizontal="center" vertical="center"/>
      <protection locked="0"/>
    </xf>
    <xf numFmtId="0" fontId="11" fillId="73" borderId="0" xfId="0" applyFont="1" applyFill="1" applyAlignment="1">
      <alignment horizontal="center" vertical="center"/>
    </xf>
    <xf numFmtId="0" fontId="11" fillId="73" borderId="9" xfId="0" applyFont="1" applyFill="1" applyBorder="1" applyAlignment="1">
      <alignment horizontal="center" vertical="center"/>
    </xf>
    <xf numFmtId="185" fontId="11" fillId="73" borderId="9" xfId="0" applyNumberFormat="1" applyFont="1" applyFill="1" applyBorder="1" applyAlignment="1" applyProtection="1">
      <alignment horizontal="center" vertical="center"/>
      <protection locked="0"/>
    </xf>
    <xf numFmtId="185" fontId="14" fillId="77" borderId="9" xfId="0" applyNumberFormat="1" applyFont="1" applyFill="1" applyBorder="1" applyAlignment="1" applyProtection="1">
      <alignment horizontal="center" vertical="center"/>
      <protection locked="0"/>
    </xf>
    <xf numFmtId="0" fontId="11" fillId="72" borderId="9" xfId="0" applyFont="1" applyFill="1" applyBorder="1" applyAlignment="1">
      <alignment horizontal="center" vertical="center"/>
    </xf>
    <xf numFmtId="0" fontId="11" fillId="77" borderId="8" xfId="0" applyFont="1" applyFill="1" applyBorder="1" applyAlignment="1">
      <alignment horizontal="center" vertical="center"/>
    </xf>
    <xf numFmtId="0" fontId="11" fillId="77" borderId="8" xfId="0" applyFont="1" applyFill="1" applyBorder="1" applyAlignment="1" applyProtection="1">
      <alignment horizontal="right" vertical="center"/>
      <protection locked="0"/>
    </xf>
    <xf numFmtId="188" fontId="11" fillId="77" borderId="8" xfId="0" applyNumberFormat="1" applyFont="1" applyFill="1" applyBorder="1" applyAlignment="1" applyProtection="1">
      <alignment horizontal="left" vertical="center"/>
      <protection locked="0"/>
    </xf>
    <xf numFmtId="0" fontId="11" fillId="75" borderId="8" xfId="0" applyFont="1" applyFill="1" applyBorder="1" applyAlignment="1">
      <alignment horizontal="center" vertical="center"/>
    </xf>
    <xf numFmtId="0" fontId="11" fillId="73" borderId="0" xfId="0" applyFont="1" applyFill="1" applyAlignment="1" applyProtection="1">
      <alignment horizontal="right" vertical="center"/>
      <protection locked="0"/>
    </xf>
    <xf numFmtId="188" fontId="11" fillId="73" borderId="0" xfId="0" applyNumberFormat="1" applyFont="1" applyFill="1" applyAlignment="1" applyProtection="1">
      <alignment horizontal="left" vertical="center"/>
      <protection locked="0"/>
    </xf>
    <xf numFmtId="0" fontId="11" fillId="75" borderId="0" xfId="0" applyFont="1" applyFill="1" applyAlignment="1">
      <alignment horizontal="center" vertical="center"/>
    </xf>
    <xf numFmtId="0" fontId="11" fillId="77" borderId="0" xfId="0" applyFont="1" applyFill="1" applyAlignment="1" applyProtection="1">
      <alignment horizontal="center" vertical="center"/>
      <protection locked="0"/>
    </xf>
    <xf numFmtId="0" fontId="11" fillId="73" borderId="0" xfId="0" applyFont="1" applyFill="1" applyAlignment="1" applyProtection="1">
      <alignment horizontal="center" vertical="center"/>
      <protection locked="0"/>
    </xf>
    <xf numFmtId="0" fontId="11" fillId="73" borderId="9" xfId="0" applyFont="1" applyFill="1" applyBorder="1" applyAlignment="1" applyProtection="1">
      <alignment horizontal="center" vertical="center"/>
      <protection locked="0"/>
    </xf>
    <xf numFmtId="0" fontId="11" fillId="75" borderId="9" xfId="0" applyFont="1" applyFill="1" applyBorder="1" applyAlignment="1">
      <alignment horizontal="center" vertical="center"/>
    </xf>
    <xf numFmtId="0" fontId="96" fillId="78" borderId="0" xfId="0" applyFont="1" applyFill="1" applyAlignment="1">
      <alignment horizontal="center" vertical="center"/>
    </xf>
    <xf numFmtId="185" fontId="24" fillId="77" borderId="0" xfId="0" applyNumberFormat="1" applyFont="1" applyFill="1" applyAlignment="1" applyProtection="1">
      <alignment horizontal="center" vertical="center"/>
      <protection locked="0"/>
    </xf>
    <xf numFmtId="0" fontId="24" fillId="77" borderId="94" xfId="0" applyFont="1" applyFill="1" applyBorder="1" applyAlignment="1">
      <alignment horizontal="center" vertical="center"/>
    </xf>
    <xf numFmtId="0" fontId="18" fillId="75" borderId="0" xfId="0" applyFont="1" applyFill="1" applyAlignment="1" applyProtection="1">
      <alignment horizontal="left" vertical="top" wrapText="1"/>
      <protection locked="0"/>
    </xf>
    <xf numFmtId="0" fontId="24" fillId="75" borderId="94" xfId="0" applyFont="1" applyFill="1" applyBorder="1" applyAlignment="1" applyProtection="1">
      <alignment horizontal="center" vertical="center"/>
      <protection locked="0"/>
    </xf>
    <xf numFmtId="0" fontId="24" fillId="77" borderId="94" xfId="0" applyFont="1" applyFill="1" applyBorder="1" applyAlignment="1" applyProtection="1">
      <alignment horizontal="center" vertical="center"/>
      <protection locked="0"/>
    </xf>
    <xf numFmtId="185" fontId="24" fillId="75" borderId="100" xfId="0" applyNumberFormat="1" applyFont="1" applyFill="1" applyBorder="1" applyAlignment="1" applyProtection="1">
      <alignment horizontal="center" vertical="center"/>
      <protection locked="0"/>
    </xf>
    <xf numFmtId="0" fontId="18" fillId="75" borderId="9" xfId="0" applyFont="1" applyFill="1" applyBorder="1" applyAlignment="1" applyProtection="1">
      <alignment horizontal="left" vertical="top" wrapText="1"/>
      <protection locked="0"/>
    </xf>
    <xf numFmtId="0" fontId="24" fillId="72" borderId="0" xfId="0" applyFont="1" applyFill="1" applyAlignment="1" applyProtection="1">
      <alignment horizontal="center" vertical="center"/>
      <protection locked="0"/>
    </xf>
    <xf numFmtId="0" fontId="24" fillId="75" borderId="0" xfId="0" applyFont="1" applyFill="1" applyProtection="1">
      <alignment vertical="center"/>
      <protection locked="0"/>
    </xf>
    <xf numFmtId="0" fontId="24" fillId="77" borderId="0" xfId="0" applyFont="1" applyFill="1" applyProtection="1">
      <alignment vertical="center"/>
      <protection locked="0"/>
    </xf>
    <xf numFmtId="0" fontId="24" fillId="73" borderId="0" xfId="0" applyFont="1" applyFill="1" applyProtection="1">
      <alignment vertical="center"/>
      <protection locked="0"/>
    </xf>
    <xf numFmtId="0" fontId="14" fillId="77" borderId="0" xfId="0" applyFont="1" applyFill="1" applyProtection="1">
      <alignment vertical="center"/>
      <protection locked="0"/>
    </xf>
    <xf numFmtId="0" fontId="14" fillId="73" borderId="0" xfId="0" applyFont="1" applyFill="1" applyProtection="1">
      <alignment vertical="center"/>
      <protection locked="0"/>
    </xf>
    <xf numFmtId="0" fontId="14" fillId="75" borderId="0" xfId="0" applyFont="1" applyFill="1" applyProtection="1">
      <alignment vertical="center"/>
      <protection locked="0"/>
    </xf>
    <xf numFmtId="0" fontId="24" fillId="75" borderId="9" xfId="0" applyFont="1" applyFill="1" applyBorder="1" applyProtection="1">
      <alignment vertical="center"/>
      <protection locked="0"/>
    </xf>
    <xf numFmtId="0" fontId="24" fillId="77" borderId="8" xfId="0" applyFont="1" applyFill="1" applyBorder="1" applyAlignment="1">
      <alignment horizontal="center" vertical="center"/>
    </xf>
    <xf numFmtId="0" fontId="11" fillId="77" borderId="8" xfId="0" applyFont="1" applyFill="1" applyBorder="1" applyAlignment="1" applyProtection="1">
      <alignment horizontal="center" vertical="center"/>
      <protection locked="0"/>
    </xf>
    <xf numFmtId="0" fontId="24" fillId="73" borderId="0" xfId="0" applyFont="1" applyFill="1" applyAlignment="1">
      <alignment horizontal="center" vertical="center"/>
    </xf>
    <xf numFmtId="0" fontId="24" fillId="78" borderId="0" xfId="0" applyFont="1" applyFill="1" applyAlignment="1" applyProtection="1">
      <alignment horizontal="left" vertical="center"/>
      <protection locked="0"/>
    </xf>
    <xf numFmtId="0" fontId="24" fillId="75" borderId="82" xfId="0" applyFont="1" applyFill="1" applyBorder="1" applyAlignment="1" applyProtection="1">
      <alignment horizontal="center" vertical="center"/>
      <protection locked="0"/>
    </xf>
    <xf numFmtId="0" fontId="24" fillId="77" borderId="82" xfId="0" applyFont="1" applyFill="1" applyBorder="1" applyAlignment="1" applyProtection="1">
      <alignment horizontal="center" vertical="center"/>
      <protection locked="0"/>
    </xf>
    <xf numFmtId="0" fontId="24" fillId="77" borderId="82" xfId="0" applyFont="1" applyFill="1" applyBorder="1" applyProtection="1">
      <alignment vertical="center"/>
      <protection locked="0"/>
    </xf>
    <xf numFmtId="0" fontId="24" fillId="75" borderId="82" xfId="0" applyFont="1" applyFill="1" applyBorder="1" applyProtection="1">
      <alignment vertical="center"/>
      <protection locked="0"/>
    </xf>
    <xf numFmtId="0" fontId="156" fillId="75" borderId="82" xfId="0" applyFont="1" applyFill="1" applyBorder="1" applyAlignment="1" applyProtection="1">
      <alignment horizontal="center" vertical="center"/>
      <protection locked="0"/>
    </xf>
    <xf numFmtId="0" fontId="156" fillId="75" borderId="0" xfId="0" applyFont="1" applyFill="1" applyAlignment="1" applyProtection="1">
      <alignment horizontal="center" vertical="center"/>
      <protection locked="0"/>
    </xf>
    <xf numFmtId="0" fontId="14" fillId="77" borderId="82" xfId="0" applyFont="1" applyFill="1" applyBorder="1" applyAlignment="1" applyProtection="1">
      <alignment horizontal="center" vertical="center"/>
      <protection locked="0"/>
    </xf>
    <xf numFmtId="0" fontId="14" fillId="75" borderId="102" xfId="0" applyFont="1" applyFill="1" applyBorder="1" applyAlignment="1" applyProtection="1">
      <alignment horizontal="center" vertical="center"/>
      <protection locked="0"/>
    </xf>
    <xf numFmtId="0" fontId="14" fillId="75" borderId="9" xfId="0" applyFont="1" applyFill="1" applyBorder="1" applyAlignment="1" applyProtection="1">
      <alignment horizontal="center" vertical="center"/>
      <protection locked="0"/>
    </xf>
    <xf numFmtId="0" fontId="11" fillId="71" borderId="3" xfId="0" applyFont="1" applyFill="1" applyBorder="1" applyAlignment="1">
      <alignment horizontal="center" vertical="center"/>
    </xf>
    <xf numFmtId="185" fontId="11" fillId="78" borderId="5" xfId="0" applyNumberFormat="1" applyFont="1" applyFill="1" applyBorder="1" applyAlignment="1" applyProtection="1">
      <alignment horizontal="center" vertical="center"/>
      <protection locked="0"/>
    </xf>
    <xf numFmtId="185" fontId="11" fillId="77" borderId="4" xfId="0" applyNumberFormat="1" applyFont="1" applyFill="1" applyBorder="1" applyAlignment="1" applyProtection="1">
      <alignment horizontal="center" vertical="center"/>
      <protection locked="0"/>
    </xf>
    <xf numFmtId="185" fontId="14" fillId="78" borderId="5" xfId="0" applyNumberFormat="1" applyFont="1" applyFill="1" applyBorder="1" applyAlignment="1" applyProtection="1">
      <alignment horizontal="center" vertical="center"/>
      <protection locked="0"/>
    </xf>
    <xf numFmtId="185" fontId="11" fillId="77" borderId="5" xfId="0" applyNumberFormat="1" applyFont="1" applyFill="1" applyBorder="1" applyAlignment="1" applyProtection="1">
      <alignment horizontal="center" vertical="center"/>
      <protection locked="0"/>
    </xf>
    <xf numFmtId="185" fontId="14" fillId="77" borderId="7" xfId="0" applyNumberFormat="1" applyFont="1" applyFill="1" applyBorder="1" applyAlignment="1" applyProtection="1">
      <alignment horizontal="center" vertical="center"/>
      <protection locked="0"/>
    </xf>
    <xf numFmtId="0" fontId="11" fillId="73" borderId="3" xfId="0" applyFont="1" applyFill="1" applyBorder="1" applyAlignment="1" applyProtection="1">
      <alignment horizontal="center" vertical="center"/>
      <protection locked="0"/>
    </xf>
    <xf numFmtId="185" fontId="11" fillId="77" borderId="4" xfId="0" applyNumberFormat="1" applyFont="1" applyFill="1" applyBorder="1" applyProtection="1">
      <alignment vertical="center"/>
      <protection locked="0"/>
    </xf>
    <xf numFmtId="0" fontId="11" fillId="73" borderId="5" xfId="0" applyFont="1" applyFill="1" applyBorder="1" applyAlignment="1" applyProtection="1">
      <alignment horizontal="center" vertical="center"/>
      <protection locked="0"/>
    </xf>
    <xf numFmtId="0" fontId="11" fillId="73" borderId="7" xfId="0" applyFont="1" applyFill="1" applyBorder="1" applyAlignment="1" applyProtection="1">
      <alignment horizontal="center" vertical="center"/>
      <protection locked="0"/>
    </xf>
    <xf numFmtId="185" fontId="96" fillId="75" borderId="5" xfId="0" applyNumberFormat="1" applyFont="1" applyFill="1" applyBorder="1" applyAlignment="1" applyProtection="1">
      <alignment horizontal="center" vertical="center"/>
      <protection locked="0"/>
    </xf>
    <xf numFmtId="185" fontId="18" fillId="77" borderId="5" xfId="0" applyNumberFormat="1" applyFont="1" applyFill="1" applyBorder="1" applyAlignment="1" applyProtection="1">
      <alignment horizontal="center" vertical="center"/>
      <protection locked="0"/>
    </xf>
    <xf numFmtId="185" fontId="18" fillId="75" borderId="5" xfId="0" applyNumberFormat="1" applyFont="1" applyFill="1" applyBorder="1" applyAlignment="1" applyProtection="1">
      <alignment horizontal="center" vertical="center"/>
      <protection locked="0"/>
    </xf>
    <xf numFmtId="0" fontId="96" fillId="78" borderId="5" xfId="0" applyFont="1" applyFill="1" applyBorder="1" applyAlignment="1">
      <alignment horizontal="center" vertical="center"/>
    </xf>
    <xf numFmtId="0" fontId="24" fillId="77" borderId="5" xfId="0" applyFont="1" applyFill="1" applyBorder="1" applyAlignment="1" applyProtection="1">
      <alignment horizontal="center" vertical="center"/>
      <protection locked="0"/>
    </xf>
    <xf numFmtId="0" fontId="18" fillId="75" borderId="5" xfId="0" applyFont="1" applyFill="1" applyBorder="1" applyAlignment="1" applyProtection="1">
      <alignment horizontal="left" vertical="top"/>
      <protection locked="0"/>
    </xf>
    <xf numFmtId="0" fontId="18" fillId="75" borderId="7" xfId="0" applyFont="1" applyFill="1" applyBorder="1" applyAlignment="1" applyProtection="1">
      <alignment horizontal="left" vertical="top"/>
      <protection locked="0"/>
    </xf>
    <xf numFmtId="185" fontId="11" fillId="77" borderId="0" xfId="0" applyNumberFormat="1" applyFont="1" applyFill="1" applyProtection="1">
      <alignment vertical="center"/>
      <protection locked="0"/>
    </xf>
    <xf numFmtId="185" fontId="24" fillId="75" borderId="5" xfId="0" applyNumberFormat="1" applyFont="1" applyFill="1" applyBorder="1" applyAlignment="1" applyProtection="1">
      <alignment horizontal="center" vertical="center"/>
      <protection locked="0"/>
    </xf>
    <xf numFmtId="185" fontId="24" fillId="73" borderId="5" xfId="0" applyNumberFormat="1" applyFont="1" applyFill="1" applyBorder="1" applyAlignment="1" applyProtection="1">
      <alignment horizontal="center" vertical="center"/>
      <protection locked="0"/>
    </xf>
    <xf numFmtId="185" fontId="24" fillId="75" borderId="7" xfId="0" applyNumberFormat="1" applyFont="1" applyFill="1" applyBorder="1" applyAlignment="1" applyProtection="1">
      <alignment horizontal="center" vertical="center"/>
      <protection locked="0"/>
    </xf>
    <xf numFmtId="0" fontId="11" fillId="71" borderId="161" xfId="0" applyFont="1" applyFill="1" applyBorder="1" applyAlignment="1">
      <alignment horizontal="center" vertical="center"/>
    </xf>
    <xf numFmtId="0" fontId="18" fillId="75" borderId="5" xfId="0" applyFont="1" applyFill="1" applyBorder="1" applyAlignment="1" applyProtection="1">
      <alignment horizontal="left" vertical="top" wrapText="1"/>
      <protection locked="0"/>
    </xf>
    <xf numFmtId="0" fontId="18" fillId="75" borderId="7" xfId="0" applyFont="1" applyFill="1" applyBorder="1" applyAlignment="1" applyProtection="1">
      <alignment horizontal="left" vertical="top" wrapText="1"/>
      <protection locked="0"/>
    </xf>
    <xf numFmtId="185" fontId="11" fillId="77" borderId="6" xfId="0" applyNumberFormat="1" applyFont="1" applyFill="1" applyBorder="1" applyProtection="1">
      <alignment vertical="center"/>
      <protection locked="0"/>
    </xf>
    <xf numFmtId="185" fontId="11" fillId="77" borderId="9" xfId="0" applyNumberFormat="1" applyFont="1" applyFill="1" applyBorder="1" applyAlignment="1" applyProtection="1">
      <alignment horizontal="center" vertical="center"/>
      <protection locked="0"/>
    </xf>
    <xf numFmtId="0" fontId="24" fillId="75" borderId="0" xfId="0" applyFont="1" applyFill="1" applyAlignment="1" applyProtection="1">
      <alignment horizontal="left" vertical="center"/>
      <protection locked="0"/>
    </xf>
    <xf numFmtId="0" fontId="24" fillId="77" borderId="0" xfId="0" applyFont="1" applyFill="1" applyAlignment="1" applyProtection="1">
      <alignment horizontal="left" vertical="center"/>
      <protection locked="0"/>
    </xf>
    <xf numFmtId="0" fontId="24" fillId="73" borderId="0" xfId="0" applyFont="1" applyFill="1" applyAlignment="1" applyProtection="1">
      <alignment horizontal="left" vertical="center"/>
      <protection locked="0"/>
    </xf>
    <xf numFmtId="0" fontId="14" fillId="75" borderId="0" xfId="0" applyFont="1" applyFill="1" applyAlignment="1" applyProtection="1">
      <alignment horizontal="left" vertical="center"/>
      <protection locked="0"/>
    </xf>
    <xf numFmtId="0" fontId="14" fillId="77" borderId="0" xfId="0" applyFont="1" applyFill="1" applyAlignment="1" applyProtection="1">
      <alignment horizontal="left" vertical="center"/>
      <protection locked="0"/>
    </xf>
    <xf numFmtId="0" fontId="14" fillId="73" borderId="0" xfId="0" applyFont="1" applyFill="1" applyAlignment="1" applyProtection="1">
      <alignment horizontal="left" vertical="center"/>
      <protection locked="0"/>
    </xf>
    <xf numFmtId="0" fontId="14" fillId="75" borderId="9" xfId="0" applyFont="1" applyFill="1" applyBorder="1" applyAlignment="1" applyProtection="1">
      <alignment horizontal="left" vertical="center"/>
      <protection locked="0"/>
    </xf>
    <xf numFmtId="0" fontId="1" fillId="75" borderId="82" xfId="0" applyFont="1" applyFill="1" applyBorder="1" applyAlignment="1" applyProtection="1">
      <alignment horizontal="center" vertical="center" wrapText="1"/>
      <protection locked="0"/>
    </xf>
    <xf numFmtId="0" fontId="1" fillId="75" borderId="102" xfId="0" applyFont="1" applyFill="1" applyBorder="1" applyAlignment="1" applyProtection="1">
      <alignment horizontal="center" vertical="center" wrapText="1"/>
      <protection locked="0"/>
    </xf>
    <xf numFmtId="185" fontId="1" fillId="77" borderId="0" xfId="0" applyNumberFormat="1" applyFont="1" applyFill="1" applyAlignment="1" applyProtection="1">
      <alignment horizontal="center" vertical="center"/>
      <protection locked="0"/>
    </xf>
    <xf numFmtId="185" fontId="1" fillId="77" borderId="0" xfId="0" applyNumberFormat="1" applyFont="1" applyFill="1" applyAlignment="1" applyProtection="1">
      <alignment horizontal="right" vertical="center"/>
      <protection locked="0"/>
    </xf>
    <xf numFmtId="189" fontId="1" fillId="77" borderId="0" xfId="0" applyNumberFormat="1" applyFont="1" applyFill="1" applyAlignment="1" applyProtection="1">
      <alignment horizontal="left" vertical="center"/>
      <protection locked="0"/>
    </xf>
    <xf numFmtId="0" fontId="1" fillId="77" borderId="0" xfId="0" applyFont="1" applyFill="1" applyAlignment="1" applyProtection="1">
      <alignment horizontal="center" vertical="center"/>
      <protection locked="0"/>
    </xf>
    <xf numFmtId="190" fontId="1" fillId="77" borderId="0" xfId="0" applyNumberFormat="1" applyFont="1" applyFill="1" applyAlignment="1" applyProtection="1">
      <alignment horizontal="right" vertical="center"/>
      <protection locked="0"/>
    </xf>
    <xf numFmtId="190" fontId="1" fillId="77" borderId="0" xfId="0" applyNumberFormat="1" applyFont="1" applyFill="1" applyAlignment="1" applyProtection="1">
      <alignment horizontal="left" vertical="center"/>
      <protection locked="0"/>
    </xf>
    <xf numFmtId="185" fontId="11" fillId="78" borderId="0" xfId="0" applyNumberFormat="1" applyFont="1" applyFill="1" applyProtection="1">
      <alignment vertical="center"/>
      <protection locked="0"/>
    </xf>
    <xf numFmtId="0" fontId="1" fillId="77" borderId="9" xfId="0" applyFont="1" applyFill="1" applyBorder="1" applyAlignment="1" applyProtection="1">
      <alignment horizontal="center" vertical="center"/>
      <protection locked="0"/>
    </xf>
    <xf numFmtId="190" fontId="1" fillId="77" borderId="9" xfId="0" applyNumberFormat="1" applyFont="1" applyFill="1" applyBorder="1" applyAlignment="1" applyProtection="1">
      <alignment horizontal="right" vertical="center"/>
      <protection locked="0"/>
    </xf>
    <xf numFmtId="190" fontId="1" fillId="77" borderId="9" xfId="0" applyNumberFormat="1" applyFont="1" applyFill="1" applyBorder="1" applyAlignment="1" applyProtection="1">
      <alignment horizontal="left" vertical="center"/>
      <protection locked="0"/>
    </xf>
    <xf numFmtId="185" fontId="11" fillId="78" borderId="9" xfId="0" applyNumberFormat="1" applyFont="1" applyFill="1" applyBorder="1" applyAlignment="1" applyProtection="1">
      <alignment horizontal="center" vertical="center"/>
      <protection locked="0"/>
    </xf>
    <xf numFmtId="0" fontId="24" fillId="75" borderId="94" xfId="0" applyFont="1" applyFill="1" applyBorder="1" applyAlignment="1" applyProtection="1">
      <alignment horizontal="left" vertical="center"/>
      <protection locked="0"/>
    </xf>
    <xf numFmtId="0" fontId="24" fillId="73" borderId="94" xfId="0" applyFont="1" applyFill="1" applyBorder="1" applyAlignment="1" applyProtection="1">
      <alignment horizontal="left" vertical="center"/>
      <protection locked="0"/>
    </xf>
    <xf numFmtId="0" fontId="156" fillId="77" borderId="0" xfId="0" applyFont="1" applyFill="1" applyAlignment="1" applyProtection="1">
      <alignment horizontal="center" vertical="center"/>
      <protection locked="0"/>
    </xf>
    <xf numFmtId="0" fontId="156" fillId="73" borderId="0" xfId="0" applyFont="1" applyFill="1" applyAlignment="1" applyProtection="1">
      <alignment horizontal="center" vertical="center"/>
      <protection locked="0"/>
    </xf>
    <xf numFmtId="0" fontId="24" fillId="77" borderId="94" xfId="0" applyFont="1" applyFill="1" applyBorder="1" applyProtection="1">
      <alignment vertical="center"/>
      <protection locked="0"/>
    </xf>
    <xf numFmtId="0" fontId="24" fillId="75" borderId="94" xfId="0" applyFont="1" applyFill="1" applyBorder="1" applyProtection="1">
      <alignment vertical="center"/>
      <protection locked="0"/>
    </xf>
    <xf numFmtId="0" fontId="14" fillId="75" borderId="94" xfId="0" applyFont="1" applyFill="1" applyBorder="1" applyAlignment="1" applyProtection="1">
      <alignment horizontal="left" vertical="center"/>
      <protection locked="0"/>
    </xf>
    <xf numFmtId="0" fontId="14" fillId="73" borderId="94" xfId="0" applyFont="1" applyFill="1" applyBorder="1" applyAlignment="1" applyProtection="1">
      <alignment horizontal="left" vertical="center"/>
      <protection locked="0"/>
    </xf>
    <xf numFmtId="0" fontId="14" fillId="75" borderId="100" xfId="0" applyFont="1" applyFill="1" applyBorder="1" applyAlignment="1" applyProtection="1">
      <alignment horizontal="left" vertical="center"/>
      <protection locked="0"/>
    </xf>
    <xf numFmtId="0" fontId="156" fillId="75" borderId="9" xfId="0" applyFont="1" applyFill="1" applyBorder="1" applyAlignment="1" applyProtection="1">
      <alignment horizontal="center" vertical="center"/>
      <protection locked="0"/>
    </xf>
    <xf numFmtId="185" fontId="1" fillId="78" borderId="0" xfId="0" applyNumberFormat="1" applyFont="1" applyFill="1" applyAlignment="1" applyProtection="1">
      <alignment horizontal="center" vertical="center"/>
      <protection locked="0"/>
    </xf>
    <xf numFmtId="185" fontId="1" fillId="78" borderId="0" xfId="0" applyNumberFormat="1" applyFont="1" applyFill="1" applyAlignment="1" applyProtection="1">
      <alignment horizontal="right" vertical="center"/>
      <protection locked="0"/>
    </xf>
    <xf numFmtId="185" fontId="1" fillId="78" borderId="9" xfId="0" applyNumberFormat="1" applyFont="1" applyFill="1" applyBorder="1" applyAlignment="1" applyProtection="1">
      <alignment horizontal="center" vertical="center"/>
      <protection locked="0"/>
    </xf>
    <xf numFmtId="185" fontId="1" fillId="78" borderId="9" xfId="0" applyNumberFormat="1" applyFont="1" applyFill="1" applyBorder="1" applyAlignment="1" applyProtection="1">
      <alignment horizontal="right" vertical="center"/>
      <protection locked="0"/>
    </xf>
    <xf numFmtId="0" fontId="23" fillId="77" borderId="0" xfId="0" applyFont="1" applyFill="1" applyProtection="1">
      <alignment vertical="center"/>
      <protection locked="0"/>
    </xf>
    <xf numFmtId="0" fontId="23" fillId="73" borderId="0" xfId="0" applyFont="1" applyFill="1" applyProtection="1">
      <alignment vertical="center"/>
      <protection locked="0"/>
    </xf>
    <xf numFmtId="0" fontId="14" fillId="75" borderId="9" xfId="0" applyFont="1" applyFill="1" applyBorder="1" applyProtection="1">
      <alignment vertical="center"/>
      <protection locked="0"/>
    </xf>
    <xf numFmtId="0" fontId="24" fillId="84" borderId="157" xfId="0" applyFont="1" applyFill="1" applyBorder="1" applyAlignment="1">
      <alignment horizontal="center" vertical="center"/>
    </xf>
    <xf numFmtId="0" fontId="24" fillId="71" borderId="158" xfId="0" applyFont="1" applyFill="1" applyBorder="1" applyAlignment="1">
      <alignment horizontal="center" vertical="center"/>
    </xf>
    <xf numFmtId="189" fontId="1" fillId="78" borderId="5" xfId="0" applyNumberFormat="1" applyFont="1" applyFill="1" applyBorder="1" applyAlignment="1" applyProtection="1">
      <alignment horizontal="left" vertical="center"/>
      <protection locked="0"/>
    </xf>
    <xf numFmtId="0" fontId="24" fillId="84" borderId="2" xfId="0" applyFont="1" applyFill="1" applyBorder="1" applyAlignment="1">
      <alignment horizontal="center" vertical="center"/>
    </xf>
    <xf numFmtId="0" fontId="24" fillId="71" borderId="8" xfId="0" applyFont="1" applyFill="1" applyBorder="1" applyAlignment="1">
      <alignment horizontal="center" vertical="center"/>
    </xf>
    <xf numFmtId="49" fontId="24" fillId="78" borderId="4" xfId="0" applyNumberFormat="1" applyFont="1" applyFill="1" applyBorder="1" applyAlignment="1">
      <alignment horizontal="center" vertical="top" wrapText="1"/>
    </xf>
    <xf numFmtId="49" fontId="24" fillId="72" borderId="0" xfId="0" applyNumberFormat="1" applyFont="1" applyFill="1" applyAlignment="1">
      <alignment horizontal="center" vertical="top" wrapText="1"/>
    </xf>
    <xf numFmtId="49" fontId="24" fillId="78" borderId="0" xfId="0" applyNumberFormat="1" applyFont="1" applyFill="1" applyAlignment="1">
      <alignment horizontal="center" vertical="top" wrapText="1"/>
    </xf>
    <xf numFmtId="185" fontId="96" fillId="77" borderId="4" xfId="0" applyNumberFormat="1" applyFont="1" applyFill="1" applyBorder="1" applyAlignment="1" applyProtection="1">
      <alignment horizontal="center" vertical="center"/>
      <protection locked="0"/>
    </xf>
    <xf numFmtId="185" fontId="96" fillId="73" borderId="0" xfId="0" applyNumberFormat="1" applyFont="1" applyFill="1" applyAlignment="1" applyProtection="1">
      <alignment horizontal="center" vertical="center"/>
      <protection locked="0"/>
    </xf>
    <xf numFmtId="185" fontId="96" fillId="77" borderId="0" xfId="0" applyNumberFormat="1" applyFont="1" applyFill="1" applyAlignment="1" applyProtection="1">
      <alignment horizontal="center" vertical="center"/>
      <protection locked="0"/>
    </xf>
    <xf numFmtId="185" fontId="96" fillId="77" borderId="86" xfId="0" applyNumberFormat="1" applyFont="1" applyFill="1" applyBorder="1" applyAlignment="1" applyProtection="1">
      <alignment horizontal="center" vertical="center"/>
      <protection locked="0"/>
    </xf>
    <xf numFmtId="185" fontId="96" fillId="73" borderId="87" xfId="0" applyNumberFormat="1" applyFont="1" applyFill="1" applyBorder="1" applyAlignment="1" applyProtection="1">
      <alignment horizontal="center" vertical="center"/>
      <protection locked="0"/>
    </xf>
    <xf numFmtId="185" fontId="96" fillId="77" borderId="87" xfId="0" applyNumberFormat="1" applyFont="1" applyFill="1" applyBorder="1" applyAlignment="1" applyProtection="1">
      <alignment horizontal="center" vertical="center"/>
      <protection locked="0"/>
    </xf>
    <xf numFmtId="0" fontId="24" fillId="78" borderId="4" xfId="0" applyFont="1" applyFill="1" applyBorder="1" applyAlignment="1">
      <alignment horizontal="center" vertical="center"/>
    </xf>
    <xf numFmtId="0" fontId="24" fillId="72" borderId="0" xfId="0" applyFont="1" applyFill="1" applyAlignment="1">
      <alignment horizontal="center" vertical="center"/>
    </xf>
    <xf numFmtId="185" fontId="24" fillId="77" borderId="86" xfId="0" applyNumberFormat="1" applyFont="1" applyFill="1" applyBorder="1" applyAlignment="1" applyProtection="1">
      <alignment horizontal="center" vertical="center"/>
      <protection locked="0"/>
    </xf>
    <xf numFmtId="185" fontId="24" fillId="73" borderId="87" xfId="0" applyNumberFormat="1" applyFont="1" applyFill="1" applyBorder="1" applyAlignment="1" applyProtection="1">
      <alignment horizontal="center" vertical="center"/>
      <protection locked="0"/>
    </xf>
    <xf numFmtId="189" fontId="1" fillId="78" borderId="7" xfId="0" applyNumberFormat="1" applyFont="1" applyFill="1" applyBorder="1" applyAlignment="1" applyProtection="1">
      <alignment horizontal="left" vertical="center"/>
      <protection locked="0"/>
    </xf>
    <xf numFmtId="0" fontId="57" fillId="71" borderId="3" xfId="0" applyFont="1" applyFill="1" applyBorder="1" applyAlignment="1" applyProtection="1">
      <alignment horizontal="center" vertical="center"/>
      <protection locked="0"/>
    </xf>
    <xf numFmtId="0" fontId="14" fillId="72" borderId="5" xfId="0" applyFont="1" applyFill="1" applyBorder="1" applyAlignment="1" applyProtection="1">
      <alignment horizontal="center" vertical="center"/>
      <protection locked="0"/>
    </xf>
    <xf numFmtId="0" fontId="14" fillId="75" borderId="5" xfId="0" applyFont="1" applyFill="1" applyBorder="1" applyAlignment="1" applyProtection="1">
      <alignment horizontal="left" vertical="center" wrapText="1"/>
      <protection locked="0"/>
    </xf>
    <xf numFmtId="0" fontId="24" fillId="72" borderId="5" xfId="0" applyFont="1" applyFill="1" applyBorder="1" applyAlignment="1" applyProtection="1">
      <alignment horizontal="center" vertical="center"/>
      <protection locked="0"/>
    </xf>
    <xf numFmtId="0" fontId="14" fillId="75" borderId="5" xfId="0" applyFont="1" applyFill="1" applyBorder="1" applyAlignment="1" applyProtection="1">
      <alignment horizontal="left" vertical="center"/>
      <protection locked="0"/>
    </xf>
    <xf numFmtId="0" fontId="24" fillId="73" borderId="5" xfId="0" applyFont="1" applyFill="1" applyBorder="1" applyAlignment="1" applyProtection="1">
      <alignment horizontal="center" vertical="center"/>
      <protection locked="0"/>
    </xf>
    <xf numFmtId="0" fontId="24" fillId="75" borderId="5" xfId="0" applyFont="1" applyFill="1" applyBorder="1" applyAlignment="1" applyProtection="1">
      <alignment horizontal="center" vertical="center"/>
      <protection locked="0"/>
    </xf>
    <xf numFmtId="0" fontId="23" fillId="73" borderId="5" xfId="0" applyFont="1" applyFill="1" applyBorder="1" applyProtection="1">
      <alignment vertical="center"/>
      <protection locked="0"/>
    </xf>
    <xf numFmtId="0" fontId="24" fillId="75" borderId="5" xfId="0" applyFont="1" applyFill="1" applyBorder="1" applyAlignment="1" applyProtection="1">
      <alignment horizontal="left" vertical="center"/>
      <protection locked="0"/>
    </xf>
    <xf numFmtId="0" fontId="14" fillId="73" borderId="5" xfId="0" applyFont="1" applyFill="1" applyBorder="1" applyProtection="1">
      <alignment vertical="center"/>
      <protection locked="0"/>
    </xf>
    <xf numFmtId="0" fontId="24" fillId="75" borderId="5" xfId="0" applyFont="1" applyFill="1" applyBorder="1" applyProtection="1">
      <alignment vertical="center"/>
      <protection locked="0"/>
    </xf>
    <xf numFmtId="0" fontId="14" fillId="75" borderId="7" xfId="0" applyFont="1" applyFill="1" applyBorder="1" applyProtection="1">
      <alignment vertical="center"/>
      <protection locked="0"/>
    </xf>
    <xf numFmtId="0" fontId="1" fillId="75" borderId="5" xfId="0" applyFont="1" applyFill="1" applyBorder="1" applyAlignment="1" applyProtection="1">
      <alignment horizontal="center" vertical="center" wrapText="1"/>
      <protection locked="0"/>
    </xf>
    <xf numFmtId="0" fontId="1" fillId="75" borderId="7" xfId="0" applyFont="1" applyFill="1" applyBorder="1" applyAlignment="1" applyProtection="1">
      <alignment horizontal="center" vertical="center" wrapText="1"/>
      <protection locked="0"/>
    </xf>
    <xf numFmtId="0" fontId="24" fillId="71" borderId="161" xfId="0" applyFont="1" applyFill="1" applyBorder="1" applyAlignment="1">
      <alignment horizontal="center" vertical="center"/>
    </xf>
    <xf numFmtId="0" fontId="24" fillId="75" borderId="89" xfId="0" applyFont="1" applyFill="1" applyBorder="1" applyAlignment="1" applyProtection="1">
      <alignment horizontal="center" vertical="center"/>
      <protection locked="0"/>
    </xf>
    <xf numFmtId="191" fontId="24" fillId="75" borderId="197" xfId="0" applyNumberFormat="1" applyFont="1" applyFill="1" applyBorder="1" applyAlignment="1" applyProtection="1">
      <alignment horizontal="center" vertical="center"/>
      <protection locked="0"/>
    </xf>
    <xf numFmtId="191" fontId="24" fillId="75" borderId="5" xfId="0" applyNumberFormat="1" applyFont="1" applyFill="1" applyBorder="1" applyAlignment="1" applyProtection="1">
      <alignment horizontal="center" vertical="center"/>
      <protection locked="0"/>
    </xf>
    <xf numFmtId="0" fontId="24" fillId="75" borderId="102" xfId="0" applyFont="1" applyFill="1" applyBorder="1" applyAlignment="1" applyProtection="1">
      <alignment horizontal="center" vertical="center"/>
      <protection locked="0"/>
    </xf>
    <xf numFmtId="191" fontId="24" fillId="75" borderId="102" xfId="0" applyNumberFormat="1" applyFont="1" applyFill="1" applyBorder="1" applyAlignment="1" applyProtection="1">
      <alignment horizontal="center" vertical="center"/>
      <protection locked="0"/>
    </xf>
    <xf numFmtId="191" fontId="24" fillId="75" borderId="7" xfId="0" applyNumberFormat="1" applyFont="1" applyFill="1" applyBorder="1" applyAlignment="1" applyProtection="1">
      <alignment horizontal="center" vertical="center"/>
      <protection locked="0"/>
    </xf>
    <xf numFmtId="0" fontId="24" fillId="71" borderId="3" xfId="0" applyFont="1" applyFill="1" applyBorder="1" applyAlignment="1">
      <alignment horizontal="center" vertical="center"/>
    </xf>
    <xf numFmtId="49" fontId="24" fillId="72" borderId="5" xfId="0" applyNumberFormat="1" applyFont="1" applyFill="1" applyBorder="1" applyAlignment="1">
      <alignment horizontal="center" vertical="top" wrapText="1"/>
    </xf>
    <xf numFmtId="185" fontId="96" fillId="73" borderId="5" xfId="0" applyNumberFormat="1" applyFont="1" applyFill="1" applyBorder="1" applyAlignment="1" applyProtection="1">
      <alignment horizontal="center" vertical="center"/>
      <protection locked="0"/>
    </xf>
    <xf numFmtId="185" fontId="96" fillId="73" borderId="98" xfId="0" applyNumberFormat="1" applyFont="1" applyFill="1" applyBorder="1" applyAlignment="1" applyProtection="1">
      <alignment horizontal="center" vertical="center"/>
      <protection locked="0"/>
    </xf>
    <xf numFmtId="0" fontId="24" fillId="75" borderId="7" xfId="0" applyFont="1" applyFill="1" applyBorder="1" applyAlignment="1" applyProtection="1">
      <alignment horizontal="center" vertical="center"/>
      <protection locked="0"/>
    </xf>
    <xf numFmtId="0" fontId="24" fillId="78" borderId="0" xfId="0" applyFont="1" applyFill="1" applyAlignment="1">
      <alignment horizontal="center" vertical="center"/>
    </xf>
    <xf numFmtId="0" fontId="24" fillId="72" borderId="5" xfId="0" applyFont="1" applyFill="1" applyBorder="1" applyAlignment="1">
      <alignment horizontal="center" vertical="center"/>
    </xf>
    <xf numFmtId="185" fontId="24" fillId="77" borderId="87" xfId="0" applyNumberFormat="1" applyFont="1" applyFill="1" applyBorder="1" applyAlignment="1" applyProtection="1">
      <alignment horizontal="center" vertical="center"/>
      <protection locked="0"/>
    </xf>
    <xf numFmtId="185" fontId="24" fillId="73" borderId="98" xfId="0" applyNumberFormat="1" applyFont="1" applyFill="1" applyBorder="1" applyAlignment="1" applyProtection="1">
      <alignment horizontal="center" vertical="center"/>
      <protection locked="0"/>
    </xf>
    <xf numFmtId="0" fontId="103" fillId="0" borderId="0" xfId="0" applyFont="1" applyAlignment="1" applyProtection="1">
      <alignment vertical="center" wrapText="1"/>
      <protection locked="0"/>
    </xf>
    <xf numFmtId="0" fontId="144" fillId="77" borderId="2" xfId="0" applyFont="1" applyFill="1" applyBorder="1" applyAlignment="1">
      <alignment horizontal="center" vertical="center"/>
    </xf>
    <xf numFmtId="0" fontId="14" fillId="84" borderId="200" xfId="0" applyFont="1" applyFill="1" applyBorder="1" applyAlignment="1">
      <alignment horizontal="center" vertical="center" wrapText="1"/>
    </xf>
    <xf numFmtId="0" fontId="14" fillId="71" borderId="201" xfId="0" applyFont="1" applyFill="1" applyBorder="1" applyAlignment="1">
      <alignment horizontal="center" vertical="center" wrapText="1"/>
    </xf>
    <xf numFmtId="0" fontId="1" fillId="77" borderId="185" xfId="0" applyFont="1" applyFill="1" applyBorder="1" applyAlignment="1">
      <alignment horizontal="center" vertical="center" wrapText="1"/>
    </xf>
    <xf numFmtId="0" fontId="1" fillId="73" borderId="101" xfId="0" applyFont="1" applyFill="1" applyBorder="1" applyAlignment="1">
      <alignment horizontal="center" vertical="center" wrapText="1"/>
    </xf>
    <xf numFmtId="0" fontId="1" fillId="73" borderId="185" xfId="0" applyFont="1" applyFill="1" applyBorder="1" applyAlignment="1">
      <alignment horizontal="center" vertical="center" wrapText="1"/>
    </xf>
    <xf numFmtId="0" fontId="1" fillId="75" borderId="185" xfId="0" applyFont="1" applyFill="1" applyBorder="1" applyAlignment="1">
      <alignment horizontal="center" vertical="center" wrapText="1"/>
    </xf>
    <xf numFmtId="0" fontId="1" fillId="75" borderId="101" xfId="0" applyFont="1" applyFill="1" applyBorder="1" applyAlignment="1">
      <alignment horizontal="center" vertical="center" wrapText="1"/>
    </xf>
    <xf numFmtId="0" fontId="1" fillId="75" borderId="191" xfId="0" applyFont="1" applyFill="1" applyBorder="1" applyAlignment="1">
      <alignment horizontal="center" vertical="center" wrapText="1"/>
    </xf>
    <xf numFmtId="0" fontId="1" fillId="75" borderId="192" xfId="0" applyFont="1" applyFill="1" applyBorder="1" applyAlignment="1">
      <alignment horizontal="center" vertical="center" wrapText="1"/>
    </xf>
    <xf numFmtId="0" fontId="103" fillId="0" borderId="0" xfId="0" applyFont="1" applyProtection="1">
      <alignment vertical="center"/>
      <protection locked="0"/>
    </xf>
    <xf numFmtId="0" fontId="14" fillId="84" borderId="201" xfId="0" applyFont="1" applyFill="1" applyBorder="1" applyAlignment="1">
      <alignment horizontal="center" vertical="center" wrapText="1"/>
    </xf>
    <xf numFmtId="0" fontId="1" fillId="77" borderId="101" xfId="0" applyFont="1" applyFill="1" applyBorder="1" applyAlignment="1">
      <alignment horizontal="center" vertical="center" wrapText="1"/>
    </xf>
    <xf numFmtId="0" fontId="11" fillId="77" borderId="101" xfId="0" applyFont="1" applyFill="1" applyBorder="1" applyAlignment="1">
      <alignment horizontal="center" vertical="center" wrapText="1"/>
    </xf>
    <xf numFmtId="0" fontId="11" fillId="73" borderId="101" xfId="0" applyFont="1" applyFill="1" applyBorder="1" applyAlignment="1">
      <alignment horizontal="center" vertical="center" wrapText="1"/>
    </xf>
    <xf numFmtId="0" fontId="11" fillId="75" borderId="101" xfId="0" applyFont="1" applyFill="1" applyBorder="1" applyAlignment="1">
      <alignment horizontal="center" vertical="center" wrapText="1"/>
    </xf>
    <xf numFmtId="0" fontId="24" fillId="77" borderId="101" xfId="0" applyFont="1" applyFill="1" applyBorder="1" applyAlignment="1">
      <alignment horizontal="left" vertical="center" wrapText="1"/>
    </xf>
    <xf numFmtId="0" fontId="24" fillId="73" borderId="101" xfId="0" applyFont="1" applyFill="1" applyBorder="1" applyAlignment="1">
      <alignment horizontal="left" vertical="center" wrapText="1"/>
    </xf>
    <xf numFmtId="0" fontId="14" fillId="84" borderId="202" xfId="0" applyFont="1" applyFill="1" applyBorder="1" applyAlignment="1">
      <alignment horizontal="center" vertical="center" wrapText="1"/>
    </xf>
    <xf numFmtId="0" fontId="14" fillId="71" borderId="8" xfId="0" applyFont="1" applyFill="1" applyBorder="1" applyAlignment="1">
      <alignment horizontal="center" vertical="center" wrapText="1"/>
    </xf>
    <xf numFmtId="0" fontId="157" fillId="77" borderId="88" xfId="0" applyFont="1" applyFill="1" applyBorder="1" applyAlignment="1">
      <alignment horizontal="left" vertical="center" wrapText="1"/>
    </xf>
    <xf numFmtId="0" fontId="24" fillId="73" borderId="85" xfId="0" applyFont="1" applyFill="1" applyBorder="1" applyAlignment="1">
      <alignment horizontal="left" vertical="center" wrapText="1"/>
    </xf>
    <xf numFmtId="0" fontId="24" fillId="73" borderId="82" xfId="0" applyFont="1" applyFill="1" applyBorder="1" applyAlignment="1">
      <alignment horizontal="left" vertical="center" wrapText="1"/>
    </xf>
    <xf numFmtId="0" fontId="24" fillId="73" borderId="0" xfId="0" applyFont="1" applyFill="1" applyAlignment="1">
      <alignment horizontal="left" vertical="center" wrapText="1"/>
    </xf>
    <xf numFmtId="0" fontId="24" fillId="73" borderId="89" xfId="0" applyFont="1" applyFill="1" applyBorder="1" applyAlignment="1">
      <alignment horizontal="left" vertical="center" wrapText="1"/>
    </xf>
    <xf numFmtId="0" fontId="24" fillId="73" borderId="87" xfId="0" applyFont="1" applyFill="1" applyBorder="1" applyAlignment="1">
      <alignment horizontal="left" vertical="center" wrapText="1"/>
    </xf>
    <xf numFmtId="0" fontId="14" fillId="75" borderId="101" xfId="0" applyFont="1" applyFill="1" applyBorder="1" applyAlignment="1">
      <alignment horizontal="left" vertical="center" wrapText="1"/>
    </xf>
    <xf numFmtId="0" fontId="24" fillId="75" borderId="101" xfId="0" applyFont="1" applyFill="1" applyBorder="1" applyAlignment="1">
      <alignment horizontal="left" vertical="center" wrapText="1"/>
    </xf>
    <xf numFmtId="0" fontId="24" fillId="75" borderId="192" xfId="0" applyFont="1" applyFill="1" applyBorder="1" applyAlignment="1">
      <alignment horizontal="left" vertical="center" wrapText="1"/>
    </xf>
    <xf numFmtId="0" fontId="24" fillId="73" borderId="162" xfId="0" applyFont="1" applyFill="1" applyBorder="1" applyAlignment="1">
      <alignment horizontal="left" vertical="center" wrapText="1"/>
    </xf>
    <xf numFmtId="0" fontId="158" fillId="77" borderId="88" xfId="0" applyFont="1" applyFill="1" applyBorder="1" applyAlignment="1">
      <alignment horizontal="left" vertical="center" wrapText="1"/>
    </xf>
    <xf numFmtId="0" fontId="96" fillId="73" borderId="85" xfId="0" applyFont="1" applyFill="1" applyBorder="1" applyAlignment="1">
      <alignment horizontal="left" vertical="center" wrapText="1"/>
    </xf>
    <xf numFmtId="0" fontId="24" fillId="73" borderId="94" xfId="0" applyFont="1" applyFill="1" applyBorder="1" applyAlignment="1">
      <alignment horizontal="left" vertical="center" wrapText="1"/>
    </xf>
    <xf numFmtId="0" fontId="96" fillId="73" borderId="82" xfId="0" applyFont="1" applyFill="1" applyBorder="1" applyAlignment="1">
      <alignment horizontal="left" vertical="center" wrapText="1"/>
    </xf>
    <xf numFmtId="0" fontId="96" fillId="73" borderId="0" xfId="0" applyFont="1" applyFill="1" applyAlignment="1">
      <alignment horizontal="left" vertical="center" wrapText="1"/>
    </xf>
    <xf numFmtId="0" fontId="24" fillId="73" borderId="145" xfId="0" applyFont="1" applyFill="1" applyBorder="1" applyAlignment="1">
      <alignment horizontal="left" vertical="center" wrapText="1"/>
    </xf>
    <xf numFmtId="0" fontId="96" fillId="73" borderId="89" xfId="0" applyFont="1" applyFill="1" applyBorder="1" applyAlignment="1">
      <alignment horizontal="left" vertical="center" wrapText="1"/>
    </xf>
    <xf numFmtId="0" fontId="96" fillId="73" borderId="87" xfId="0" applyFont="1" applyFill="1" applyBorder="1" applyAlignment="1">
      <alignment horizontal="left" vertical="center" wrapText="1"/>
    </xf>
    <xf numFmtId="0" fontId="14" fillId="71" borderId="203" xfId="0" applyFont="1" applyFill="1" applyBorder="1" applyAlignment="1">
      <alignment horizontal="center" vertical="center" wrapText="1"/>
    </xf>
    <xf numFmtId="0" fontId="96" fillId="73" borderId="162" xfId="0" applyFont="1" applyFill="1" applyBorder="1" applyAlignment="1">
      <alignment horizontal="left" vertical="center" wrapText="1"/>
    </xf>
    <xf numFmtId="0" fontId="96" fillId="73" borderId="94" xfId="0" applyFont="1" applyFill="1" applyBorder="1" applyAlignment="1">
      <alignment horizontal="left" vertical="center" wrapText="1"/>
    </xf>
    <xf numFmtId="0" fontId="96" fillId="73" borderId="145" xfId="0" applyFont="1" applyFill="1" applyBorder="1" applyAlignment="1">
      <alignment horizontal="left" vertical="center" wrapText="1"/>
    </xf>
    <xf numFmtId="0" fontId="24" fillId="75" borderId="101" xfId="0" applyFont="1" applyFill="1" applyBorder="1" applyAlignment="1">
      <alignment horizontal="left" vertical="top" wrapText="1"/>
    </xf>
    <xf numFmtId="0" fontId="14" fillId="71" borderId="3" xfId="0" applyFont="1" applyFill="1" applyBorder="1" applyAlignment="1">
      <alignment horizontal="center" vertical="center" wrapText="1"/>
    </xf>
    <xf numFmtId="0" fontId="128" fillId="0" borderId="0" xfId="0" applyFont="1" applyAlignment="1">
      <alignment vertical="center" wrapText="1"/>
    </xf>
    <xf numFmtId="0" fontId="24" fillId="73" borderId="19" xfId="0" applyFont="1" applyFill="1" applyBorder="1" applyAlignment="1">
      <alignment horizontal="left" vertical="center" wrapText="1"/>
    </xf>
    <xf numFmtId="0" fontId="24" fillId="75" borderId="19" xfId="0" applyFont="1" applyFill="1" applyBorder="1" applyAlignment="1">
      <alignment horizontal="left" vertical="top" wrapText="1"/>
    </xf>
    <xf numFmtId="0" fontId="24" fillId="75" borderId="19" xfId="0" applyFont="1" applyFill="1" applyBorder="1" applyAlignment="1">
      <alignment horizontal="left" vertical="center" wrapText="1"/>
    </xf>
    <xf numFmtId="0" fontId="24" fillId="75" borderId="153" xfId="0" applyFont="1" applyFill="1" applyBorder="1" applyAlignment="1">
      <alignment horizontal="left" vertical="center" wrapText="1"/>
    </xf>
    <xf numFmtId="0" fontId="159" fillId="0" borderId="0" xfId="0" applyFont="1" applyAlignment="1">
      <alignment horizontal="center" vertical="center" wrapText="1"/>
    </xf>
    <xf numFmtId="0" fontId="160" fillId="0" borderId="0" xfId="0" applyFont="1" applyAlignment="1">
      <alignment horizontal="center" vertical="center" wrapText="1"/>
    </xf>
    <xf numFmtId="0" fontId="161" fillId="84" borderId="200" xfId="0" applyFont="1" applyFill="1" applyBorder="1" applyAlignment="1">
      <alignment horizontal="center" vertical="center" wrapText="1"/>
    </xf>
    <xf numFmtId="0" fontId="161" fillId="84" borderId="201" xfId="0" applyFont="1" applyFill="1" applyBorder="1" applyAlignment="1">
      <alignment horizontal="center" vertical="center" wrapText="1"/>
    </xf>
    <xf numFmtId="0" fontId="159" fillId="75" borderId="185" xfId="0" applyFont="1" applyFill="1" applyBorder="1" applyAlignment="1">
      <alignment horizontal="center" vertical="center" wrapText="1"/>
    </xf>
    <xf numFmtId="0" fontId="159" fillId="75" borderId="101" xfId="0" applyFont="1" applyFill="1" applyBorder="1" applyAlignment="1">
      <alignment horizontal="center" vertical="center" wrapText="1"/>
    </xf>
    <xf numFmtId="0" fontId="159" fillId="77" borderId="185" xfId="0" applyFont="1" applyFill="1" applyBorder="1" applyAlignment="1">
      <alignment horizontal="center" vertical="center" wrapText="1"/>
    </xf>
    <xf numFmtId="0" fontId="159" fillId="73" borderId="101" xfId="0" applyFont="1" applyFill="1" applyBorder="1" applyAlignment="1">
      <alignment horizontal="center" vertical="center" wrapText="1"/>
    </xf>
    <xf numFmtId="0" fontId="159" fillId="77" borderId="185" xfId="0" applyFont="1" applyFill="1" applyBorder="1" applyAlignment="1">
      <alignment horizontal="center" vertical="center"/>
    </xf>
    <xf numFmtId="0" fontId="159" fillId="73" borderId="101" xfId="0" applyFont="1" applyFill="1" applyBorder="1" applyAlignment="1">
      <alignment horizontal="center" vertical="center"/>
    </xf>
    <xf numFmtId="0" fontId="159" fillId="77" borderId="191" xfId="0" applyFont="1" applyFill="1" applyBorder="1" applyAlignment="1">
      <alignment horizontal="center" vertical="center" wrapText="1"/>
    </xf>
    <xf numFmtId="0" fontId="159" fillId="73" borderId="192" xfId="0" applyFont="1" applyFill="1" applyBorder="1" applyAlignment="1">
      <alignment horizontal="center" vertical="center" wrapText="1"/>
    </xf>
    <xf numFmtId="0" fontId="162" fillId="0" borderId="0" xfId="0" applyFont="1" applyAlignment="1">
      <alignment horizontal="right" wrapText="1"/>
    </xf>
    <xf numFmtId="0" fontId="159" fillId="77" borderId="123" xfId="0" applyFont="1" applyFill="1" applyBorder="1" applyAlignment="1">
      <alignment horizontal="center" vertical="center" wrapText="1"/>
    </xf>
    <xf numFmtId="0" fontId="159" fillId="73" borderId="124" xfId="0" applyFont="1" applyFill="1" applyBorder="1" applyAlignment="1">
      <alignment horizontal="center" vertical="center" wrapText="1"/>
    </xf>
    <xf numFmtId="0" fontId="159" fillId="73" borderId="204" xfId="0" applyFont="1" applyFill="1" applyBorder="1" applyAlignment="1">
      <alignment horizontal="center" vertical="center" wrapText="1"/>
    </xf>
    <xf numFmtId="0" fontId="159" fillId="73" borderId="9" xfId="0" applyFont="1" applyFill="1" applyBorder="1" applyAlignment="1">
      <alignment horizontal="center" vertical="center" wrapText="1"/>
    </xf>
    <xf numFmtId="0" fontId="163" fillId="77" borderId="138" xfId="0" applyFont="1" applyFill="1" applyBorder="1" applyAlignment="1">
      <alignment horizontal="center" vertical="center" wrapText="1"/>
    </xf>
    <xf numFmtId="0" fontId="164" fillId="73" borderId="139" xfId="0" applyFont="1" applyFill="1" applyBorder="1" applyAlignment="1">
      <alignment horizontal="center" vertical="center" wrapText="1"/>
    </xf>
    <xf numFmtId="0" fontId="164" fillId="77" borderId="139" xfId="0" applyFont="1" applyFill="1" applyBorder="1" applyAlignment="1" applyProtection="1">
      <alignment horizontal="center" vertical="center" wrapText="1"/>
      <protection locked="0"/>
    </xf>
    <xf numFmtId="0" fontId="164" fillId="77" borderId="0" xfId="0" applyFont="1" applyFill="1" applyAlignment="1" applyProtection="1">
      <alignment horizontal="left" vertical="center" wrapText="1"/>
      <protection locked="0"/>
    </xf>
    <xf numFmtId="0" fontId="164" fillId="73" borderId="0" xfId="0" applyFont="1" applyFill="1" applyAlignment="1" applyProtection="1">
      <alignment horizontal="left" vertical="center" wrapText="1"/>
      <protection locked="0"/>
    </xf>
    <xf numFmtId="0" fontId="165" fillId="0" borderId="0" xfId="0" applyFont="1" applyAlignment="1">
      <alignment vertical="top" textRotation="255" wrapText="1"/>
    </xf>
    <xf numFmtId="0" fontId="161" fillId="84" borderId="205" xfId="0" applyFont="1" applyFill="1" applyBorder="1" applyAlignment="1">
      <alignment horizontal="center" vertical="center" wrapText="1"/>
    </xf>
    <xf numFmtId="0" fontId="161" fillId="85" borderId="206" xfId="0" applyFont="1" applyFill="1" applyBorder="1" applyAlignment="1">
      <alignment horizontal="center" vertical="center" wrapText="1"/>
    </xf>
    <xf numFmtId="0" fontId="166" fillId="78" borderId="207" xfId="0" applyFont="1" applyFill="1" applyBorder="1" applyAlignment="1">
      <alignment horizontal="center" vertical="center" wrapText="1"/>
    </xf>
    <xf numFmtId="0" fontId="166" fillId="86" borderId="208" xfId="0" applyFont="1" applyFill="1" applyBorder="1" applyAlignment="1">
      <alignment horizontal="center" vertical="center" wrapText="1"/>
    </xf>
    <xf numFmtId="0" fontId="159" fillId="78" borderId="208" xfId="0" applyFont="1" applyFill="1" applyBorder="1" applyAlignment="1">
      <alignment horizontal="center" vertical="center" wrapText="1"/>
    </xf>
    <xf numFmtId="49" fontId="159" fillId="75" borderId="207" xfId="0" applyNumberFormat="1" applyFont="1" applyFill="1" applyBorder="1" applyAlignment="1" applyProtection="1">
      <alignment horizontal="center" vertical="center" wrapText="1"/>
      <protection locked="0" hidden="1"/>
    </xf>
    <xf numFmtId="49" fontId="159" fillId="75" borderId="208" xfId="0" applyNumberFormat="1" applyFont="1" applyFill="1" applyBorder="1" applyAlignment="1" applyProtection="1">
      <alignment horizontal="center" vertical="center" wrapText="1"/>
      <protection locked="0" hidden="1"/>
    </xf>
    <xf numFmtId="0" fontId="161" fillId="84" borderId="208" xfId="0" applyFont="1" applyFill="1" applyBorder="1" applyAlignment="1">
      <alignment horizontal="center" vertical="center" wrapText="1"/>
    </xf>
    <xf numFmtId="49" fontId="159" fillId="77" borderId="207" xfId="0" applyNumberFormat="1" applyFont="1" applyFill="1" applyBorder="1" applyAlignment="1" applyProtection="1">
      <alignment horizontal="center" vertical="center" wrapText="1"/>
      <protection locked="0" hidden="1"/>
    </xf>
    <xf numFmtId="49" fontId="159" fillId="73" borderId="208" xfId="0" applyNumberFormat="1" applyFont="1" applyFill="1" applyBorder="1" applyAlignment="1" applyProtection="1">
      <alignment horizontal="center" vertical="center" wrapText="1"/>
      <protection locked="0" hidden="1"/>
    </xf>
    <xf numFmtId="49" fontId="159" fillId="75" borderId="207" xfId="0" applyNumberFormat="1" applyFont="1" applyFill="1" applyBorder="1" applyAlignment="1" applyProtection="1">
      <alignment horizontal="center" vertical="center" wrapText="1"/>
      <protection hidden="1"/>
    </xf>
    <xf numFmtId="49" fontId="159" fillId="75" borderId="208" xfId="0" applyNumberFormat="1" applyFont="1" applyFill="1" applyBorder="1" applyAlignment="1" applyProtection="1">
      <alignment horizontal="center" vertical="center" wrapText="1"/>
      <protection hidden="1"/>
    </xf>
    <xf numFmtId="49" fontId="159" fillId="77" borderId="207" xfId="0" applyNumberFormat="1" applyFont="1" applyFill="1" applyBorder="1" applyAlignment="1" applyProtection="1">
      <alignment horizontal="center" vertical="center" wrapText="1"/>
      <protection hidden="1"/>
    </xf>
    <xf numFmtId="49" fontId="159" fillId="73" borderId="208" xfId="0" applyNumberFormat="1" applyFont="1" applyFill="1" applyBorder="1" applyAlignment="1" applyProtection="1">
      <alignment horizontal="center" vertical="center" wrapText="1"/>
      <protection hidden="1"/>
    </xf>
    <xf numFmtId="49" fontId="159" fillId="77" borderId="209" xfId="0" applyNumberFormat="1" applyFont="1" applyFill="1" applyBorder="1" applyAlignment="1" applyProtection="1">
      <alignment horizontal="center" vertical="center" wrapText="1"/>
      <protection locked="0" hidden="1"/>
    </xf>
    <xf numFmtId="49" fontId="159" fillId="73" borderId="210" xfId="0" applyNumberFormat="1" applyFont="1" applyFill="1" applyBorder="1" applyAlignment="1" applyProtection="1">
      <alignment horizontal="center" vertical="center" wrapText="1"/>
      <protection locked="0" hidden="1"/>
    </xf>
    <xf numFmtId="0" fontId="161" fillId="84" borderId="210" xfId="0" applyFont="1" applyFill="1" applyBorder="1" applyAlignment="1">
      <alignment horizontal="center" vertical="center" wrapText="1"/>
    </xf>
    <xf numFmtId="0" fontId="162" fillId="0" borderId="0" xfId="0" applyFont="1" applyAlignment="1">
      <alignment horizontal="left" vertical="top" wrapText="1"/>
    </xf>
    <xf numFmtId="0" fontId="161" fillId="84" borderId="211" xfId="0" applyFont="1" applyFill="1" applyBorder="1" applyAlignment="1">
      <alignment horizontal="center" vertical="center" wrapText="1"/>
    </xf>
    <xf numFmtId="0" fontId="161" fillId="85" borderId="212" xfId="0" applyFont="1" applyFill="1" applyBorder="1" applyAlignment="1">
      <alignment horizontal="center" vertical="center" wrapText="1"/>
    </xf>
    <xf numFmtId="0" fontId="166" fillId="78" borderId="213" xfId="0" applyFont="1" applyFill="1" applyBorder="1" applyAlignment="1">
      <alignment horizontal="center" vertical="center" wrapText="1"/>
    </xf>
    <xf numFmtId="0" fontId="166" fillId="86" borderId="214" xfId="0" applyFont="1" applyFill="1" applyBorder="1" applyAlignment="1">
      <alignment horizontal="center" vertical="center" wrapText="1"/>
    </xf>
    <xf numFmtId="0" fontId="166" fillId="77" borderId="213" xfId="0" applyFont="1" applyFill="1" applyBorder="1" applyAlignment="1">
      <alignment horizontal="center" vertical="center" wrapText="1"/>
    </xf>
    <xf numFmtId="0" fontId="166" fillId="73" borderId="214" xfId="0" applyFont="1" applyFill="1" applyBorder="1" applyAlignment="1">
      <alignment horizontal="center" vertical="center" wrapText="1"/>
    </xf>
    <xf numFmtId="0" fontId="167" fillId="75" borderId="213" xfId="0" applyFont="1" applyFill="1" applyBorder="1" applyAlignment="1" applyProtection="1">
      <alignment horizontal="left" vertical="center" wrapText="1"/>
      <protection locked="0"/>
    </xf>
    <xf numFmtId="0" fontId="167" fillId="75" borderId="214" xfId="0" applyFont="1" applyFill="1" applyBorder="1" applyAlignment="1" applyProtection="1">
      <alignment horizontal="left" vertical="center" wrapText="1"/>
      <protection locked="0"/>
    </xf>
    <xf numFmtId="0" fontId="166" fillId="77" borderId="213" xfId="0" applyFont="1" applyFill="1" applyBorder="1" applyAlignment="1" applyProtection="1">
      <alignment horizontal="left" vertical="center" wrapText="1"/>
      <protection locked="0"/>
    </xf>
    <xf numFmtId="0" fontId="166" fillId="73" borderId="214" xfId="0" applyFont="1" applyFill="1" applyBorder="1" applyAlignment="1" applyProtection="1">
      <alignment horizontal="left" vertical="center" wrapText="1"/>
      <protection locked="0"/>
    </xf>
    <xf numFmtId="0" fontId="166" fillId="75" borderId="213" xfId="0" applyFont="1" applyFill="1" applyBorder="1" applyAlignment="1" applyProtection="1">
      <alignment horizontal="left" vertical="center" wrapText="1"/>
      <protection locked="0"/>
    </xf>
    <xf numFmtId="0" fontId="166" fillId="75" borderId="214" xfId="0" applyFont="1" applyFill="1" applyBorder="1" applyAlignment="1" applyProtection="1">
      <alignment horizontal="left" vertical="center" wrapText="1"/>
      <protection locked="0"/>
    </xf>
    <xf numFmtId="0" fontId="166" fillId="75" borderId="215" xfId="0" applyFont="1" applyFill="1" applyBorder="1" applyAlignment="1" applyProtection="1">
      <alignment horizontal="left" vertical="center" wrapText="1"/>
      <protection locked="0"/>
    </xf>
    <xf numFmtId="0" fontId="166" fillId="75" borderId="216" xfId="0" applyFont="1" applyFill="1" applyBorder="1" applyAlignment="1" applyProtection="1">
      <alignment horizontal="left" vertical="center" wrapText="1"/>
      <protection locked="0"/>
    </xf>
    <xf numFmtId="0" fontId="159" fillId="0" borderId="0" xfId="0" applyFont="1" applyAlignment="1">
      <alignment vertical="center" wrapText="1"/>
    </xf>
    <xf numFmtId="0" fontId="161" fillId="84" borderId="217" xfId="0" applyFont="1" applyFill="1" applyBorder="1" applyAlignment="1">
      <alignment horizontal="center" vertical="center" wrapText="1"/>
    </xf>
    <xf numFmtId="0" fontId="161" fillId="85" borderId="218" xfId="0" applyFont="1" applyFill="1" applyBorder="1" applyAlignment="1">
      <alignment horizontal="center" vertical="center" wrapText="1"/>
    </xf>
    <xf numFmtId="0" fontId="166" fillId="78" borderId="219" xfId="0" applyFont="1" applyFill="1" applyBorder="1" applyAlignment="1">
      <alignment horizontal="center" vertical="center" wrapText="1"/>
    </xf>
    <xf numFmtId="0" fontId="166" fillId="86" borderId="220" xfId="0" applyFont="1" applyFill="1" applyBorder="1" applyAlignment="1">
      <alignment horizontal="center" vertical="center" wrapText="1"/>
    </xf>
    <xf numFmtId="0" fontId="166" fillId="77" borderId="219" xfId="0" applyFont="1" applyFill="1" applyBorder="1" applyAlignment="1">
      <alignment horizontal="center" vertical="center" wrapText="1"/>
    </xf>
    <xf numFmtId="0" fontId="166" fillId="73" borderId="220" xfId="0" applyFont="1" applyFill="1" applyBorder="1" applyAlignment="1">
      <alignment horizontal="center" vertical="center" wrapText="1"/>
    </xf>
    <xf numFmtId="0" fontId="166" fillId="75" borderId="219" xfId="0" applyFont="1" applyFill="1" applyBorder="1" applyAlignment="1">
      <alignment horizontal="left" vertical="top" wrapText="1"/>
    </xf>
    <xf numFmtId="0" fontId="166" fillId="75" borderId="220" xfId="0" applyFont="1" applyFill="1" applyBorder="1" applyAlignment="1">
      <alignment horizontal="left" vertical="top" wrapText="1"/>
    </xf>
    <xf numFmtId="0" fontId="159" fillId="75" borderId="101" xfId="0" applyFont="1" applyFill="1" applyBorder="1" applyAlignment="1" applyProtection="1">
      <alignment horizontal="center" vertical="center" wrapText="1"/>
      <protection locked="0"/>
    </xf>
    <xf numFmtId="0" fontId="168" fillId="77" borderId="101" xfId="0" applyFont="1" applyFill="1" applyBorder="1" applyAlignment="1" applyProtection="1">
      <alignment horizontal="center" vertical="center" wrapText="1"/>
      <protection locked="0"/>
    </xf>
    <xf numFmtId="0" fontId="159" fillId="77" borderId="101" xfId="0" applyFont="1" applyFill="1" applyBorder="1" applyAlignment="1" applyProtection="1">
      <alignment horizontal="center" vertical="center" wrapText="1"/>
      <protection locked="0"/>
    </xf>
    <xf numFmtId="0" fontId="159" fillId="73" borderId="101" xfId="0" applyFont="1" applyFill="1" applyBorder="1" applyAlignment="1" applyProtection="1">
      <alignment horizontal="center" vertical="center" wrapText="1"/>
      <protection locked="0"/>
    </xf>
    <xf numFmtId="0" fontId="159" fillId="77" borderId="192" xfId="0" applyFont="1" applyFill="1" applyBorder="1" applyAlignment="1" applyProtection="1">
      <alignment horizontal="right" vertical="center" wrapText="1"/>
      <protection locked="0"/>
    </xf>
    <xf numFmtId="0" fontId="159" fillId="73" borderId="151" xfId="0" applyFont="1" applyFill="1" applyBorder="1" applyAlignment="1" applyProtection="1">
      <alignment horizontal="right" vertical="center" wrapText="1"/>
      <protection locked="0"/>
    </xf>
    <xf numFmtId="192" fontId="159" fillId="77" borderId="221" xfId="0" applyNumberFormat="1" applyFont="1" applyFill="1" applyBorder="1" applyAlignment="1" applyProtection="1">
      <alignment horizontal="left" vertical="center" wrapText="1"/>
      <protection locked="0"/>
    </xf>
    <xf numFmtId="192" fontId="159" fillId="73" borderId="192" xfId="0" applyNumberFormat="1" applyFont="1" applyFill="1" applyBorder="1" applyAlignment="1" applyProtection="1">
      <alignment horizontal="left" vertical="center" wrapText="1"/>
      <protection locked="0"/>
    </xf>
    <xf numFmtId="185" fontId="162" fillId="0" borderId="0" xfId="0" applyNumberFormat="1" applyFont="1" applyAlignment="1">
      <alignment horizontal="left" wrapText="1"/>
    </xf>
    <xf numFmtId="1" fontId="159" fillId="77" borderId="124" xfId="0" applyNumberFormat="1" applyFont="1" applyFill="1" applyBorder="1" applyAlignment="1" applyProtection="1">
      <alignment horizontal="right" vertical="center" wrapText="1"/>
      <protection locked="0"/>
    </xf>
    <xf numFmtId="1" fontId="159" fillId="73" borderId="124" xfId="0" applyNumberFormat="1" applyFont="1" applyFill="1" applyBorder="1" applyAlignment="1" applyProtection="1">
      <alignment horizontal="right" vertical="center" wrapText="1"/>
      <protection locked="0"/>
    </xf>
    <xf numFmtId="193" fontId="159" fillId="77" borderId="124" xfId="0" applyNumberFormat="1" applyFont="1" applyFill="1" applyBorder="1" applyAlignment="1" applyProtection="1">
      <alignment horizontal="left" vertical="center" wrapText="1"/>
      <protection locked="0"/>
    </xf>
    <xf numFmtId="193" fontId="159" fillId="73" borderId="124" xfId="0" applyNumberFormat="1" applyFont="1" applyFill="1" applyBorder="1" applyAlignment="1" applyProtection="1">
      <alignment horizontal="left" vertical="center" wrapText="1"/>
      <protection locked="0"/>
    </xf>
    <xf numFmtId="1" fontId="159" fillId="73" borderId="9" xfId="0" applyNumberFormat="1" applyFont="1" applyFill="1" applyBorder="1" applyAlignment="1" applyProtection="1">
      <alignment horizontal="right" vertical="center" wrapText="1"/>
      <protection locked="0"/>
    </xf>
    <xf numFmtId="193" fontId="159" fillId="73" borderId="9" xfId="0" applyNumberFormat="1" applyFont="1" applyFill="1" applyBorder="1" applyAlignment="1" applyProtection="1">
      <alignment horizontal="left" vertical="center" wrapText="1"/>
      <protection locked="0"/>
    </xf>
    <xf numFmtId="0" fontId="164" fillId="73" borderId="222" xfId="0" applyFont="1" applyFill="1" applyBorder="1" applyAlignment="1" applyProtection="1">
      <alignment horizontal="center" vertical="center" wrapText="1"/>
      <protection locked="0"/>
    </xf>
    <xf numFmtId="0" fontId="164" fillId="77" borderId="139" xfId="0" applyFont="1" applyFill="1" applyBorder="1" applyAlignment="1">
      <alignment horizontal="center" vertical="center"/>
    </xf>
    <xf numFmtId="0" fontId="164" fillId="73" borderId="139" xfId="0" applyFont="1" applyFill="1" applyBorder="1" applyAlignment="1">
      <alignment horizontal="center" vertical="center"/>
    </xf>
    <xf numFmtId="0" fontId="159" fillId="86" borderId="208" xfId="0" applyFont="1" applyFill="1" applyBorder="1" applyAlignment="1">
      <alignment horizontal="center" vertical="center" wrapText="1"/>
    </xf>
    <xf numFmtId="0" fontId="161" fillId="85" borderId="208" xfId="0" applyFont="1" applyFill="1" applyBorder="1" applyAlignment="1">
      <alignment horizontal="center" vertical="center" wrapText="1"/>
    </xf>
    <xf numFmtId="0" fontId="159" fillId="75" borderId="208" xfId="0" applyFont="1" applyFill="1" applyBorder="1" applyAlignment="1" applyProtection="1">
      <alignment horizontal="center" vertical="center" wrapText="1"/>
      <protection locked="0" hidden="1"/>
    </xf>
    <xf numFmtId="0" fontId="159" fillId="77" borderId="208" xfId="0" applyFont="1" applyFill="1" applyBorder="1" applyAlignment="1" applyProtection="1">
      <alignment horizontal="center" vertical="center" wrapText="1"/>
      <protection locked="0" hidden="1"/>
    </xf>
    <xf numFmtId="0" fontId="159" fillId="73" borderId="208" xfId="0" applyFont="1" applyFill="1" applyBorder="1" applyAlignment="1" applyProtection="1">
      <alignment horizontal="center" vertical="center" wrapText="1"/>
      <protection locked="0" hidden="1"/>
    </xf>
    <xf numFmtId="0" fontId="159" fillId="75" borderId="208" xfId="0" applyFont="1" applyFill="1" applyBorder="1" applyAlignment="1" applyProtection="1">
      <alignment horizontal="right" vertical="center" wrapText="1"/>
      <protection locked="0" hidden="1"/>
    </xf>
    <xf numFmtId="49" fontId="159" fillId="75" borderId="208" xfId="0" applyNumberFormat="1" applyFont="1" applyFill="1" applyBorder="1" applyAlignment="1" applyProtection="1">
      <alignment vertical="center" wrapText="1"/>
      <protection locked="0" hidden="1"/>
    </xf>
    <xf numFmtId="0" fontId="159" fillId="77" borderId="208" xfId="0" applyFont="1" applyFill="1" applyBorder="1" applyAlignment="1" applyProtection="1">
      <alignment horizontal="right" vertical="center" wrapText="1"/>
      <protection locked="0" hidden="1"/>
    </xf>
    <xf numFmtId="0" fontId="159" fillId="73" borderId="208" xfId="0" applyFont="1" applyFill="1" applyBorder="1" applyAlignment="1" applyProtection="1">
      <alignment horizontal="right" vertical="center" wrapText="1"/>
      <protection locked="0" hidden="1"/>
    </xf>
    <xf numFmtId="183" fontId="159" fillId="77" borderId="208" xfId="0" applyNumberFormat="1" applyFont="1" applyFill="1" applyBorder="1" applyAlignment="1" applyProtection="1">
      <alignment vertical="center" wrapText="1"/>
      <protection locked="0" hidden="1"/>
    </xf>
    <xf numFmtId="0" fontId="159" fillId="75" borderId="208" xfId="0" applyFont="1" applyFill="1" applyBorder="1" applyAlignment="1" applyProtection="1">
      <alignment vertical="center" wrapText="1"/>
      <protection locked="0" hidden="1"/>
    </xf>
    <xf numFmtId="0" fontId="159" fillId="77" borderId="208" xfId="0" applyFont="1" applyFill="1" applyBorder="1" applyAlignment="1" applyProtection="1">
      <alignment vertical="center" wrapText="1"/>
      <protection locked="0" hidden="1"/>
    </xf>
    <xf numFmtId="0" fontId="161" fillId="85" borderId="210" xfId="0" applyFont="1" applyFill="1" applyBorder="1" applyAlignment="1">
      <alignment horizontal="center" vertical="center" wrapText="1"/>
    </xf>
    <xf numFmtId="0" fontId="159" fillId="77" borderId="210" xfId="0" applyFont="1" applyFill="1" applyBorder="1" applyAlignment="1" applyProtection="1">
      <alignment horizontal="right" vertical="center" wrapText="1"/>
      <protection locked="0" hidden="1"/>
    </xf>
    <xf numFmtId="0" fontId="159" fillId="73" borderId="210" xfId="0" applyFont="1" applyFill="1" applyBorder="1" applyAlignment="1" applyProtection="1">
      <alignment horizontal="right" vertical="center" wrapText="1"/>
      <protection locked="0" hidden="1"/>
    </xf>
    <xf numFmtId="0" fontId="159" fillId="77" borderId="210" xfId="0" applyFont="1" applyFill="1" applyBorder="1" applyAlignment="1" applyProtection="1">
      <alignment vertical="center" wrapText="1"/>
      <protection locked="0" hidden="1"/>
    </xf>
    <xf numFmtId="0" fontId="166" fillId="78" borderId="214" xfId="0" applyFont="1" applyFill="1" applyBorder="1" applyAlignment="1">
      <alignment horizontal="center" vertical="center" wrapText="1"/>
    </xf>
    <xf numFmtId="0" fontId="166" fillId="77" borderId="214" xfId="0" applyFont="1" applyFill="1" applyBorder="1" applyAlignment="1">
      <alignment horizontal="center" vertical="center" wrapText="1"/>
    </xf>
    <xf numFmtId="0" fontId="166" fillId="77" borderId="214" xfId="0" applyFont="1" applyFill="1" applyBorder="1" applyAlignment="1" applyProtection="1">
      <alignment horizontal="left" vertical="center" wrapText="1"/>
      <protection locked="0"/>
    </xf>
    <xf numFmtId="0" fontId="166" fillId="78" borderId="220" xfId="0" applyFont="1" applyFill="1" applyBorder="1" applyAlignment="1">
      <alignment horizontal="center" vertical="center" wrapText="1"/>
    </xf>
    <xf numFmtId="0" fontId="166" fillId="77" borderId="220" xfId="0" applyFont="1" applyFill="1" applyBorder="1" applyAlignment="1">
      <alignment horizontal="center" vertical="center" wrapText="1"/>
    </xf>
    <xf numFmtId="0" fontId="159" fillId="77" borderId="101" xfId="0" applyFont="1" applyFill="1" applyBorder="1" applyAlignment="1">
      <alignment horizontal="center" vertical="center" wrapText="1"/>
    </xf>
    <xf numFmtId="0" fontId="159" fillId="77" borderId="221" xfId="0" applyFont="1" applyFill="1" applyBorder="1" applyAlignment="1" applyProtection="1">
      <alignment horizontal="left" vertical="center" wrapText="1"/>
      <protection locked="0"/>
    </xf>
    <xf numFmtId="194" fontId="162" fillId="0" borderId="0" xfId="0" applyNumberFormat="1" applyFont="1" applyAlignment="1">
      <alignment horizontal="center" vertical="center" wrapText="1"/>
    </xf>
    <xf numFmtId="193" fontId="169" fillId="77" borderId="223" xfId="0" applyNumberFormat="1" applyFont="1" applyFill="1" applyBorder="1" applyAlignment="1">
      <alignment horizontal="center" vertical="center" wrapText="1"/>
    </xf>
    <xf numFmtId="193" fontId="169" fillId="73" borderId="124" xfId="0" applyNumberFormat="1" applyFont="1" applyFill="1" applyBorder="1" applyAlignment="1">
      <alignment horizontal="center" vertical="center" wrapText="1"/>
    </xf>
    <xf numFmtId="0" fontId="159" fillId="78" borderId="123" xfId="0" applyFont="1" applyFill="1" applyBorder="1" applyAlignment="1">
      <alignment horizontal="center" vertical="center" wrapText="1"/>
    </xf>
    <xf numFmtId="0" fontId="159" fillId="78" borderId="124" xfId="0" applyFont="1" applyFill="1" applyBorder="1" applyAlignment="1">
      <alignment horizontal="center" vertical="center" wrapText="1"/>
    </xf>
    <xf numFmtId="0" fontId="170" fillId="77" borderId="102" xfId="0" applyFont="1" applyFill="1" applyBorder="1" applyAlignment="1" applyProtection="1">
      <alignment horizontal="center" vertical="center" wrapText="1"/>
      <protection locked="0"/>
    </xf>
    <xf numFmtId="0" fontId="170" fillId="73" borderId="9" xfId="0" applyFont="1" applyFill="1" applyBorder="1" applyAlignment="1" applyProtection="1">
      <alignment horizontal="center" vertical="center" wrapText="1"/>
      <protection locked="0"/>
    </xf>
    <xf numFmtId="0" fontId="159" fillId="78" borderId="204" xfId="0" applyFont="1" applyFill="1" applyBorder="1" applyAlignment="1">
      <alignment horizontal="center" vertical="center" wrapText="1"/>
    </xf>
    <xf numFmtId="0" fontId="159" fillId="78" borderId="9" xfId="0" applyFont="1" applyFill="1" applyBorder="1" applyAlignment="1">
      <alignment horizontal="center" vertical="center" wrapText="1"/>
    </xf>
    <xf numFmtId="0" fontId="169" fillId="77" borderId="139" xfId="0" applyFont="1" applyFill="1" applyBorder="1" applyAlignment="1" applyProtection="1">
      <alignment horizontal="center" vertical="center" wrapText="1"/>
      <protection locked="0"/>
    </xf>
    <xf numFmtId="0" fontId="169" fillId="73" borderId="139" xfId="0" applyFont="1" applyFill="1" applyBorder="1" applyAlignment="1" applyProtection="1">
      <alignment horizontal="center" vertical="center" wrapText="1"/>
      <protection locked="0"/>
    </xf>
    <xf numFmtId="193" fontId="164" fillId="78" borderId="138" xfId="0" applyNumberFormat="1" applyFont="1" applyFill="1" applyBorder="1" applyAlignment="1">
      <alignment horizontal="center" vertical="center" wrapText="1"/>
    </xf>
    <xf numFmtId="193" fontId="164" fillId="86" borderId="139" xfId="0" applyNumberFormat="1" applyFont="1" applyFill="1" applyBorder="1" applyAlignment="1">
      <alignment horizontal="center" vertical="center" wrapText="1"/>
    </xf>
    <xf numFmtId="0" fontId="171" fillId="0" borderId="0" xfId="0" applyFont="1" applyAlignment="1">
      <alignment horizontal="center" vertical="center" wrapText="1"/>
    </xf>
    <xf numFmtId="0" fontId="171" fillId="0" borderId="0" xfId="0" applyFont="1" applyFill="1" applyAlignment="1">
      <alignment horizontal="center" vertical="center" wrapText="1"/>
    </xf>
    <xf numFmtId="0" fontId="172" fillId="78" borderId="208" xfId="0" applyFont="1" applyFill="1" applyBorder="1" applyAlignment="1">
      <alignment horizontal="center" vertical="center"/>
    </xf>
    <xf numFmtId="0" fontId="159" fillId="75" borderId="208" xfId="0" applyFont="1" applyFill="1" applyBorder="1" applyAlignment="1">
      <alignment horizontal="center" vertical="center" wrapText="1"/>
    </xf>
    <xf numFmtId="0" fontId="159" fillId="75" borderId="208" xfId="0" applyFont="1" applyFill="1" applyBorder="1" applyAlignment="1" applyProtection="1">
      <alignment horizontal="center" vertical="center" wrapText="1"/>
      <protection locked="0"/>
    </xf>
    <xf numFmtId="0" fontId="159" fillId="77" borderId="208" xfId="0" applyFont="1" applyFill="1" applyBorder="1" applyAlignment="1">
      <alignment horizontal="center" vertical="center" wrapText="1"/>
    </xf>
    <xf numFmtId="0" fontId="159" fillId="73" borderId="208" xfId="0" applyFont="1" applyFill="1" applyBorder="1" applyAlignment="1">
      <alignment horizontal="center" vertical="center" wrapText="1"/>
    </xf>
    <xf numFmtId="0" fontId="159" fillId="77" borderId="208" xfId="0" applyFont="1" applyFill="1" applyBorder="1" applyAlignment="1" applyProtection="1">
      <alignment horizontal="center" vertical="center" wrapText="1"/>
      <protection locked="0"/>
    </xf>
    <xf numFmtId="183" fontId="159" fillId="73" borderId="208" xfId="0" applyNumberFormat="1" applyFont="1" applyFill="1" applyBorder="1" applyAlignment="1" applyProtection="1">
      <alignment vertical="center" wrapText="1"/>
      <protection locked="0" hidden="1"/>
    </xf>
    <xf numFmtId="0" fontId="159" fillId="73" borderId="208" xfId="0" applyFont="1" applyFill="1" applyBorder="1" applyAlignment="1" applyProtection="1">
      <alignment vertical="center" wrapText="1"/>
      <protection locked="0" hidden="1"/>
    </xf>
    <xf numFmtId="0" fontId="169" fillId="75" borderId="208" xfId="0" applyFont="1" applyFill="1" applyBorder="1" applyAlignment="1">
      <alignment horizontal="center" vertical="center" wrapText="1"/>
    </xf>
    <xf numFmtId="0" fontId="159" fillId="73" borderId="210" xfId="0" applyFont="1" applyFill="1" applyBorder="1" applyAlignment="1" applyProtection="1">
      <alignment vertical="center" wrapText="1"/>
      <protection locked="0" hidden="1"/>
    </xf>
    <xf numFmtId="0" fontId="159" fillId="77" borderId="210" xfId="0" applyFont="1" applyFill="1" applyBorder="1" applyAlignment="1">
      <alignment horizontal="center" vertical="center" wrapText="1"/>
    </xf>
    <xf numFmtId="0" fontId="159" fillId="73" borderId="210" xfId="0" applyFont="1" applyFill="1" applyBorder="1" applyAlignment="1">
      <alignment horizontal="center" vertical="center" wrapText="1"/>
    </xf>
    <xf numFmtId="0" fontId="159" fillId="77" borderId="210" xfId="0" applyFont="1" applyFill="1" applyBorder="1" applyAlignment="1" applyProtection="1">
      <alignment horizontal="center" vertical="center" wrapText="1"/>
      <protection locked="0"/>
    </xf>
    <xf numFmtId="0" fontId="166" fillId="77" borderId="220" xfId="0" applyFont="1" applyFill="1" applyBorder="1" applyAlignment="1" applyProtection="1">
      <alignment horizontal="center" vertical="center" wrapText="1"/>
      <protection locked="0"/>
    </xf>
    <xf numFmtId="0" fontId="166" fillId="73" borderId="220" xfId="0" applyFont="1" applyFill="1" applyBorder="1" applyAlignment="1" applyProtection="1">
      <alignment horizontal="center" vertical="center" wrapText="1"/>
      <protection locked="0"/>
    </xf>
    <xf numFmtId="0" fontId="173" fillId="75" borderId="220" xfId="0" applyFont="1" applyFill="1" applyBorder="1" applyAlignment="1" applyProtection="1">
      <alignment horizontal="left" vertical="top" wrapText="1"/>
      <protection locked="0"/>
    </xf>
    <xf numFmtId="0" fontId="159" fillId="73" borderId="192" xfId="0" applyFont="1" applyFill="1" applyBorder="1" applyAlignment="1" applyProtection="1">
      <alignment horizontal="left" vertical="center" wrapText="1"/>
      <protection locked="0"/>
    </xf>
    <xf numFmtId="49" fontId="159" fillId="77" borderId="192" xfId="0" applyNumberFormat="1" applyFont="1" applyFill="1" applyBorder="1" applyAlignment="1" applyProtection="1">
      <alignment horizontal="center" vertical="center" wrapText="1"/>
      <protection locked="0"/>
    </xf>
    <xf numFmtId="49" fontId="159" fillId="73" borderId="192" xfId="0" applyNumberFormat="1" applyFont="1" applyFill="1" applyBorder="1" applyAlignment="1" applyProtection="1">
      <alignment horizontal="center" vertical="center" wrapText="1"/>
      <protection locked="0"/>
    </xf>
    <xf numFmtId="0" fontId="159" fillId="78" borderId="124" xfId="0" applyFont="1" applyFill="1" applyBorder="1" applyAlignment="1" applyProtection="1">
      <alignment horizontal="right" vertical="center" wrapText="1"/>
      <protection locked="0"/>
    </xf>
    <xf numFmtId="0" fontId="159" fillId="74" borderId="124" xfId="0" applyFont="1" applyFill="1" applyBorder="1" applyAlignment="1" applyProtection="1">
      <alignment horizontal="right" vertical="center" wrapText="1"/>
      <protection locked="0"/>
    </xf>
    <xf numFmtId="193" fontId="159" fillId="78" borderId="124" xfId="0" applyNumberFormat="1" applyFont="1" applyFill="1" applyBorder="1" applyAlignment="1" applyProtection="1">
      <alignment horizontal="left" vertical="center" wrapText="1"/>
      <protection locked="0"/>
    </xf>
    <xf numFmtId="0" fontId="159" fillId="74" borderId="9" xfId="0" applyFont="1" applyFill="1" applyBorder="1" applyAlignment="1" applyProtection="1">
      <alignment horizontal="right" vertical="center" wrapText="1"/>
      <protection locked="0"/>
    </xf>
    <xf numFmtId="193" fontId="159" fillId="86" borderId="9" xfId="0" applyNumberFormat="1" applyFont="1" applyFill="1" applyBorder="1" applyAlignment="1" applyProtection="1">
      <alignment horizontal="left" vertical="center" wrapText="1"/>
      <protection locked="0"/>
    </xf>
    <xf numFmtId="0" fontId="169" fillId="78" borderId="139" xfId="0" applyFont="1" applyFill="1" applyBorder="1" applyAlignment="1" applyProtection="1">
      <alignment horizontal="center" vertical="center" wrapText="1"/>
      <protection locked="0"/>
    </xf>
    <xf numFmtId="0" fontId="169" fillId="86" borderId="139" xfId="0" applyFont="1" applyFill="1" applyBorder="1" applyAlignment="1" applyProtection="1">
      <alignment horizontal="center" vertical="center" wrapText="1"/>
      <protection locked="0"/>
    </xf>
    <xf numFmtId="0" fontId="164" fillId="78" borderId="224" xfId="0" applyFont="1" applyFill="1" applyBorder="1" applyAlignment="1">
      <alignment horizontal="center" vertical="center" wrapText="1"/>
    </xf>
    <xf numFmtId="0" fontId="172" fillId="86" borderId="208" xfId="0" applyFont="1" applyFill="1" applyBorder="1" applyAlignment="1">
      <alignment horizontal="center" vertical="center"/>
    </xf>
    <xf numFmtId="0" fontId="159" fillId="73" borderId="208" xfId="0" applyFont="1" applyFill="1" applyBorder="1" applyAlignment="1" applyProtection="1">
      <alignment horizontal="center" vertical="center" wrapText="1"/>
      <protection locked="0"/>
    </xf>
    <xf numFmtId="0" fontId="159" fillId="73" borderId="210" xfId="0" applyFont="1" applyFill="1" applyBorder="1" applyAlignment="1" applyProtection="1">
      <alignment horizontal="center" vertical="center" wrapText="1"/>
      <protection locked="0"/>
    </xf>
    <xf numFmtId="0" fontId="167" fillId="75" borderId="214" xfId="0" applyFont="1" applyFill="1" applyBorder="1" applyAlignment="1" applyProtection="1">
      <alignment horizontal="center" vertical="center" wrapText="1"/>
      <protection locked="0"/>
    </xf>
    <xf numFmtId="0" fontId="166" fillId="77" borderId="214" xfId="0" applyFont="1" applyFill="1" applyBorder="1" applyAlignment="1" applyProtection="1">
      <alignment horizontal="center" vertical="center" wrapText="1"/>
      <protection locked="0"/>
    </xf>
    <xf numFmtId="0" fontId="166" fillId="73" borderId="214" xfId="0" applyFont="1" applyFill="1" applyBorder="1" applyAlignment="1" applyProtection="1">
      <alignment horizontal="center" vertical="center" wrapText="1"/>
      <protection locked="0"/>
    </xf>
    <xf numFmtId="0" fontId="166" fillId="75" borderId="214" xfId="0" applyFont="1" applyFill="1" applyBorder="1" applyAlignment="1" applyProtection="1">
      <alignment horizontal="center" vertical="center" wrapText="1"/>
      <protection locked="0"/>
    </xf>
    <xf numFmtId="0" fontId="166" fillId="75" borderId="216" xfId="0" applyFont="1" applyFill="1" applyBorder="1" applyAlignment="1" applyProtection="1">
      <alignment horizontal="center" vertical="center" wrapText="1"/>
      <protection locked="0"/>
    </xf>
    <xf numFmtId="0" fontId="161" fillId="84" borderId="15" xfId="0" applyFont="1" applyFill="1" applyBorder="1" applyAlignment="1">
      <alignment horizontal="center" vertical="center" wrapText="1"/>
    </xf>
    <xf numFmtId="0" fontId="174" fillId="84" borderId="225" xfId="0" applyFont="1" applyFill="1" applyBorder="1" applyAlignment="1">
      <alignment horizontal="center" vertical="center" wrapText="1"/>
    </xf>
    <xf numFmtId="0" fontId="174" fillId="85" borderId="226" xfId="0" applyFont="1" applyFill="1" applyBorder="1" applyAlignment="1">
      <alignment horizontal="center" vertical="center" wrapText="1"/>
    </xf>
    <xf numFmtId="0" fontId="159" fillId="75" borderId="19" xfId="0" applyFont="1" applyFill="1" applyBorder="1" applyAlignment="1" applyProtection="1">
      <alignment horizontal="center" vertical="center" wrapText="1"/>
      <protection locked="0"/>
    </xf>
    <xf numFmtId="0" fontId="159" fillId="77" borderId="227" xfId="0" applyFont="1" applyFill="1" applyBorder="1" applyAlignment="1">
      <alignment horizontal="center" vertical="center" wrapText="1"/>
    </xf>
    <xf numFmtId="0" fontId="159" fillId="73" borderId="197" xfId="0" applyFont="1" applyFill="1" applyBorder="1" applyAlignment="1">
      <alignment horizontal="center" vertical="center" wrapText="1"/>
    </xf>
    <xf numFmtId="0" fontId="159" fillId="73" borderId="19" xfId="0" applyFont="1" applyFill="1" applyBorder="1" applyAlignment="1" applyProtection="1">
      <alignment horizontal="center" vertical="center" wrapText="1"/>
      <protection locked="0"/>
    </xf>
    <xf numFmtId="0" fontId="159" fillId="73" borderId="228" xfId="0" applyFont="1" applyFill="1" applyBorder="1" applyAlignment="1">
      <alignment horizontal="center" vertical="center" wrapText="1"/>
    </xf>
    <xf numFmtId="0" fontId="159" fillId="75" borderId="228" xfId="0" applyFont="1" applyFill="1" applyBorder="1" applyAlignment="1">
      <alignment horizontal="center" vertical="center" wrapText="1"/>
    </xf>
    <xf numFmtId="0" fontId="159" fillId="77" borderId="228" xfId="0" applyFont="1" applyFill="1" applyBorder="1" applyAlignment="1">
      <alignment horizontal="center" vertical="center" wrapText="1"/>
    </xf>
    <xf numFmtId="49" fontId="159" fillId="73" borderId="153" xfId="0" applyNumberFormat="1" applyFont="1" applyFill="1" applyBorder="1" applyAlignment="1" applyProtection="1">
      <alignment horizontal="center" vertical="center" wrapText="1"/>
      <protection locked="0"/>
    </xf>
    <xf numFmtId="0" fontId="159" fillId="73" borderId="229" xfId="0" applyFont="1" applyFill="1" applyBorder="1" applyAlignment="1">
      <alignment horizontal="center" vertical="center" wrapText="1"/>
    </xf>
    <xf numFmtId="0" fontId="159" fillId="73" borderId="230" xfId="0" applyFont="1" applyFill="1" applyBorder="1" applyAlignment="1">
      <alignment horizontal="center" vertical="center" wrapText="1"/>
    </xf>
    <xf numFmtId="0" fontId="159" fillId="0" borderId="0" xfId="0" applyFont="1" applyBorder="1" applyAlignment="1">
      <alignment horizontal="center" vertical="center" wrapText="1"/>
    </xf>
    <xf numFmtId="195" fontId="162" fillId="0" borderId="0" xfId="0" applyNumberFormat="1" applyFont="1" applyBorder="1" applyAlignment="1">
      <alignment horizontal="center" vertical="center" wrapText="1"/>
    </xf>
    <xf numFmtId="193" fontId="159" fillId="86" borderId="124" xfId="0" applyNumberFormat="1" applyFont="1" applyFill="1" applyBorder="1" applyAlignment="1" applyProtection="1">
      <alignment horizontal="left" vertical="center" wrapText="1"/>
      <protection locked="0"/>
    </xf>
    <xf numFmtId="193" fontId="169" fillId="78" borderId="223" xfId="0" applyNumberFormat="1" applyFont="1" applyFill="1" applyBorder="1" applyAlignment="1">
      <alignment horizontal="center" vertical="center" wrapText="1"/>
    </xf>
    <xf numFmtId="193" fontId="169" fillId="86" borderId="129" xfId="0" applyNumberFormat="1" applyFont="1" applyFill="1" applyBorder="1" applyAlignment="1">
      <alignment horizontal="center" vertical="center" wrapText="1"/>
    </xf>
    <xf numFmtId="0" fontId="170" fillId="78" borderId="102" xfId="0" applyFont="1" applyFill="1" applyBorder="1" applyAlignment="1" applyProtection="1">
      <alignment horizontal="center" vertical="center" wrapText="1"/>
      <protection locked="0"/>
    </xf>
    <xf numFmtId="0" fontId="170" fillId="86" borderId="231" xfId="0" applyFont="1" applyFill="1" applyBorder="1" applyAlignment="1" applyProtection="1">
      <alignment horizontal="center" vertical="center" wrapText="1"/>
      <protection locked="0"/>
    </xf>
    <xf numFmtId="0" fontId="164" fillId="86" borderId="139" xfId="0" applyFont="1" applyFill="1" applyBorder="1" applyAlignment="1">
      <alignment horizontal="center" vertical="center" wrapText="1"/>
    </xf>
    <xf numFmtId="0" fontId="164" fillId="78" borderId="139" xfId="0" applyFont="1" applyFill="1" applyBorder="1" applyAlignment="1" applyProtection="1">
      <alignment horizontal="center" vertical="center" wrapText="1"/>
      <protection locked="0"/>
    </xf>
    <xf numFmtId="0" fontId="164" fillId="86" borderId="143" xfId="0" applyFont="1" applyFill="1" applyBorder="1" applyAlignment="1" applyProtection="1">
      <alignment horizontal="center" vertical="center" wrapText="1"/>
      <protection locked="0"/>
    </xf>
    <xf numFmtId="0" fontId="164" fillId="77" borderId="138" xfId="0" applyFont="1" applyFill="1" applyBorder="1" applyAlignment="1">
      <alignment horizontal="center" vertical="center" wrapText="1"/>
    </xf>
    <xf numFmtId="183" fontId="159" fillId="75" borderId="208" xfId="0" applyNumberFormat="1" applyFont="1" applyFill="1" applyBorder="1" applyAlignment="1">
      <alignment horizontal="center" vertical="center" wrapText="1"/>
    </xf>
    <xf numFmtId="183" fontId="159" fillId="77" borderId="208" xfId="0" applyNumberFormat="1" applyFont="1" applyFill="1" applyBorder="1" applyAlignment="1">
      <alignment horizontal="center" vertical="center" wrapText="1"/>
    </xf>
    <xf numFmtId="183" fontId="159" fillId="73" borderId="208" xfId="0" applyNumberFormat="1" applyFont="1" applyFill="1" applyBorder="1" applyAlignment="1">
      <alignment horizontal="center" vertical="center" wrapText="1"/>
    </xf>
    <xf numFmtId="183" fontId="159" fillId="77" borderId="210" xfId="0" applyNumberFormat="1" applyFont="1" applyFill="1" applyBorder="1" applyAlignment="1">
      <alignment horizontal="center" vertical="center" wrapText="1"/>
    </xf>
    <xf numFmtId="183" fontId="159" fillId="73" borderId="210" xfId="0" applyNumberFormat="1" applyFont="1" applyFill="1" applyBorder="1" applyAlignment="1">
      <alignment horizontal="center" vertical="center" wrapText="1"/>
    </xf>
    <xf numFmtId="183" fontId="166" fillId="77" borderId="214" xfId="0" applyNumberFormat="1" applyFont="1" applyFill="1" applyBorder="1" applyAlignment="1">
      <alignment horizontal="center" vertical="center" wrapText="1"/>
    </xf>
    <xf numFmtId="183" fontId="166" fillId="73" borderId="214" xfId="0" applyNumberFormat="1" applyFont="1" applyFill="1" applyBorder="1" applyAlignment="1">
      <alignment horizontal="center" vertical="center" wrapText="1"/>
    </xf>
    <xf numFmtId="0" fontId="166" fillId="77" borderId="214" xfId="0" applyFont="1" applyFill="1" applyBorder="1" applyAlignment="1" applyProtection="1">
      <alignment horizontal="center" vertical="center" wrapText="1"/>
      <protection locked="0" hidden="1"/>
    </xf>
    <xf numFmtId="0" fontId="166" fillId="73" borderId="214" xfId="0" applyFont="1" applyFill="1" applyBorder="1" applyAlignment="1" applyProtection="1">
      <alignment horizontal="center" vertical="center" wrapText="1"/>
      <protection locked="0" hidden="1"/>
    </xf>
    <xf numFmtId="0" fontId="166" fillId="75" borderId="216" xfId="0" applyFont="1" applyFill="1" applyBorder="1" applyAlignment="1" applyProtection="1">
      <alignment horizontal="center" vertical="center" wrapText="1"/>
      <protection locked="0" hidden="1"/>
    </xf>
    <xf numFmtId="185" fontId="174" fillId="84" borderId="226" xfId="0" applyNumberFormat="1" applyFont="1" applyFill="1" applyBorder="1" applyAlignment="1">
      <alignment horizontal="center" vertical="center" wrapText="1"/>
    </xf>
    <xf numFmtId="185" fontId="174" fillId="85" borderId="226" xfId="0" applyNumberFormat="1" applyFont="1" applyFill="1" applyBorder="1" applyAlignment="1">
      <alignment horizontal="center" vertical="center" wrapText="1"/>
    </xf>
    <xf numFmtId="0" fontId="159" fillId="77" borderId="197" xfId="0" applyFont="1" applyFill="1" applyBorder="1" applyAlignment="1" applyProtection="1">
      <alignment horizontal="center" vertical="center" wrapText="1"/>
      <protection locked="0"/>
    </xf>
    <xf numFmtId="0" fontId="159" fillId="73" borderId="197" xfId="0" applyFont="1" applyFill="1" applyBorder="1" applyAlignment="1" applyProtection="1">
      <alignment horizontal="center" vertical="center" wrapText="1"/>
      <protection locked="0"/>
    </xf>
    <xf numFmtId="0" fontId="159" fillId="77" borderId="197" xfId="0" applyFont="1" applyFill="1" applyBorder="1" applyAlignment="1">
      <alignment horizontal="center" vertical="center" wrapText="1"/>
    </xf>
    <xf numFmtId="0" fontId="159" fillId="73" borderId="230" xfId="0" applyFont="1" applyFill="1" applyBorder="1" applyAlignment="1" applyProtection="1">
      <alignment horizontal="center" vertical="center" wrapText="1"/>
      <protection locked="0"/>
    </xf>
    <xf numFmtId="0" fontId="159" fillId="77" borderId="230" xfId="0" applyFont="1" applyFill="1" applyBorder="1" applyAlignment="1">
      <alignment horizontal="center" vertical="center" wrapText="1"/>
    </xf>
    <xf numFmtId="0" fontId="159" fillId="77" borderId="124" xfId="0" applyFont="1" applyFill="1" applyBorder="1" applyAlignment="1" applyProtection="1">
      <alignment horizontal="right" vertical="center" wrapText="1"/>
      <protection locked="0"/>
    </xf>
    <xf numFmtId="0" fontId="159" fillId="73" borderId="124" xfId="0" applyFont="1" applyFill="1" applyBorder="1" applyAlignment="1" applyProtection="1">
      <alignment horizontal="right" vertical="center" wrapText="1"/>
      <protection locked="0"/>
    </xf>
    <xf numFmtId="0" fontId="159" fillId="73" borderId="9" xfId="0" applyFont="1" applyFill="1" applyBorder="1" applyAlignment="1" applyProtection="1">
      <alignment horizontal="right" vertical="center" wrapText="1"/>
      <protection locked="0"/>
    </xf>
    <xf numFmtId="0" fontId="166" fillId="78" borderId="208" xfId="0" applyFont="1" applyFill="1" applyBorder="1" applyAlignment="1">
      <alignment horizontal="center" vertical="center" wrapText="1"/>
    </xf>
    <xf numFmtId="0" fontId="159" fillId="77" borderId="210" xfId="0" applyFont="1" applyFill="1" applyBorder="1" applyAlignment="1" applyProtection="1">
      <alignment horizontal="center" vertical="center" wrapText="1"/>
      <protection locked="0" hidden="1"/>
    </xf>
    <xf numFmtId="0" fontId="161" fillId="85" borderId="232" xfId="0" applyFont="1" applyFill="1" applyBorder="1" applyAlignment="1">
      <alignment horizontal="center" vertical="center" wrapText="1"/>
    </xf>
    <xf numFmtId="0" fontId="166" fillId="86" borderId="233" xfId="0" applyFont="1" applyFill="1" applyBorder="1" applyAlignment="1">
      <alignment horizontal="center" vertical="center" wrapText="1"/>
    </xf>
    <xf numFmtId="0" fontId="159" fillId="77" borderId="219" xfId="0" applyFont="1" applyFill="1" applyBorder="1" applyAlignment="1">
      <alignment horizontal="center" vertical="center" wrapText="1"/>
    </xf>
    <xf numFmtId="0" fontId="159" fillId="73" borderId="220" xfId="0" applyFont="1" applyFill="1" applyBorder="1" applyAlignment="1">
      <alignment horizontal="center" vertical="center" wrapText="1"/>
    </xf>
    <xf numFmtId="0" fontId="166" fillId="73" borderId="233" xfId="0" applyFont="1" applyFill="1" applyBorder="1" applyAlignment="1" applyProtection="1">
      <alignment horizontal="center" vertical="center" wrapText="1"/>
      <protection locked="0"/>
    </xf>
    <xf numFmtId="0" fontId="159" fillId="73" borderId="219" xfId="0" applyFont="1" applyFill="1" applyBorder="1" applyAlignment="1">
      <alignment horizontal="center" vertical="center" wrapText="1"/>
    </xf>
    <xf numFmtId="0" fontId="173" fillId="75" borderId="233" xfId="0" applyFont="1" applyFill="1" applyBorder="1" applyAlignment="1" applyProtection="1">
      <alignment horizontal="left" vertical="top" wrapText="1"/>
      <protection locked="0"/>
    </xf>
    <xf numFmtId="0" fontId="159" fillId="75" borderId="219" xfId="0" applyFont="1" applyFill="1" applyBorder="1" applyAlignment="1">
      <alignment horizontal="center" vertical="center" wrapText="1"/>
    </xf>
    <xf numFmtId="0" fontId="159" fillId="75" borderId="220" xfId="0" applyFont="1" applyFill="1" applyBorder="1" applyAlignment="1">
      <alignment horizontal="center" vertical="center" wrapText="1"/>
    </xf>
    <xf numFmtId="0" fontId="175" fillId="84" borderId="226" xfId="0" applyFont="1" applyFill="1" applyBorder="1" applyAlignment="1">
      <alignment horizontal="center" vertical="center" wrapText="1"/>
    </xf>
    <xf numFmtId="0" fontId="175" fillId="85" borderId="226" xfId="0" applyFont="1" applyFill="1" applyBorder="1" applyAlignment="1">
      <alignment horizontal="center" vertical="center" wrapText="1"/>
    </xf>
    <xf numFmtId="0" fontId="159" fillId="75" borderId="197" xfId="0" applyFont="1" applyFill="1" applyBorder="1" applyAlignment="1">
      <alignment horizontal="center" vertical="center" wrapText="1"/>
    </xf>
    <xf numFmtId="0" fontId="159" fillId="75" borderId="197" xfId="0" applyFont="1" applyFill="1" applyBorder="1" applyAlignment="1" applyProtection="1">
      <alignment horizontal="center" vertical="center" wrapText="1"/>
      <protection locked="0"/>
    </xf>
    <xf numFmtId="0" fontId="159" fillId="75" borderId="230" xfId="0" applyFont="1" applyFill="1" applyBorder="1" applyAlignment="1">
      <alignment horizontal="center" vertical="center" wrapText="1"/>
    </xf>
    <xf numFmtId="0" fontId="159" fillId="75" borderId="230" xfId="0" applyFont="1" applyFill="1" applyBorder="1" applyAlignment="1" applyProtection="1">
      <alignment horizontal="center" vertical="center" wrapText="1"/>
      <protection locked="0"/>
    </xf>
    <xf numFmtId="195" fontId="162" fillId="0" borderId="0" xfId="0" applyNumberFormat="1" applyFont="1" applyAlignment="1">
      <alignment horizontal="center" vertical="center" wrapText="1"/>
    </xf>
    <xf numFmtId="188" fontId="159" fillId="77" borderId="124" xfId="0" applyNumberFormat="1" applyFont="1" applyFill="1" applyBorder="1" applyAlignment="1" applyProtection="1">
      <alignment horizontal="left" vertical="center" wrapText="1"/>
      <protection locked="0"/>
    </xf>
    <xf numFmtId="188" fontId="159" fillId="73" borderId="234" xfId="0" applyNumberFormat="1" applyFont="1" applyFill="1" applyBorder="1" applyAlignment="1" applyProtection="1">
      <alignment horizontal="left" vertical="center" wrapText="1"/>
      <protection locked="0"/>
    </xf>
    <xf numFmtId="0" fontId="176" fillId="77" borderId="124" xfId="0" applyFont="1" applyFill="1" applyBorder="1" applyAlignment="1">
      <alignment vertical="center" wrapText="1"/>
    </xf>
    <xf numFmtId="0" fontId="176" fillId="73" borderId="235" xfId="0" applyFont="1" applyFill="1" applyBorder="1" applyAlignment="1">
      <alignment vertical="center" wrapText="1"/>
    </xf>
    <xf numFmtId="188" fontId="159" fillId="73" borderId="9" xfId="0" applyNumberFormat="1" applyFont="1" applyFill="1" applyBorder="1" applyAlignment="1" applyProtection="1">
      <alignment horizontal="left" vertical="center" wrapText="1"/>
      <protection locked="0"/>
    </xf>
    <xf numFmtId="188" fontId="159" fillId="73" borderId="100" xfId="0" applyNumberFormat="1" applyFont="1" applyFill="1" applyBorder="1" applyAlignment="1" applyProtection="1">
      <alignment horizontal="left" vertical="center" wrapText="1"/>
      <protection locked="0"/>
    </xf>
    <xf numFmtId="0" fontId="177" fillId="77" borderId="9" xfId="0" applyFont="1" applyFill="1" applyBorder="1" applyAlignment="1" applyProtection="1">
      <alignment horizontal="center" vertical="center" wrapText="1"/>
      <protection locked="0"/>
    </xf>
    <xf numFmtId="0" fontId="177" fillId="73" borderId="236" xfId="0" applyFont="1" applyFill="1" applyBorder="1" applyAlignment="1" applyProtection="1">
      <alignment horizontal="center" vertical="center" wrapText="1"/>
      <protection locked="0"/>
    </xf>
    <xf numFmtId="0" fontId="164" fillId="73" borderId="139" xfId="0" applyFont="1" applyFill="1" applyBorder="1" applyAlignment="1" applyProtection="1">
      <alignment horizontal="center" vertical="center" wrapText="1"/>
      <protection locked="0"/>
    </xf>
    <xf numFmtId="0" fontId="164" fillId="73" borderId="237" xfId="0" applyFont="1" applyFill="1" applyBorder="1" applyAlignment="1" applyProtection="1">
      <alignment horizontal="center" vertical="center" wrapText="1"/>
      <protection locked="0"/>
    </xf>
    <xf numFmtId="0" fontId="159" fillId="75" borderId="238" xfId="0" applyFont="1" applyFill="1" applyBorder="1" applyAlignment="1" applyProtection="1">
      <alignment horizontal="center" vertical="center" wrapText="1"/>
      <protection locked="0"/>
    </xf>
    <xf numFmtId="0" fontId="178" fillId="77" borderId="208" xfId="0" applyFont="1" applyFill="1" applyBorder="1" applyAlignment="1" applyProtection="1">
      <alignment horizontal="center" vertical="center" wrapText="1"/>
      <protection locked="0" hidden="1"/>
    </xf>
    <xf numFmtId="0" fontId="178" fillId="75" borderId="208" xfId="0" applyFont="1" applyFill="1" applyBorder="1" applyAlignment="1" applyProtection="1">
      <alignment horizontal="center" vertical="center" wrapText="1"/>
      <protection locked="0" hidden="1"/>
    </xf>
    <xf numFmtId="0" fontId="178" fillId="77" borderId="208" xfId="0" applyFont="1" applyFill="1" applyBorder="1" applyAlignment="1" applyProtection="1">
      <alignment horizontal="right" vertical="center" wrapText="1"/>
      <protection locked="0" hidden="1"/>
    </xf>
    <xf numFmtId="0" fontId="178" fillId="75" borderId="208" xfId="0" applyFont="1" applyFill="1" applyBorder="1" applyAlignment="1" applyProtection="1">
      <alignment horizontal="center" vertical="center" wrapText="1"/>
      <protection locked="0"/>
    </xf>
    <xf numFmtId="0" fontId="159" fillId="73" borderId="210" xfId="0" applyFont="1" applyFill="1" applyBorder="1" applyAlignment="1" applyProtection="1">
      <alignment horizontal="center" vertical="center" wrapText="1"/>
      <protection locked="0" hidden="1"/>
    </xf>
    <xf numFmtId="0" fontId="179" fillId="77" borderId="210" xfId="0" applyFont="1" applyFill="1" applyBorder="1" applyAlignment="1" applyProtection="1">
      <alignment horizontal="center" vertical="center" wrapText="1"/>
      <protection locked="0"/>
    </xf>
    <xf numFmtId="0" fontId="166" fillId="75" borderId="220" xfId="0" applyFont="1" applyFill="1" applyBorder="1" applyAlignment="1" applyProtection="1">
      <alignment horizontal="center" vertical="center" wrapText="1"/>
      <protection locked="0"/>
    </xf>
    <xf numFmtId="0" fontId="180" fillId="84" borderId="226" xfId="0" applyFont="1" applyFill="1" applyBorder="1" applyProtection="1">
      <alignment vertical="center"/>
      <protection locked="0"/>
    </xf>
    <xf numFmtId="0" fontId="159" fillId="75" borderId="95" xfId="0" applyFont="1" applyFill="1" applyBorder="1" applyAlignment="1">
      <alignment horizontal="center" vertical="center" wrapText="1"/>
    </xf>
    <xf numFmtId="0" fontId="159" fillId="75" borderId="88" xfId="0" applyFont="1" applyFill="1" applyBorder="1" applyAlignment="1">
      <alignment horizontal="center" vertical="center" wrapText="1"/>
    </xf>
    <xf numFmtId="0" fontId="159" fillId="75" borderId="92" xfId="0" applyFont="1" applyFill="1" applyBorder="1" applyAlignment="1">
      <alignment horizontal="center" vertical="center" wrapText="1"/>
    </xf>
    <xf numFmtId="0" fontId="159" fillId="77" borderId="88" xfId="0" applyFont="1" applyFill="1" applyBorder="1" applyAlignment="1">
      <alignment horizontal="center" vertical="center" wrapText="1"/>
    </xf>
    <xf numFmtId="0" fontId="159" fillId="73" borderId="85" xfId="0" applyFont="1" applyFill="1" applyBorder="1" applyAlignment="1">
      <alignment horizontal="center" vertical="center" wrapText="1"/>
    </xf>
    <xf numFmtId="0" fontId="159" fillId="75" borderId="239" xfId="0" applyFont="1" applyFill="1" applyBorder="1" applyAlignment="1">
      <alignment horizontal="center" vertical="center" wrapText="1"/>
    </xf>
    <xf numFmtId="0" fontId="159" fillId="73" borderId="224" xfId="0" applyFont="1" applyFill="1" applyBorder="1" applyAlignment="1">
      <alignment horizontal="center" vertical="center" wrapText="1"/>
    </xf>
    <xf numFmtId="0" fontId="159" fillId="73" borderId="139" xfId="0" applyFont="1" applyFill="1" applyBorder="1" applyAlignment="1">
      <alignment horizontal="center" vertical="center" wrapText="1"/>
    </xf>
    <xf numFmtId="196" fontId="162" fillId="0" borderId="0" xfId="0" applyNumberFormat="1" applyFont="1" applyAlignment="1">
      <alignment horizontal="center" vertical="center" wrapText="1"/>
    </xf>
    <xf numFmtId="196" fontId="162" fillId="0" borderId="0" xfId="0" applyNumberFormat="1" applyFont="1" applyBorder="1" applyAlignment="1">
      <alignment horizontal="center" vertical="center" wrapText="1"/>
    </xf>
    <xf numFmtId="0" fontId="159" fillId="86" borderId="124" xfId="0" applyFont="1" applyFill="1" applyBorder="1" applyAlignment="1">
      <alignment horizontal="center" vertical="center" wrapText="1"/>
    </xf>
    <xf numFmtId="0" fontId="169" fillId="78" borderId="124" xfId="0" applyFont="1" applyFill="1" applyBorder="1" applyAlignment="1" applyProtection="1">
      <alignment horizontal="center" vertical="center" wrapText="1"/>
      <protection locked="0"/>
    </xf>
    <xf numFmtId="0" fontId="159" fillId="86" borderId="9" xfId="0" applyFont="1" applyFill="1" applyBorder="1" applyAlignment="1">
      <alignment horizontal="center" vertical="center" wrapText="1"/>
    </xf>
    <xf numFmtId="0" fontId="169" fillId="86" borderId="9" xfId="0" applyFont="1" applyFill="1" applyBorder="1" applyAlignment="1" applyProtection="1">
      <alignment horizontal="center" vertical="center" wrapText="1"/>
      <protection locked="0"/>
    </xf>
    <xf numFmtId="0" fontId="181" fillId="78" borderId="139" xfId="0" applyFont="1" applyFill="1" applyBorder="1" applyAlignment="1">
      <alignment horizontal="center" vertical="center" wrapText="1"/>
    </xf>
    <xf numFmtId="0" fontId="181" fillId="86" borderId="139" xfId="0" applyFont="1" applyFill="1" applyBorder="1" applyAlignment="1">
      <alignment horizontal="center" vertical="center" wrapText="1"/>
    </xf>
    <xf numFmtId="0" fontId="163" fillId="78" borderId="139" xfId="0" applyFont="1" applyFill="1" applyBorder="1" applyAlignment="1" applyProtection="1">
      <alignment horizontal="center" vertical="center" wrapText="1"/>
      <protection locked="0"/>
    </xf>
    <xf numFmtId="0" fontId="163" fillId="86" borderId="222" xfId="0" applyFont="1" applyFill="1" applyBorder="1" applyAlignment="1" applyProtection="1">
      <alignment horizontal="center" vertical="center" wrapText="1"/>
      <protection locked="0"/>
    </xf>
    <xf numFmtId="0" fontId="159" fillId="77" borderId="208" xfId="0" applyFont="1" applyFill="1" applyBorder="1" applyAlignment="1" applyProtection="1">
      <alignment horizontal="left" vertical="center" wrapText="1"/>
      <protection locked="0" hidden="1"/>
    </xf>
    <xf numFmtId="0" fontId="159" fillId="73" borderId="208" xfId="0" applyFont="1" applyFill="1" applyBorder="1" applyAlignment="1" applyProtection="1">
      <alignment horizontal="left" vertical="center" wrapText="1"/>
      <protection locked="0" hidden="1"/>
    </xf>
    <xf numFmtId="0" fontId="159" fillId="75" borderId="208" xfId="0" applyFont="1" applyFill="1" applyBorder="1" applyAlignment="1" applyProtection="1">
      <alignment horizontal="left" vertical="center" wrapText="1"/>
      <protection locked="0" hidden="1"/>
    </xf>
    <xf numFmtId="0" fontId="159" fillId="75" borderId="240" xfId="0" applyFont="1" applyFill="1" applyBorder="1" applyAlignment="1" applyProtection="1">
      <alignment horizontal="center" vertical="center" wrapText="1"/>
      <protection locked="0"/>
    </xf>
    <xf numFmtId="0" fontId="159" fillId="75" borderId="241" xfId="0" applyFont="1" applyFill="1" applyBorder="1" applyAlignment="1" applyProtection="1">
      <alignment horizontal="center" vertical="center" wrapText="1"/>
      <protection locked="0"/>
    </xf>
    <xf numFmtId="0" fontId="178" fillId="73" borderId="208" xfId="0" applyFont="1" applyFill="1" applyBorder="1" applyAlignment="1" applyProtection="1">
      <alignment horizontal="center" vertical="center" wrapText="1"/>
      <protection locked="0" hidden="1"/>
    </xf>
    <xf numFmtId="0" fontId="178" fillId="73" borderId="208" xfId="0" applyFont="1" applyFill="1" applyBorder="1" applyAlignment="1" applyProtection="1">
      <alignment horizontal="right" vertical="center" wrapText="1"/>
      <protection locked="0" hidden="1"/>
    </xf>
    <xf numFmtId="0" fontId="178" fillId="77" borderId="208" xfId="0" applyFont="1" applyFill="1" applyBorder="1" applyAlignment="1" applyProtection="1">
      <alignment horizontal="left" vertical="center" wrapText="1"/>
      <protection locked="0" hidden="1"/>
    </xf>
    <xf numFmtId="0" fontId="178" fillId="73" borderId="208" xfId="0" applyFont="1" applyFill="1" applyBorder="1" applyAlignment="1" applyProtection="1">
      <alignment horizontal="left" vertical="center" wrapText="1"/>
      <protection locked="0" hidden="1"/>
    </xf>
    <xf numFmtId="0" fontId="179" fillId="73" borderId="210" xfId="0" applyFont="1" applyFill="1" applyBorder="1" applyAlignment="1" applyProtection="1">
      <alignment horizontal="center" vertical="center" wrapText="1"/>
      <protection locked="0"/>
    </xf>
    <xf numFmtId="185" fontId="180" fillId="84" borderId="226" xfId="0" applyNumberFormat="1" applyFont="1" applyFill="1" applyBorder="1" applyAlignment="1">
      <alignment horizontal="center" vertical="center" wrapText="1"/>
    </xf>
    <xf numFmtId="185" fontId="180" fillId="85" borderId="226" xfId="0" applyNumberFormat="1" applyFont="1" applyFill="1" applyBorder="1" applyAlignment="1">
      <alignment horizontal="center" vertical="center" wrapText="1"/>
    </xf>
    <xf numFmtId="185" fontId="180" fillId="85" borderId="242" xfId="0" applyNumberFormat="1" applyFont="1" applyFill="1" applyBorder="1" applyAlignment="1">
      <alignment horizontal="center" vertical="center" wrapText="1"/>
    </xf>
    <xf numFmtId="0" fontId="159" fillId="73" borderId="243" xfId="0" applyFont="1" applyFill="1" applyBorder="1" applyAlignment="1">
      <alignment horizontal="center" vertical="center" wrapText="1"/>
    </xf>
    <xf numFmtId="0" fontId="159" fillId="73" borderId="244" xfId="0" applyFont="1" applyFill="1" applyBorder="1" applyAlignment="1">
      <alignment horizontal="center" vertical="center" wrapText="1"/>
    </xf>
    <xf numFmtId="0" fontId="159" fillId="75" borderId="244" xfId="0" applyFont="1" applyFill="1" applyBorder="1" applyAlignment="1">
      <alignment horizontal="center" vertical="center" wrapText="1"/>
    </xf>
    <xf numFmtId="0" fontId="159" fillId="75" borderId="95" xfId="0" applyFont="1" applyFill="1" applyBorder="1" applyAlignment="1" applyProtection="1">
      <alignment horizontal="center" vertical="center" wrapText="1"/>
      <protection locked="0"/>
    </xf>
    <xf numFmtId="0" fontId="159" fillId="75" borderId="245" xfId="0" applyFont="1" applyFill="1" applyBorder="1" applyAlignment="1">
      <alignment horizontal="center" vertical="center" wrapText="1"/>
    </xf>
    <xf numFmtId="0" fontId="159" fillId="77" borderId="88" xfId="0" applyFont="1" applyFill="1" applyBorder="1" applyAlignment="1" applyProtection="1">
      <alignment horizontal="center" vertical="center" wrapText="1"/>
      <protection locked="0"/>
    </xf>
    <xf numFmtId="0" fontId="159" fillId="73" borderId="85" xfId="0" applyFont="1" applyFill="1" applyBorder="1" applyAlignment="1" applyProtection="1">
      <alignment horizontal="center" vertical="center" wrapText="1"/>
      <protection locked="0"/>
    </xf>
    <xf numFmtId="0" fontId="159" fillId="73" borderId="224" xfId="0" applyFont="1" applyFill="1" applyBorder="1" applyAlignment="1" applyProtection="1">
      <alignment horizontal="center" vertical="center" wrapText="1"/>
      <protection locked="0"/>
    </xf>
    <xf numFmtId="0" fontId="159" fillId="73" borderId="139" xfId="0" applyFont="1" applyFill="1" applyBorder="1" applyAlignment="1" applyProtection="1">
      <alignment horizontal="center" vertical="center" wrapText="1"/>
      <protection locked="0"/>
    </xf>
    <xf numFmtId="0" fontId="159" fillId="73" borderId="246" xfId="0" applyFont="1" applyFill="1" applyBorder="1" applyAlignment="1">
      <alignment horizontal="center" vertical="center" wrapText="1"/>
    </xf>
    <xf numFmtId="0" fontId="169" fillId="86" borderId="124" xfId="0" applyFont="1" applyFill="1" applyBorder="1" applyAlignment="1" applyProtection="1">
      <alignment horizontal="center" vertical="center" wrapText="1"/>
      <protection locked="0"/>
    </xf>
    <xf numFmtId="197" fontId="169" fillId="78" borderId="223" xfId="0" applyNumberFormat="1" applyFont="1" applyFill="1" applyBorder="1" applyAlignment="1">
      <alignment horizontal="center" vertical="center" wrapText="1"/>
    </xf>
    <xf numFmtId="197" fontId="169" fillId="86" borderId="124" xfId="0" applyNumberFormat="1" applyFont="1" applyFill="1" applyBorder="1" applyAlignment="1">
      <alignment horizontal="center" vertical="center" wrapText="1"/>
    </xf>
    <xf numFmtId="197" fontId="169" fillId="78" borderId="102" xfId="0" applyNumberFormat="1" applyFont="1" applyFill="1" applyBorder="1" applyAlignment="1">
      <alignment horizontal="center" vertical="center" wrapText="1"/>
    </xf>
    <xf numFmtId="197" fontId="169" fillId="86" borderId="9" xfId="0" applyNumberFormat="1" applyFont="1" applyFill="1" applyBorder="1" applyAlignment="1">
      <alignment horizontal="center" vertical="center" wrapText="1"/>
    </xf>
    <xf numFmtId="0" fontId="163" fillId="86" borderId="139" xfId="0" applyFont="1" applyFill="1" applyBorder="1" applyAlignment="1" applyProtection="1">
      <alignment horizontal="center" vertical="center" wrapText="1"/>
      <protection locked="0"/>
    </xf>
    <xf numFmtId="0" fontId="162" fillId="0" borderId="0" xfId="0" applyFont="1" applyFill="1" applyAlignment="1">
      <alignment horizontal="left" vertical="top" wrapText="1"/>
    </xf>
    <xf numFmtId="0" fontId="159" fillId="0" borderId="0" xfId="0" applyFont="1" applyAlignment="1">
      <alignment horizontal="left" vertical="center" wrapText="1"/>
    </xf>
    <xf numFmtId="0" fontId="182" fillId="77" borderId="123" xfId="0" applyFont="1" applyFill="1" applyBorder="1" applyAlignment="1" applyProtection="1">
      <alignment horizontal="center" vertical="center" wrapText="1"/>
      <protection locked="0"/>
    </xf>
    <xf numFmtId="0" fontId="182" fillId="73" borderId="124" xfId="0" applyFont="1" applyFill="1" applyBorder="1" applyAlignment="1" applyProtection="1">
      <alignment horizontal="center" vertical="center" wrapText="1"/>
      <protection locked="0"/>
    </xf>
    <xf numFmtId="0" fontId="182" fillId="73" borderId="137" xfId="0" applyFont="1" applyFill="1" applyBorder="1" applyAlignment="1" applyProtection="1">
      <alignment horizontal="center" vertical="center" wrapText="1"/>
      <protection locked="0"/>
    </xf>
    <xf numFmtId="0" fontId="182" fillId="73" borderId="0" xfId="0" applyFont="1" applyFill="1" applyAlignment="1" applyProtection="1">
      <alignment horizontal="center" vertical="center" wrapText="1"/>
      <protection locked="0"/>
    </xf>
    <xf numFmtId="0" fontId="182" fillId="73" borderId="138" xfId="0" applyFont="1" applyFill="1" applyBorder="1" applyAlignment="1" applyProtection="1">
      <alignment horizontal="center" vertical="center" wrapText="1"/>
      <protection locked="0"/>
    </xf>
    <xf numFmtId="0" fontId="182" fillId="73" borderId="139" xfId="0" applyFont="1" applyFill="1" applyBorder="1" applyAlignment="1" applyProtection="1">
      <alignment horizontal="center" vertical="center" wrapText="1"/>
      <protection locked="0"/>
    </xf>
    <xf numFmtId="0" fontId="162" fillId="0" borderId="0" xfId="0" applyFont="1" applyBorder="1" applyAlignment="1">
      <alignment horizontal="center" vertical="center" wrapText="1"/>
    </xf>
    <xf numFmtId="198" fontId="162" fillId="0" borderId="0" xfId="0" applyNumberFormat="1" applyFont="1" applyBorder="1" applyAlignment="1">
      <alignment horizontal="center" vertical="center" wrapText="1"/>
    </xf>
    <xf numFmtId="0" fontId="159" fillId="77" borderId="124" xfId="0" applyFont="1" applyFill="1" applyBorder="1" applyAlignment="1" applyProtection="1">
      <alignment horizontal="center" vertical="center" wrapText="1"/>
      <protection locked="0"/>
    </xf>
    <xf numFmtId="0" fontId="159" fillId="73" borderId="9" xfId="0" applyFont="1" applyFill="1" applyBorder="1" applyAlignment="1" applyProtection="1">
      <alignment horizontal="center" vertical="center" wrapText="1"/>
      <protection locked="0"/>
    </xf>
    <xf numFmtId="183" fontId="159" fillId="75" borderId="208" xfId="0" applyNumberFormat="1" applyFont="1" applyFill="1" applyBorder="1" applyAlignment="1" applyProtection="1">
      <alignment horizontal="center" vertical="center" wrapText="1"/>
      <protection locked="0"/>
    </xf>
    <xf numFmtId="183" fontId="159" fillId="77" borderId="208" xfId="0" applyNumberFormat="1" applyFont="1" applyFill="1" applyBorder="1" applyAlignment="1" applyProtection="1">
      <alignment horizontal="center" vertical="center" wrapText="1"/>
      <protection locked="0"/>
    </xf>
    <xf numFmtId="183" fontId="159" fillId="73" borderId="208" xfId="0" applyNumberFormat="1" applyFont="1" applyFill="1" applyBorder="1" applyAlignment="1" applyProtection="1">
      <alignment horizontal="center" vertical="center" wrapText="1"/>
      <protection locked="0"/>
    </xf>
    <xf numFmtId="183" fontId="159" fillId="77" borderId="210" xfId="0" applyNumberFormat="1" applyFont="1" applyFill="1" applyBorder="1" applyAlignment="1" applyProtection="1">
      <alignment horizontal="center" vertical="center" wrapText="1"/>
      <protection locked="0"/>
    </xf>
    <xf numFmtId="183" fontId="159" fillId="73" borderId="210" xfId="0" applyNumberFormat="1" applyFont="1" applyFill="1" applyBorder="1" applyAlignment="1" applyProtection="1">
      <alignment horizontal="center" vertical="center" wrapText="1"/>
      <protection locked="0"/>
    </xf>
    <xf numFmtId="0" fontId="161" fillId="85" borderId="247" xfId="0" applyFont="1" applyFill="1" applyBorder="1" applyAlignment="1">
      <alignment horizontal="center" vertical="center" wrapText="1"/>
    </xf>
    <xf numFmtId="0" fontId="166" fillId="86" borderId="248" xfId="0" applyFont="1" applyFill="1" applyBorder="1" applyAlignment="1">
      <alignment horizontal="center" vertical="center" wrapText="1"/>
    </xf>
    <xf numFmtId="0" fontId="166" fillId="75" borderId="219" xfId="0" applyFont="1" applyFill="1" applyBorder="1" applyAlignment="1">
      <alignment horizontal="center" vertical="center" wrapText="1"/>
    </xf>
    <xf numFmtId="0" fontId="166" fillId="75" borderId="220" xfId="0" applyFont="1" applyFill="1" applyBorder="1" applyAlignment="1">
      <alignment horizontal="center" vertical="center" wrapText="1"/>
    </xf>
    <xf numFmtId="0" fontId="166" fillId="73" borderId="248" xfId="0" applyFont="1" applyFill="1" applyBorder="1" applyAlignment="1">
      <alignment horizontal="center" vertical="center" wrapText="1"/>
    </xf>
    <xf numFmtId="0" fontId="167" fillId="75" borderId="248" xfId="0" applyFont="1" applyFill="1" applyBorder="1" applyAlignment="1" applyProtection="1">
      <alignment horizontal="center" vertical="center" wrapText="1"/>
      <protection locked="0"/>
    </xf>
    <xf numFmtId="0" fontId="166" fillId="73" borderId="248" xfId="0" applyFont="1" applyFill="1" applyBorder="1" applyAlignment="1" applyProtection="1">
      <alignment horizontal="center" vertical="center" wrapText="1"/>
      <protection locked="0"/>
    </xf>
    <xf numFmtId="0" fontId="166" fillId="75" borderId="248" xfId="0" applyFont="1" applyFill="1" applyBorder="1" applyAlignment="1" applyProtection="1">
      <alignment horizontal="center" vertical="center" wrapText="1"/>
      <protection locked="0"/>
    </xf>
    <xf numFmtId="0" fontId="166" fillId="73" borderId="219" xfId="0" applyFont="1" applyFill="1" applyBorder="1" applyAlignment="1">
      <alignment horizontal="center" vertical="center" wrapText="1"/>
    </xf>
    <xf numFmtId="0" fontId="166" fillId="75" borderId="249" xfId="0" applyFont="1" applyFill="1" applyBorder="1" applyAlignment="1" applyProtection="1">
      <alignment horizontal="center" vertical="center" wrapText="1"/>
      <protection locked="0"/>
    </xf>
    <xf numFmtId="0" fontId="166" fillId="75" borderId="250" xfId="0" applyFont="1" applyFill="1" applyBorder="1" applyAlignment="1">
      <alignment horizontal="center" vertical="center" wrapText="1"/>
    </xf>
    <xf numFmtId="0" fontId="166" fillId="75" borderId="251" xfId="0" applyFont="1" applyFill="1" applyBorder="1" applyAlignment="1">
      <alignment horizontal="center" vertical="center" wrapText="1"/>
    </xf>
    <xf numFmtId="198" fontId="162" fillId="0" borderId="0" xfId="0" applyNumberFormat="1" applyFont="1" applyAlignment="1">
      <alignment horizontal="center" vertical="center" wrapText="1"/>
    </xf>
    <xf numFmtId="0" fontId="159" fillId="73" borderId="124" xfId="0" applyFont="1" applyFill="1" applyBorder="1" applyAlignment="1" applyProtection="1">
      <alignment horizontal="center" vertical="center" wrapText="1"/>
      <protection locked="0"/>
    </xf>
    <xf numFmtId="0" fontId="159" fillId="73" borderId="234" xfId="0" applyFont="1" applyFill="1" applyBorder="1" applyAlignment="1" applyProtection="1">
      <alignment horizontal="center" vertical="center" wrapText="1"/>
      <protection locked="0"/>
    </xf>
    <xf numFmtId="0" fontId="172" fillId="77" borderId="124" xfId="0" applyFont="1" applyFill="1" applyBorder="1" applyAlignment="1">
      <alignment horizontal="center" vertical="center" wrapText="1"/>
    </xf>
    <xf numFmtId="0" fontId="159" fillId="73" borderId="100" xfId="0" applyFont="1" applyFill="1" applyBorder="1" applyAlignment="1" applyProtection="1">
      <alignment horizontal="center" vertical="center" wrapText="1"/>
      <protection locked="0"/>
    </xf>
    <xf numFmtId="0" fontId="166" fillId="77" borderId="9" xfId="0" applyFont="1" applyFill="1" applyBorder="1" applyAlignment="1" applyProtection="1">
      <alignment horizontal="center" vertical="center" wrapText="1"/>
      <protection locked="0"/>
    </xf>
    <xf numFmtId="0" fontId="183" fillId="75" borderId="220" xfId="0" applyFont="1" applyFill="1" applyBorder="1" applyAlignment="1" applyProtection="1">
      <alignment horizontal="center" vertical="center" wrapText="1"/>
      <protection locked="0"/>
    </xf>
    <xf numFmtId="0" fontId="183" fillId="77" borderId="220" xfId="0" applyFont="1" applyFill="1" applyBorder="1" applyAlignment="1" applyProtection="1">
      <alignment horizontal="center" vertical="center" wrapText="1"/>
      <protection locked="0"/>
    </xf>
    <xf numFmtId="0" fontId="183" fillId="73" borderId="220" xfId="0" applyFont="1" applyFill="1" applyBorder="1" applyAlignment="1" applyProtection="1">
      <alignment horizontal="center" vertical="center" wrapText="1"/>
      <protection locked="0"/>
    </xf>
    <xf numFmtId="183" fontId="166" fillId="75" borderId="220" xfId="0" applyNumberFormat="1" applyFont="1" applyFill="1" applyBorder="1" applyAlignment="1">
      <alignment horizontal="center" vertical="center" wrapText="1"/>
    </xf>
    <xf numFmtId="183" fontId="166" fillId="75" borderId="251" xfId="0" applyNumberFormat="1" applyFont="1" applyFill="1" applyBorder="1" applyAlignment="1">
      <alignment horizontal="center" vertical="center" wrapText="1"/>
    </xf>
    <xf numFmtId="0" fontId="184" fillId="75" borderId="220" xfId="0" applyFont="1" applyFill="1" applyBorder="1" applyAlignment="1" applyProtection="1">
      <alignment horizontal="center" vertical="center" wrapText="1"/>
      <protection locked="0"/>
    </xf>
    <xf numFmtId="0" fontId="182" fillId="73" borderId="129" xfId="0" applyFont="1" applyFill="1" applyBorder="1" applyAlignment="1" applyProtection="1">
      <alignment horizontal="center" vertical="center" wrapText="1"/>
      <protection locked="0"/>
    </xf>
    <xf numFmtId="0" fontId="185" fillId="84" borderId="211" xfId="0" applyFont="1" applyFill="1" applyBorder="1" applyAlignment="1">
      <alignment horizontal="center" vertical="center" wrapText="1"/>
    </xf>
    <xf numFmtId="0" fontId="185" fillId="85" borderId="212" xfId="0" applyFont="1" applyFill="1" applyBorder="1" applyAlignment="1">
      <alignment horizontal="center" vertical="center" wrapText="1"/>
    </xf>
    <xf numFmtId="0" fontId="182" fillId="73" borderId="142" xfId="0" applyFont="1" applyFill="1" applyBorder="1" applyAlignment="1" applyProtection="1">
      <alignment horizontal="center" vertical="center" wrapText="1"/>
      <protection locked="0"/>
    </xf>
    <xf numFmtId="0" fontId="168" fillId="77" borderId="213" xfId="0" applyFont="1" applyFill="1" applyBorder="1" applyAlignment="1" applyProtection="1">
      <alignment horizontal="center" vertical="center" wrapText="1"/>
      <protection locked="0"/>
    </xf>
    <xf numFmtId="0" fontId="168" fillId="73" borderId="214" xfId="0" applyFont="1" applyFill="1" applyBorder="1" applyAlignment="1" applyProtection="1">
      <alignment horizontal="center" vertical="center" wrapText="1"/>
      <protection locked="0"/>
    </xf>
    <xf numFmtId="0" fontId="168" fillId="73" borderId="213" xfId="0" applyFont="1" applyFill="1" applyBorder="1" applyAlignment="1" applyProtection="1">
      <alignment horizontal="center" vertical="center" wrapText="1"/>
      <protection locked="0"/>
    </xf>
    <xf numFmtId="0" fontId="168" fillId="75" borderId="213" xfId="0" applyFont="1" applyFill="1" applyBorder="1" applyAlignment="1" applyProtection="1">
      <alignment horizontal="center" vertical="center" wrapText="1"/>
      <protection locked="0"/>
    </xf>
    <xf numFmtId="0" fontId="168" fillId="75" borderId="214" xfId="0" applyFont="1" applyFill="1" applyBorder="1" applyAlignment="1" applyProtection="1">
      <alignment horizontal="center" vertical="center" wrapText="1"/>
      <protection locked="0"/>
    </xf>
    <xf numFmtId="0" fontId="182" fillId="73" borderId="143" xfId="0" applyFont="1" applyFill="1" applyBorder="1" applyAlignment="1" applyProtection="1">
      <alignment horizontal="center" vertical="center" wrapText="1"/>
      <protection locked="0"/>
    </xf>
    <xf numFmtId="0" fontId="168" fillId="0" borderId="213" xfId="0" applyFont="1" applyBorder="1" applyAlignment="1">
      <alignment vertical="center" wrapText="1"/>
    </xf>
    <xf numFmtId="0" fontId="168" fillId="0" borderId="214" xfId="0" applyFont="1" applyBorder="1" applyAlignment="1">
      <alignment vertical="center" wrapText="1"/>
    </xf>
    <xf numFmtId="0" fontId="172" fillId="73" borderId="129" xfId="0" applyFont="1" applyFill="1" applyBorder="1" applyAlignment="1">
      <alignment horizontal="center" vertical="center" wrapText="1"/>
    </xf>
    <xf numFmtId="0" fontId="166" fillId="73" borderId="231" xfId="0" applyFont="1" applyFill="1" applyBorder="1" applyAlignment="1" applyProtection="1">
      <alignment horizontal="center" vertical="center" wrapText="1"/>
      <protection locked="0"/>
    </xf>
    <xf numFmtId="0" fontId="169" fillId="73" borderId="143" xfId="0" applyFont="1" applyFill="1" applyBorder="1" applyAlignment="1" applyProtection="1">
      <alignment horizontal="center" vertical="center" wrapText="1"/>
      <protection locked="0"/>
    </xf>
    <xf numFmtId="0" fontId="171" fillId="0" borderId="0" xfId="0" applyFont="1" applyAlignment="1">
      <alignment vertical="center" wrapText="1"/>
    </xf>
    <xf numFmtId="0" fontId="171" fillId="0" borderId="0" xfId="0" applyFont="1" applyAlignment="1">
      <alignment vertical="top" wrapText="1"/>
    </xf>
    <xf numFmtId="0" fontId="161" fillId="85" borderId="252" xfId="0" applyFont="1" applyFill="1" applyBorder="1" applyAlignment="1">
      <alignment horizontal="center" vertical="center" wrapText="1"/>
    </xf>
    <xf numFmtId="0" fontId="159" fillId="86" borderId="253" xfId="0" applyFont="1" applyFill="1" applyBorder="1" applyAlignment="1">
      <alignment horizontal="center" vertical="center" wrapText="1"/>
    </xf>
    <xf numFmtId="183" fontId="159" fillId="75" borderId="253" xfId="0" applyNumberFormat="1" applyFont="1" applyFill="1" applyBorder="1" applyAlignment="1">
      <alignment horizontal="center" vertical="center" wrapText="1"/>
    </xf>
    <xf numFmtId="0" fontId="168" fillId="0" borderId="254" xfId="0" applyFont="1" applyBorder="1" applyAlignment="1">
      <alignment vertical="center" wrapText="1"/>
    </xf>
    <xf numFmtId="0" fontId="168" fillId="0" borderId="255" xfId="0" applyFont="1" applyBorder="1" applyAlignment="1">
      <alignment vertical="center" wrapText="1"/>
    </xf>
    <xf numFmtId="183" fontId="159" fillId="73" borderId="253" xfId="0" applyNumberFormat="1" applyFont="1" applyFill="1" applyBorder="1" applyAlignment="1">
      <alignment horizontal="center" vertical="center" wrapText="1"/>
    </xf>
    <xf numFmtId="0" fontId="183" fillId="78" borderId="213" xfId="0" applyFont="1" applyFill="1" applyBorder="1" applyAlignment="1">
      <alignment horizontal="center" vertical="center" wrapText="1"/>
    </xf>
    <xf numFmtId="0" fontId="183" fillId="86" borderId="214" xfId="0" applyFont="1" applyFill="1" applyBorder="1" applyAlignment="1">
      <alignment horizontal="center" vertical="center" wrapText="1"/>
    </xf>
    <xf numFmtId="185" fontId="186" fillId="75" borderId="213" xfId="0" applyNumberFormat="1" applyFont="1" applyFill="1" applyBorder="1" applyAlignment="1">
      <alignment horizontal="center" vertical="center" wrapText="1"/>
    </xf>
    <xf numFmtId="185" fontId="186" fillId="75" borderId="214" xfId="0" applyNumberFormat="1" applyFont="1" applyFill="1" applyBorder="1" applyAlignment="1">
      <alignment horizontal="center" vertical="center" wrapText="1"/>
    </xf>
    <xf numFmtId="0" fontId="159" fillId="77" borderId="213" xfId="0" applyFont="1" applyFill="1" applyBorder="1" applyAlignment="1" applyProtection="1">
      <alignment horizontal="center" vertical="center" wrapText="1"/>
      <protection locked="0"/>
    </xf>
    <xf numFmtId="0" fontId="159" fillId="73" borderId="214" xfId="0" applyFont="1" applyFill="1" applyBorder="1" applyAlignment="1" applyProtection="1">
      <alignment horizontal="center" vertical="center" wrapText="1"/>
      <protection locked="0"/>
    </xf>
    <xf numFmtId="0" fontId="171" fillId="78" borderId="215" xfId="0" applyFont="1" applyFill="1" applyBorder="1" applyAlignment="1">
      <alignment horizontal="center" vertical="center" wrapText="1"/>
    </xf>
    <xf numFmtId="0" fontId="171" fillId="86" borderId="216" xfId="0" applyFont="1" applyFill="1" applyBorder="1" applyAlignment="1">
      <alignment horizontal="center" vertical="center" wrapText="1"/>
    </xf>
    <xf numFmtId="0" fontId="185" fillId="81" borderId="256" xfId="0" applyFont="1" applyFill="1" applyBorder="1" applyAlignment="1">
      <alignment horizontal="center" vertical="center" wrapText="1"/>
    </xf>
    <xf numFmtId="0" fontId="185" fillId="81" borderId="257" xfId="0" applyFont="1" applyFill="1" applyBorder="1" applyAlignment="1">
      <alignment horizontal="center" vertical="center" wrapText="1"/>
    </xf>
    <xf numFmtId="0" fontId="168" fillId="83" borderId="213" xfId="0" applyFont="1" applyFill="1" applyBorder="1" applyAlignment="1" applyProtection="1">
      <alignment horizontal="center" vertical="center" wrapText="1"/>
      <protection hidden="1"/>
    </xf>
    <xf numFmtId="0" fontId="168" fillId="83" borderId="214" xfId="0" applyFont="1" applyFill="1" applyBorder="1" applyAlignment="1" applyProtection="1">
      <alignment horizontal="center" vertical="center" wrapText="1"/>
      <protection hidden="1"/>
    </xf>
    <xf numFmtId="49" fontId="169" fillId="75" borderId="213" xfId="0" applyNumberFormat="1" applyFont="1" applyFill="1" applyBorder="1" applyAlignment="1" applyProtection="1">
      <alignment horizontal="center" vertical="center" wrapText="1"/>
      <protection locked="0"/>
    </xf>
    <xf numFmtId="49" fontId="169" fillId="75" borderId="214" xfId="0" applyNumberFormat="1" applyFont="1" applyFill="1" applyBorder="1" applyAlignment="1" applyProtection="1">
      <alignment horizontal="center" vertical="center" wrapText="1"/>
      <protection locked="0"/>
    </xf>
    <xf numFmtId="0" fontId="168" fillId="83" borderId="213" xfId="0" applyFont="1" applyFill="1" applyBorder="1" applyAlignment="1">
      <alignment horizontal="center" vertical="center" wrapText="1"/>
    </xf>
    <xf numFmtId="0" fontId="168" fillId="83" borderId="214" xfId="0" applyFont="1" applyFill="1" applyBorder="1" applyAlignment="1">
      <alignment horizontal="center" vertical="center" wrapText="1"/>
    </xf>
    <xf numFmtId="49" fontId="159" fillId="75" borderId="213" xfId="0" applyNumberFormat="1" applyFont="1" applyFill="1" applyBorder="1" applyAlignment="1" applyProtection="1">
      <alignment horizontal="left" vertical="top" wrapText="1"/>
      <protection locked="0"/>
    </xf>
    <xf numFmtId="49" fontId="159" fillId="75" borderId="214" xfId="0" applyNumberFormat="1" applyFont="1" applyFill="1" applyBorder="1" applyAlignment="1" applyProtection="1">
      <alignment horizontal="left" vertical="top" wrapText="1"/>
      <protection locked="0"/>
    </xf>
    <xf numFmtId="0" fontId="185" fillId="81" borderId="213" xfId="0" applyFont="1" applyFill="1" applyBorder="1" applyAlignment="1">
      <alignment horizontal="center" vertical="center" wrapText="1"/>
    </xf>
    <xf numFmtId="0" fontId="185" fillId="81" borderId="214" xfId="0" applyFont="1" applyFill="1" applyBorder="1" applyAlignment="1">
      <alignment horizontal="center" vertical="center" wrapText="1"/>
    </xf>
    <xf numFmtId="49" fontId="168" fillId="75" borderId="215" xfId="0" applyNumberFormat="1" applyFont="1" applyFill="1" applyBorder="1" applyAlignment="1" applyProtection="1">
      <alignment horizontal="center" vertical="center" wrapText="1"/>
      <protection locked="0"/>
    </xf>
    <xf numFmtId="49" fontId="168" fillId="75" borderId="216" xfId="0" applyNumberFormat="1" applyFont="1" applyFill="1" applyBorder="1" applyAlignment="1" applyProtection="1">
      <alignment horizontal="center" vertical="center" wrapText="1"/>
      <protection locked="0"/>
    </xf>
    <xf numFmtId="0" fontId="185" fillId="84" borderId="256" xfId="0" applyFont="1" applyFill="1" applyBorder="1" applyAlignment="1">
      <alignment horizontal="center" vertical="center" wrapText="1"/>
    </xf>
    <xf numFmtId="0" fontId="187" fillId="78" borderId="257" xfId="0" applyFont="1" applyFill="1" applyBorder="1" applyAlignment="1">
      <alignment horizontal="center" vertical="center" wrapText="1"/>
    </xf>
    <xf numFmtId="0" fontId="185" fillId="85" borderId="213" xfId="0" applyFont="1" applyFill="1" applyBorder="1" applyAlignment="1">
      <alignment horizontal="center" vertical="center" wrapText="1"/>
    </xf>
    <xf numFmtId="0" fontId="187" fillId="86" borderId="214" xfId="0" applyFont="1" applyFill="1" applyBorder="1" applyAlignment="1">
      <alignment horizontal="center" vertical="center" wrapText="1"/>
    </xf>
    <xf numFmtId="0" fontId="185" fillId="84" borderId="213" xfId="0" applyFont="1" applyFill="1" applyBorder="1" applyAlignment="1">
      <alignment horizontal="center" vertical="center" wrapText="1"/>
    </xf>
    <xf numFmtId="0" fontId="185" fillId="85" borderId="214" xfId="0" applyFont="1" applyFill="1" applyBorder="1" applyAlignment="1">
      <alignment horizontal="center" vertical="center" wrapText="1"/>
    </xf>
    <xf numFmtId="0" fontId="168" fillId="78" borderId="213" xfId="0" applyFont="1" applyFill="1" applyBorder="1" applyAlignment="1">
      <alignment horizontal="left" vertical="top" wrapText="1"/>
    </xf>
    <xf numFmtId="0" fontId="168" fillId="86" borderId="214" xfId="0" applyFont="1" applyFill="1" applyBorder="1" applyAlignment="1">
      <alignment horizontal="left" vertical="top" wrapText="1"/>
    </xf>
    <xf numFmtId="0" fontId="168" fillId="86" borderId="213" xfId="0" applyFont="1" applyFill="1" applyBorder="1" applyAlignment="1">
      <alignment horizontal="left" vertical="top" wrapText="1"/>
    </xf>
    <xf numFmtId="183" fontId="159" fillId="73" borderId="258" xfId="0" applyNumberFormat="1" applyFont="1" applyFill="1" applyBorder="1" applyAlignment="1">
      <alignment horizontal="center" vertical="center" wrapText="1"/>
    </xf>
    <xf numFmtId="0" fontId="162" fillId="0" borderId="0" xfId="0" applyFont="1" applyAlignment="1">
      <alignment vertical="top" wrapText="1"/>
    </xf>
    <xf numFmtId="0" fontId="183" fillId="75" borderId="233" xfId="0" applyFont="1" applyFill="1" applyBorder="1" applyAlignment="1" applyProtection="1">
      <alignment horizontal="center" vertical="center" wrapText="1"/>
      <protection locked="0"/>
    </xf>
    <xf numFmtId="0" fontId="183" fillId="73" borderId="233" xfId="0" applyFont="1" applyFill="1" applyBorder="1" applyAlignment="1" applyProtection="1">
      <alignment horizontal="center" vertical="center" wrapText="1"/>
      <protection locked="0"/>
    </xf>
    <xf numFmtId="183" fontId="166" fillId="75" borderId="233" xfId="0" applyNumberFormat="1" applyFont="1" applyFill="1" applyBorder="1" applyAlignment="1">
      <alignment horizontal="center" vertical="center" wrapText="1"/>
    </xf>
    <xf numFmtId="183" fontId="166" fillId="75" borderId="259" xfId="0" applyNumberFormat="1" applyFont="1" applyFill="1" applyBorder="1" applyAlignment="1">
      <alignment horizontal="center" vertical="center" wrapText="1"/>
    </xf>
    <xf numFmtId="0" fontId="184" fillId="75" borderId="233" xfId="0" applyFont="1" applyFill="1" applyBorder="1" applyAlignment="1" applyProtection="1">
      <alignment horizontal="center" vertical="center" wrapText="1"/>
      <protection locked="0"/>
    </xf>
    <xf numFmtId="0" fontId="159" fillId="78" borderId="213" xfId="0" applyFont="1" applyFill="1" applyBorder="1" applyAlignment="1">
      <alignment horizontal="center" vertical="center" wrapText="1"/>
    </xf>
    <xf numFmtId="0" fontId="159" fillId="86" borderId="214" xfId="0" applyFont="1" applyFill="1" applyBorder="1" applyAlignment="1">
      <alignment horizontal="center" vertical="center" wrapText="1"/>
    </xf>
    <xf numFmtId="0" fontId="187" fillId="86" borderId="257" xfId="0" applyFont="1" applyFill="1" applyBorder="1" applyAlignment="1">
      <alignment horizontal="center" vertical="center" wrapText="1"/>
    </xf>
    <xf numFmtId="0" fontId="159" fillId="78" borderId="214" xfId="0" applyFont="1" applyFill="1" applyBorder="1" applyAlignment="1">
      <alignment horizontal="center" vertical="center" wrapText="1"/>
    </xf>
    <xf numFmtId="0" fontId="168" fillId="77" borderId="214" xfId="0" applyFont="1" applyFill="1" applyBorder="1" applyAlignment="1" applyProtection="1">
      <alignment horizontal="center" vertical="center" wrapText="1"/>
      <protection locked="0"/>
    </xf>
    <xf numFmtId="0" fontId="185" fillId="84" borderId="212" xfId="0" applyFont="1" applyFill="1" applyBorder="1" applyAlignment="1">
      <alignment horizontal="center" vertical="center" wrapText="1"/>
    </xf>
    <xf numFmtId="0" fontId="183" fillId="77" borderId="214" xfId="0" applyFont="1" applyFill="1" applyBorder="1" applyAlignment="1" applyProtection="1">
      <alignment horizontal="center" vertical="center" wrapText="1"/>
      <protection locked="0"/>
    </xf>
    <xf numFmtId="0" fontId="183" fillId="73" borderId="214" xfId="0" applyFont="1" applyFill="1" applyBorder="1" applyAlignment="1" applyProtection="1">
      <alignment horizontal="center" vertical="center" wrapText="1"/>
      <protection locked="0"/>
    </xf>
    <xf numFmtId="0" fontId="183" fillId="75" borderId="214" xfId="0" applyFont="1" applyFill="1" applyBorder="1" applyAlignment="1" applyProtection="1">
      <alignment horizontal="center" vertical="center" wrapText="1"/>
      <protection locked="0"/>
    </xf>
    <xf numFmtId="0" fontId="159" fillId="77" borderId="214" xfId="0" applyFont="1" applyFill="1" applyBorder="1" applyAlignment="1" applyProtection="1">
      <alignment horizontal="center" vertical="center" wrapText="1"/>
      <protection locked="0"/>
    </xf>
    <xf numFmtId="0" fontId="185" fillId="80" borderId="257" xfId="0" applyFont="1" applyFill="1" applyBorder="1" applyAlignment="1" applyProtection="1">
      <alignment horizontal="center" vertical="center" wrapText="1"/>
      <protection hidden="1"/>
    </xf>
    <xf numFmtId="0" fontId="168" fillId="83" borderId="214" xfId="0" applyFont="1" applyFill="1" applyBorder="1" applyAlignment="1" applyProtection="1">
      <alignment vertical="center" wrapText="1"/>
      <protection hidden="1"/>
    </xf>
    <xf numFmtId="0" fontId="168" fillId="76" borderId="214" xfId="0" applyFont="1" applyFill="1" applyBorder="1" applyAlignment="1" applyProtection="1">
      <alignment horizontal="center" vertical="center" wrapText="1"/>
      <protection hidden="1"/>
    </xf>
    <xf numFmtId="49" fontId="168" fillId="75" borderId="214" xfId="0" applyNumberFormat="1" applyFont="1" applyFill="1" applyBorder="1" applyAlignment="1" applyProtection="1">
      <alignment horizontal="center" vertical="center" wrapText="1"/>
      <protection locked="0" hidden="1"/>
    </xf>
    <xf numFmtId="0" fontId="168" fillId="76" borderId="214" xfId="0" applyFont="1" applyFill="1" applyBorder="1" applyAlignment="1">
      <alignment horizontal="center" vertical="center" wrapText="1"/>
    </xf>
    <xf numFmtId="0" fontId="159" fillId="75" borderId="214" xfId="0" applyFont="1" applyFill="1" applyBorder="1" applyAlignment="1" applyProtection="1">
      <alignment horizontal="center" vertical="center" wrapText="1"/>
      <protection locked="0"/>
    </xf>
    <xf numFmtId="49" fontId="159" fillId="75" borderId="214" xfId="0" applyNumberFormat="1" applyFont="1" applyFill="1" applyBorder="1" applyAlignment="1" applyProtection="1">
      <alignment horizontal="center" vertical="top" wrapText="1"/>
      <protection locked="0"/>
    </xf>
    <xf numFmtId="49" fontId="159" fillId="75" borderId="216" xfId="0" applyNumberFormat="1" applyFont="1" applyFill="1" applyBorder="1" applyAlignment="1" applyProtection="1">
      <alignment horizontal="center" vertical="top" wrapText="1"/>
      <protection locked="0"/>
    </xf>
    <xf numFmtId="0" fontId="185" fillId="87" borderId="257" xfId="0" applyFont="1" applyFill="1" applyBorder="1" applyAlignment="1" applyProtection="1">
      <alignment horizontal="center" vertical="center" wrapText="1"/>
      <protection hidden="1"/>
    </xf>
    <xf numFmtId="0" fontId="159" fillId="74" borderId="214" xfId="0" applyFont="1" applyFill="1" applyBorder="1" applyAlignment="1" applyProtection="1">
      <alignment horizontal="center" vertical="center"/>
      <protection hidden="1"/>
    </xf>
    <xf numFmtId="0" fontId="168" fillId="74" borderId="214" xfId="0" applyFont="1" applyFill="1" applyBorder="1" applyAlignment="1">
      <alignment horizontal="center" vertical="center" wrapText="1"/>
    </xf>
    <xf numFmtId="0" fontId="185" fillId="87" borderId="214" xfId="0" applyFont="1" applyFill="1" applyBorder="1" applyAlignment="1" applyProtection="1">
      <alignment horizontal="center" vertical="center" wrapText="1"/>
      <protection hidden="1"/>
    </xf>
    <xf numFmtId="0" fontId="168" fillId="74" borderId="214" xfId="0" applyFont="1" applyFill="1" applyBorder="1" applyAlignment="1">
      <alignment horizontal="center" vertical="center"/>
    </xf>
    <xf numFmtId="0" fontId="185" fillId="85" borderId="247" xfId="0" applyFont="1" applyFill="1" applyBorder="1" applyAlignment="1">
      <alignment horizontal="center" vertical="center" wrapText="1"/>
    </xf>
    <xf numFmtId="0" fontId="168" fillId="73" borderId="248" xfId="0" applyFont="1" applyFill="1" applyBorder="1" applyAlignment="1" applyProtection="1">
      <alignment horizontal="center" vertical="center" wrapText="1"/>
      <protection locked="0"/>
    </xf>
    <xf numFmtId="0" fontId="168" fillId="75" borderId="248" xfId="0" applyFont="1" applyFill="1" applyBorder="1" applyAlignment="1" applyProtection="1">
      <alignment horizontal="center" vertical="center" wrapText="1"/>
      <protection locked="0"/>
    </xf>
    <xf numFmtId="0" fontId="168" fillId="0" borderId="248" xfId="0" applyFont="1" applyBorder="1" applyAlignment="1">
      <alignment vertical="center" wrapText="1"/>
    </xf>
    <xf numFmtId="0" fontId="168" fillId="0" borderId="260" xfId="0" applyFont="1" applyBorder="1" applyAlignment="1">
      <alignment vertical="center" wrapText="1"/>
    </xf>
    <xf numFmtId="0" fontId="183" fillId="73" borderId="248" xfId="0" applyFont="1" applyFill="1" applyBorder="1" applyAlignment="1" applyProtection="1">
      <alignment horizontal="center" vertical="center" wrapText="1"/>
      <protection locked="0"/>
    </xf>
    <xf numFmtId="0" fontId="183" fillId="75" borderId="248" xfId="0" applyFont="1" applyFill="1" applyBorder="1" applyAlignment="1" applyProtection="1">
      <alignment horizontal="center" vertical="center" wrapText="1"/>
      <protection locked="0"/>
    </xf>
    <xf numFmtId="0" fontId="159" fillId="73" borderId="248" xfId="0" applyFont="1" applyFill="1" applyBorder="1" applyAlignment="1" applyProtection="1">
      <alignment horizontal="center" vertical="center" wrapText="1"/>
      <protection locked="0"/>
    </xf>
    <xf numFmtId="0" fontId="171" fillId="86" borderId="249" xfId="0" applyFont="1" applyFill="1" applyBorder="1" applyAlignment="1">
      <alignment horizontal="center" vertical="center" wrapText="1"/>
    </xf>
    <xf numFmtId="0" fontId="185" fillId="87" borderId="261" xfId="0" applyFont="1" applyFill="1" applyBorder="1" applyAlignment="1" applyProtection="1">
      <alignment horizontal="center" vertical="center" wrapText="1"/>
      <protection hidden="1"/>
    </xf>
    <xf numFmtId="0" fontId="159" fillId="74" borderId="248" xfId="0" applyFont="1" applyFill="1" applyBorder="1" applyAlignment="1" applyProtection="1">
      <alignment horizontal="center" vertical="center"/>
      <protection hidden="1"/>
    </xf>
    <xf numFmtId="49" fontId="168" fillId="75" borderId="248" xfId="0" applyNumberFormat="1" applyFont="1" applyFill="1" applyBorder="1" applyAlignment="1" applyProtection="1">
      <alignment horizontal="center" vertical="center" wrapText="1"/>
      <protection locked="0" hidden="1"/>
    </xf>
    <xf numFmtId="0" fontId="168" fillId="74" borderId="248" xfId="0" applyFont="1" applyFill="1" applyBorder="1" applyAlignment="1">
      <alignment horizontal="center" vertical="center" wrapText="1"/>
    </xf>
    <xf numFmtId="49" fontId="159" fillId="75" borderId="248" xfId="0" applyNumberFormat="1" applyFont="1" applyFill="1" applyBorder="1" applyAlignment="1" applyProtection="1">
      <alignment horizontal="left" vertical="top" wrapText="1"/>
      <protection locked="0"/>
    </xf>
    <xf numFmtId="0" fontId="185" fillId="87" borderId="248" xfId="0" applyFont="1" applyFill="1" applyBorder="1" applyAlignment="1" applyProtection="1">
      <alignment horizontal="center" vertical="center" wrapText="1"/>
      <protection hidden="1"/>
    </xf>
    <xf numFmtId="0" fontId="168" fillId="74" borderId="248" xfId="0" applyFont="1" applyFill="1" applyBorder="1" applyAlignment="1">
      <alignment horizontal="center" vertical="center"/>
    </xf>
    <xf numFmtId="49" fontId="168" fillId="75" borderId="249" xfId="0" applyNumberFormat="1" applyFont="1" applyFill="1" applyBorder="1" applyAlignment="1" applyProtection="1">
      <alignment horizontal="center" vertical="center" wrapText="1"/>
      <protection locked="0"/>
    </xf>
    <xf numFmtId="0" fontId="187" fillId="86" borderId="261" xfId="0" applyFont="1" applyFill="1" applyBorder="1" applyAlignment="1">
      <alignment horizontal="center" vertical="center" wrapText="1"/>
    </xf>
    <xf numFmtId="0" fontId="187" fillId="86" borderId="248" xfId="0" applyFont="1" applyFill="1" applyBorder="1" applyAlignment="1">
      <alignment horizontal="center" vertical="center" wrapText="1"/>
    </xf>
    <xf numFmtId="0" fontId="185" fillId="85" borderId="248" xfId="0" applyFont="1" applyFill="1" applyBorder="1" applyAlignment="1">
      <alignment horizontal="center" vertical="center" wrapText="1"/>
    </xf>
    <xf numFmtId="0" fontId="168" fillId="86" borderId="248" xfId="0" applyFont="1" applyFill="1" applyBorder="1" applyAlignment="1">
      <alignment horizontal="left" vertical="top" wrapText="1"/>
    </xf>
    <xf numFmtId="0" fontId="159" fillId="86" borderId="248" xfId="0" applyFont="1" applyFill="1" applyBorder="1" applyAlignment="1">
      <alignment horizontal="center" vertical="center" wrapText="1"/>
    </xf>
    <xf numFmtId="193" fontId="24" fillId="0" borderId="0" xfId="0" applyNumberFormat="1" applyFont="1" applyAlignment="1" applyProtection="1">
      <alignment vertical="center" wrapText="1"/>
      <protection locked="0"/>
    </xf>
    <xf numFmtId="193" fontId="24" fillId="0" borderId="0" xfId="0" applyNumberFormat="1" applyFont="1" applyProtection="1">
      <alignment vertical="center"/>
      <protection locked="0"/>
    </xf>
    <xf numFmtId="0" fontId="18" fillId="0" borderId="0" xfId="0" applyFont="1" applyAlignment="1">
      <alignment vertical="center" wrapText="1"/>
    </xf>
    <xf numFmtId="0" fontId="161" fillId="84" borderId="219" xfId="0" applyFont="1" applyFill="1" applyBorder="1" applyAlignment="1">
      <alignment horizontal="center" vertical="center" wrapText="1"/>
    </xf>
    <xf numFmtId="0" fontId="161" fillId="85" borderId="220" xfId="0" applyFont="1" applyFill="1" applyBorder="1" applyAlignment="1">
      <alignment horizontal="center" vertical="center" wrapText="1"/>
    </xf>
    <xf numFmtId="0" fontId="159" fillId="78" borderId="219" xfId="0" applyFont="1" applyFill="1" applyBorder="1" applyAlignment="1">
      <alignment horizontal="center" vertical="center" wrapText="1"/>
    </xf>
    <xf numFmtId="0" fontId="159" fillId="86" borderId="220" xfId="0" applyFont="1" applyFill="1" applyBorder="1" applyAlignment="1">
      <alignment horizontal="center" vertical="center" wrapText="1"/>
    </xf>
    <xf numFmtId="0" fontId="159" fillId="75" borderId="219" xfId="0" applyFont="1" applyFill="1" applyBorder="1" applyAlignment="1" applyProtection="1">
      <alignment horizontal="center" vertical="top" wrapText="1"/>
      <protection locked="0"/>
    </xf>
    <xf numFmtId="0" fontId="159" fillId="75" borderId="220" xfId="0" applyFont="1" applyFill="1" applyBorder="1" applyAlignment="1" applyProtection="1">
      <alignment horizontal="center" vertical="top" wrapText="1"/>
      <protection locked="0"/>
    </xf>
    <xf numFmtId="181" fontId="159" fillId="75" borderId="250" xfId="0" applyNumberFormat="1" applyFont="1" applyFill="1" applyBorder="1" applyAlignment="1" applyProtection="1">
      <alignment horizontal="center" vertical="center" wrapText="1"/>
      <protection locked="0"/>
    </xf>
    <xf numFmtId="181" fontId="159" fillId="75" borderId="251" xfId="0" applyNumberFormat="1" applyFont="1" applyFill="1" applyBorder="1" applyAlignment="1" applyProtection="1">
      <alignment horizontal="center" vertical="center" wrapText="1"/>
      <protection locked="0"/>
    </xf>
    <xf numFmtId="0" fontId="161" fillId="84" borderId="262" xfId="0" applyFont="1" applyFill="1" applyBorder="1" applyAlignment="1">
      <alignment horizontal="center" vertical="center" wrapText="1"/>
    </xf>
    <xf numFmtId="0" fontId="161" fillId="85" borderId="263" xfId="0" applyFont="1" applyFill="1" applyBorder="1" applyAlignment="1">
      <alignment horizontal="center" vertical="center" wrapText="1"/>
    </xf>
    <xf numFmtId="0" fontId="169" fillId="78" borderId="264" xfId="0" applyFont="1" applyFill="1" applyBorder="1" applyAlignment="1">
      <alignment horizontal="center" vertical="center" wrapText="1"/>
    </xf>
    <xf numFmtId="0" fontId="169" fillId="86" borderId="265" xfId="0" applyFont="1" applyFill="1" applyBorder="1" applyAlignment="1">
      <alignment horizontal="center" vertical="center" wrapText="1"/>
    </xf>
    <xf numFmtId="0" fontId="169" fillId="78" borderId="265" xfId="0" applyFont="1" applyFill="1" applyBorder="1" applyAlignment="1">
      <alignment horizontal="center" vertical="center" wrapText="1"/>
    </xf>
    <xf numFmtId="0" fontId="166" fillId="78" borderId="264" xfId="0" applyFont="1" applyFill="1" applyBorder="1" applyAlignment="1" applyProtection="1">
      <alignment horizontal="center" vertical="top" wrapText="1"/>
      <protection locked="0"/>
    </xf>
    <xf numFmtId="0" fontId="166" fillId="86" borderId="265" xfId="0" applyFont="1" applyFill="1" applyBorder="1" applyAlignment="1" applyProtection="1">
      <alignment horizontal="center" vertical="top" wrapText="1"/>
      <protection locked="0"/>
    </xf>
    <xf numFmtId="0" fontId="166" fillId="78" borderId="265" xfId="0" applyFont="1" applyFill="1" applyBorder="1" applyAlignment="1" applyProtection="1">
      <alignment horizontal="center" vertical="top" wrapText="1"/>
      <protection locked="0"/>
    </xf>
    <xf numFmtId="0" fontId="166" fillId="88" borderId="264" xfId="0" applyFont="1" applyFill="1" applyBorder="1" applyAlignment="1" applyProtection="1">
      <alignment horizontal="center" vertical="top" wrapText="1"/>
      <protection locked="0"/>
    </xf>
    <xf numFmtId="0" fontId="166" fillId="71" borderId="265" xfId="0" applyFont="1" applyFill="1" applyBorder="1" applyAlignment="1" applyProtection="1">
      <alignment horizontal="center" vertical="top" wrapText="1"/>
      <protection locked="0"/>
    </xf>
    <xf numFmtId="0" fontId="166" fillId="88" borderId="265" xfId="0" applyFont="1" applyFill="1" applyBorder="1" applyAlignment="1" applyProtection="1">
      <alignment horizontal="center" vertical="top" wrapText="1"/>
      <protection locked="0"/>
    </xf>
    <xf numFmtId="0" fontId="159" fillId="78" borderId="264" xfId="0" applyFont="1" applyFill="1" applyBorder="1" applyAlignment="1" applyProtection="1">
      <alignment horizontal="center" vertical="center" wrapText="1"/>
      <protection locked="0"/>
    </xf>
    <xf numFmtId="0" fontId="159" fillId="86" borderId="265" xfId="0" applyFont="1" applyFill="1" applyBorder="1" applyAlignment="1" applyProtection="1">
      <alignment horizontal="center" vertical="center" wrapText="1"/>
      <protection locked="0"/>
    </xf>
    <xf numFmtId="0" fontId="159" fillId="78" borderId="265" xfId="0" applyFont="1" applyFill="1" applyBorder="1" applyAlignment="1" applyProtection="1">
      <alignment horizontal="center" vertical="center" wrapText="1"/>
      <protection locked="0"/>
    </xf>
    <xf numFmtId="0" fontId="159" fillId="78" borderId="266" xfId="0" applyFont="1" applyFill="1" applyBorder="1" applyAlignment="1" applyProtection="1">
      <alignment horizontal="center" vertical="center" wrapText="1"/>
      <protection locked="0"/>
    </xf>
    <xf numFmtId="0" fontId="159" fillId="86" borderId="267" xfId="0" applyFont="1" applyFill="1" applyBorder="1" applyAlignment="1" applyProtection="1">
      <alignment horizontal="center" vertical="center" wrapText="1"/>
      <protection locked="0"/>
    </xf>
    <xf numFmtId="0" fontId="159" fillId="78" borderId="267" xfId="0" applyFont="1" applyFill="1" applyBorder="1" applyAlignment="1" applyProtection="1">
      <alignment horizontal="center" vertical="center" wrapText="1"/>
      <protection locked="0"/>
    </xf>
    <xf numFmtId="0" fontId="161" fillId="84" borderId="268" xfId="0" applyFont="1" applyFill="1" applyBorder="1" applyAlignment="1">
      <alignment horizontal="center" vertical="center" wrapText="1"/>
    </xf>
    <xf numFmtId="0" fontId="161" fillId="85" borderId="269" xfId="0" applyFont="1" applyFill="1" applyBorder="1" applyAlignment="1">
      <alignment horizontal="center" vertical="center" wrapText="1"/>
    </xf>
    <xf numFmtId="49" fontId="159" fillId="78" borderId="270" xfId="0" applyNumberFormat="1" applyFont="1" applyFill="1" applyBorder="1" applyAlignment="1">
      <alignment horizontal="center" vertical="top" wrapText="1"/>
    </xf>
    <xf numFmtId="49" fontId="159" fillId="86" borderId="95" xfId="0" applyNumberFormat="1" applyFont="1" applyFill="1" applyBorder="1" applyAlignment="1">
      <alignment horizontal="center" vertical="top" wrapText="1"/>
    </xf>
    <xf numFmtId="49" fontId="159" fillId="75" borderId="137" xfId="0" applyNumberFormat="1" applyFont="1" applyFill="1" applyBorder="1" applyAlignment="1" applyProtection="1">
      <alignment horizontal="center" vertical="top" wrapText="1"/>
      <protection locked="0"/>
    </xf>
    <xf numFmtId="49" fontId="159" fillId="75" borderId="0" xfId="0" applyNumberFormat="1" applyFont="1" applyFill="1" applyAlignment="1" applyProtection="1">
      <alignment horizontal="center" vertical="top" wrapText="1"/>
      <protection locked="0"/>
    </xf>
    <xf numFmtId="49" fontId="159" fillId="77" borderId="137" xfId="0" applyNumberFormat="1" applyFont="1" applyFill="1" applyBorder="1" applyAlignment="1" applyProtection="1">
      <alignment horizontal="center" vertical="top" wrapText="1"/>
      <protection locked="0"/>
    </xf>
    <xf numFmtId="49" fontId="159" fillId="73" borderId="0" xfId="0" applyNumberFormat="1" applyFont="1" applyFill="1" applyAlignment="1" applyProtection="1">
      <alignment horizontal="center" vertical="top" wrapText="1"/>
      <protection locked="0"/>
    </xf>
    <xf numFmtId="49" fontId="159" fillId="75" borderId="137" xfId="0" applyNumberFormat="1" applyFont="1" applyFill="1" applyBorder="1" applyAlignment="1" applyProtection="1">
      <alignment horizontal="center" vertical="center" wrapText="1"/>
      <protection locked="0"/>
    </xf>
    <xf numFmtId="49" fontId="159" fillId="75" borderId="0" xfId="0" applyNumberFormat="1" applyFont="1" applyFill="1" applyAlignment="1" applyProtection="1">
      <alignment horizontal="center" vertical="center" wrapText="1"/>
      <protection locked="0"/>
    </xf>
    <xf numFmtId="49" fontId="159" fillId="77" borderId="271" xfId="0" applyNumberFormat="1" applyFont="1" applyFill="1" applyBorder="1" applyAlignment="1" applyProtection="1">
      <alignment horizontal="center" vertical="top" wrapText="1"/>
      <protection locked="0"/>
    </xf>
    <xf numFmtId="49" fontId="159" fillId="73" borderId="87" xfId="0" applyNumberFormat="1" applyFont="1" applyFill="1" applyBorder="1" applyAlignment="1" applyProtection="1">
      <alignment horizontal="center" vertical="top" wrapText="1"/>
      <protection locked="0"/>
    </xf>
    <xf numFmtId="49" fontId="159" fillId="77" borderId="137" xfId="0" applyNumberFormat="1" applyFont="1" applyFill="1" applyBorder="1" applyAlignment="1" applyProtection="1">
      <alignment horizontal="center" vertical="center" wrapText="1"/>
      <protection locked="0"/>
    </xf>
    <xf numFmtId="49" fontId="159" fillId="73" borderId="0" xfId="0" applyNumberFormat="1" applyFont="1" applyFill="1" applyAlignment="1" applyProtection="1">
      <alignment horizontal="center" vertical="center" wrapText="1"/>
      <protection locked="0"/>
    </xf>
    <xf numFmtId="49" fontId="159" fillId="73" borderId="94" xfId="0" applyNumberFormat="1" applyFont="1" applyFill="1" applyBorder="1" applyAlignment="1" applyProtection="1">
      <alignment horizontal="center" vertical="center" wrapText="1"/>
      <protection locked="0"/>
    </xf>
    <xf numFmtId="49" fontId="159" fillId="73" borderId="137" xfId="0" applyNumberFormat="1" applyFont="1" applyFill="1" applyBorder="1" applyAlignment="1" applyProtection="1">
      <alignment horizontal="center" vertical="center" wrapText="1"/>
      <protection locked="0"/>
    </xf>
    <xf numFmtId="49" fontId="159" fillId="73" borderId="138" xfId="0" applyNumberFormat="1" applyFont="1" applyFill="1" applyBorder="1" applyAlignment="1" applyProtection="1">
      <alignment horizontal="center" vertical="center" wrapText="1"/>
      <protection locked="0"/>
    </xf>
    <xf numFmtId="49" fontId="159" fillId="73" borderId="139" xfId="0" applyNumberFormat="1" applyFont="1" applyFill="1" applyBorder="1" applyAlignment="1" applyProtection="1">
      <alignment horizontal="center" vertical="center" wrapText="1"/>
      <protection locked="0"/>
    </xf>
    <xf numFmtId="49" fontId="159" fillId="73" borderId="222" xfId="0" applyNumberFormat="1" applyFont="1" applyFill="1" applyBorder="1" applyAlignment="1" applyProtection="1">
      <alignment horizontal="center" vertical="center" wrapText="1"/>
      <protection locked="0"/>
    </xf>
    <xf numFmtId="0" fontId="159" fillId="78" borderId="220" xfId="0" applyFont="1" applyFill="1" applyBorder="1" applyAlignment="1">
      <alignment horizontal="center" vertical="center" wrapText="1"/>
    </xf>
    <xf numFmtId="0" fontId="166" fillId="75" borderId="265" xfId="0" applyFont="1" applyFill="1" applyBorder="1" applyAlignment="1" applyProtection="1">
      <alignment vertical="top" wrapText="1"/>
      <protection locked="0"/>
    </xf>
    <xf numFmtId="0" fontId="166" fillId="77" borderId="265" xfId="0" applyFont="1" applyFill="1" applyBorder="1" applyAlignment="1" applyProtection="1">
      <alignment vertical="top" wrapText="1"/>
      <protection locked="0"/>
    </xf>
    <xf numFmtId="0" fontId="166" fillId="73" borderId="265" xfId="0" applyFont="1" applyFill="1" applyBorder="1" applyAlignment="1" applyProtection="1">
      <alignment vertical="top" wrapText="1"/>
      <protection locked="0"/>
    </xf>
    <xf numFmtId="0" fontId="159" fillId="75" borderId="265" xfId="0" applyFont="1" applyFill="1" applyBorder="1" applyAlignment="1" applyProtection="1">
      <alignment vertical="center" wrapText="1"/>
      <protection locked="0"/>
    </xf>
    <xf numFmtId="0" fontId="159" fillId="75" borderId="267" xfId="0" applyFont="1" applyFill="1" applyBorder="1" applyAlignment="1" applyProtection="1">
      <alignment vertical="center" wrapText="1"/>
      <protection locked="0"/>
    </xf>
    <xf numFmtId="0" fontId="159" fillId="77" borderId="0" xfId="0" applyFont="1" applyFill="1" applyAlignment="1">
      <alignment horizontal="center" vertical="center" wrapText="1"/>
    </xf>
    <xf numFmtId="0" fontId="159" fillId="73" borderId="0" xfId="0" applyFont="1" applyFill="1" applyAlignment="1">
      <alignment horizontal="center" vertical="center" wrapText="1"/>
    </xf>
    <xf numFmtId="49" fontId="168" fillId="75" borderId="87" xfId="0" applyNumberFormat="1" applyFont="1" applyFill="1" applyBorder="1" applyAlignment="1" applyProtection="1">
      <alignment horizontal="center" vertical="center" wrapText="1"/>
      <protection locked="0"/>
    </xf>
    <xf numFmtId="49" fontId="159" fillId="77" borderId="92" xfId="0" applyNumberFormat="1" applyFont="1" applyFill="1" applyBorder="1" applyAlignment="1">
      <alignment horizontal="center" vertical="center" wrapText="1"/>
    </xf>
    <xf numFmtId="49" fontId="159" fillId="73" borderId="91" xfId="0" applyNumberFormat="1" applyFont="1" applyFill="1" applyBorder="1" applyAlignment="1">
      <alignment horizontal="center" vertical="center" wrapText="1"/>
    </xf>
    <xf numFmtId="49" fontId="159" fillId="75" borderId="239" xfId="0" applyNumberFormat="1" applyFont="1" applyFill="1" applyBorder="1" applyAlignment="1" applyProtection="1">
      <alignment horizontal="center" vertical="center" wrapText="1"/>
      <protection locked="0"/>
    </xf>
    <xf numFmtId="49" fontId="159" fillId="75" borderId="272" xfId="0" applyNumberFormat="1" applyFont="1" applyFill="1" applyBorder="1" applyAlignment="1" applyProtection="1">
      <alignment horizontal="center" vertical="center" wrapText="1"/>
      <protection locked="0"/>
    </xf>
    <xf numFmtId="49" fontId="159" fillId="78" borderId="162" xfId="0" applyNumberFormat="1" applyFont="1" applyFill="1" applyBorder="1" applyAlignment="1">
      <alignment horizontal="center" vertical="top" wrapText="1"/>
    </xf>
    <xf numFmtId="49" fontId="159" fillId="75" borderId="94" xfId="0" applyNumberFormat="1" applyFont="1" applyFill="1" applyBorder="1" applyAlignment="1" applyProtection="1">
      <alignment horizontal="center" vertical="top" wrapText="1"/>
      <protection locked="0"/>
    </xf>
    <xf numFmtId="49" fontId="159" fillId="75" borderId="0" xfId="0" applyNumberFormat="1" applyFont="1" applyFill="1" applyAlignment="1" applyProtection="1">
      <alignment horizontal="left" vertical="center" wrapText="1"/>
      <protection locked="0"/>
    </xf>
    <xf numFmtId="49" fontId="159" fillId="73" borderId="94" xfId="0" applyNumberFormat="1" applyFont="1" applyFill="1" applyBorder="1" applyAlignment="1" applyProtection="1">
      <alignment horizontal="center" vertical="top" wrapText="1"/>
      <protection locked="0"/>
    </xf>
    <xf numFmtId="49" fontId="159" fillId="77" borderId="0" xfId="0" applyNumberFormat="1" applyFont="1" applyFill="1" applyAlignment="1" applyProtection="1">
      <alignment horizontal="left" vertical="center" wrapText="1"/>
      <protection locked="0"/>
    </xf>
    <xf numFmtId="49" fontId="159" fillId="73" borderId="0" xfId="0" applyNumberFormat="1" applyFont="1" applyFill="1" applyAlignment="1" applyProtection="1">
      <alignment horizontal="left" vertical="center" wrapText="1"/>
      <protection locked="0"/>
    </xf>
    <xf numFmtId="49" fontId="159" fillId="75" borderId="94" xfId="0" applyNumberFormat="1" applyFont="1" applyFill="1" applyBorder="1" applyAlignment="1" applyProtection="1">
      <alignment horizontal="center" vertical="center" wrapText="1"/>
      <protection locked="0"/>
    </xf>
    <xf numFmtId="49" fontId="159" fillId="73" borderId="145" xfId="0" applyNumberFormat="1" applyFont="1" applyFill="1" applyBorder="1" applyAlignment="1" applyProtection="1">
      <alignment horizontal="center" vertical="top" wrapText="1"/>
      <protection locked="0"/>
    </xf>
    <xf numFmtId="49" fontId="159" fillId="77" borderId="87" xfId="0" applyNumberFormat="1" applyFont="1" applyFill="1" applyBorder="1" applyAlignment="1" applyProtection="1">
      <alignment horizontal="left" vertical="center" wrapText="1"/>
      <protection locked="0"/>
    </xf>
    <xf numFmtId="49" fontId="159" fillId="73" borderId="87" xfId="0" applyNumberFormat="1" applyFont="1" applyFill="1" applyBorder="1" applyAlignment="1" applyProtection="1">
      <alignment horizontal="left" vertical="center" wrapText="1"/>
      <protection locked="0"/>
    </xf>
    <xf numFmtId="0" fontId="159" fillId="73" borderId="94" xfId="0" applyFont="1" applyFill="1" applyBorder="1" applyAlignment="1">
      <alignment horizontal="center" vertical="center" wrapText="1"/>
    </xf>
    <xf numFmtId="0" fontId="166" fillId="75" borderId="145" xfId="0" applyFont="1" applyFill="1" applyBorder="1" applyAlignment="1" applyProtection="1">
      <alignment horizontal="left" vertical="top" wrapText="1"/>
      <protection locked="0"/>
    </xf>
    <xf numFmtId="0" fontId="166" fillId="75" borderId="197" xfId="0" applyFont="1" applyFill="1" applyBorder="1" applyAlignment="1" applyProtection="1">
      <alignment horizontal="left" vertical="top" wrapText="1"/>
      <protection locked="0"/>
    </xf>
    <xf numFmtId="49" fontId="168" fillId="75" borderId="145" xfId="0" applyNumberFormat="1" applyFont="1" applyFill="1" applyBorder="1" applyAlignment="1" applyProtection="1">
      <alignment horizontal="center" vertical="center" wrapText="1"/>
      <protection locked="0"/>
    </xf>
    <xf numFmtId="0" fontId="166" fillId="75" borderId="101" xfId="0" applyFont="1" applyFill="1" applyBorder="1" applyAlignment="1" applyProtection="1">
      <alignment horizontal="left" vertical="top" wrapText="1"/>
      <protection locked="0"/>
    </xf>
    <xf numFmtId="49" fontId="159" fillId="73" borderId="93" xfId="0" applyNumberFormat="1" applyFont="1" applyFill="1" applyBorder="1" applyAlignment="1">
      <alignment horizontal="center" vertical="center" wrapText="1"/>
    </xf>
    <xf numFmtId="49" fontId="159" fillId="75" borderId="273" xfId="0" applyNumberFormat="1" applyFont="1" applyFill="1" applyBorder="1" applyAlignment="1" applyProtection="1">
      <alignment horizontal="center" vertical="center" wrapText="1"/>
      <protection locked="0"/>
    </xf>
    <xf numFmtId="0" fontId="166" fillId="75" borderId="230" xfId="0" applyFont="1" applyFill="1" applyBorder="1" applyAlignment="1" applyProtection="1">
      <alignment horizontal="left" vertical="top" wrapText="1"/>
      <protection locked="0"/>
    </xf>
    <xf numFmtId="0" fontId="159" fillId="75" borderId="220" xfId="0" applyFont="1" applyFill="1" applyBorder="1" applyAlignment="1" applyProtection="1">
      <alignment horizontal="center" vertical="center" wrapText="1"/>
      <protection locked="0"/>
    </xf>
    <xf numFmtId="49" fontId="159" fillId="75" borderId="220" xfId="0" applyNumberFormat="1" applyFont="1" applyFill="1" applyBorder="1" applyAlignment="1">
      <alignment horizontal="center" vertical="center" wrapText="1"/>
    </xf>
    <xf numFmtId="0" fontId="161" fillId="85" borderId="233" xfId="0" applyFont="1" applyFill="1" applyBorder="1" applyAlignment="1">
      <alignment horizontal="center" vertical="center" wrapText="1"/>
    </xf>
    <xf numFmtId="0" fontId="159" fillId="86" borderId="233" xfId="0" applyFont="1" applyFill="1" applyBorder="1" applyAlignment="1">
      <alignment horizontal="center" vertical="center" wrapText="1"/>
    </xf>
    <xf numFmtId="0" fontId="159" fillId="75" borderId="233" xfId="0" applyFont="1" applyFill="1" applyBorder="1" applyAlignment="1" applyProtection="1">
      <alignment horizontal="center" vertical="center" wrapText="1"/>
      <protection locked="0"/>
    </xf>
    <xf numFmtId="181" fontId="159" fillId="75" borderId="259" xfId="0" applyNumberFormat="1" applyFont="1" applyFill="1" applyBorder="1" applyAlignment="1" applyProtection="1">
      <alignment horizontal="center" vertical="center" wrapText="1"/>
      <protection locked="0"/>
    </xf>
    <xf numFmtId="0" fontId="161" fillId="85" borderId="274" xfId="0" applyFont="1" applyFill="1" applyBorder="1" applyAlignment="1">
      <alignment horizontal="center" vertical="center" wrapText="1"/>
    </xf>
    <xf numFmtId="0" fontId="159" fillId="77" borderId="219" xfId="0" applyFont="1" applyFill="1" applyBorder="1" applyAlignment="1">
      <alignment horizontal="center" vertical="center"/>
    </xf>
    <xf numFmtId="0" fontId="159" fillId="73" borderId="220" xfId="0" applyFont="1" applyFill="1" applyBorder="1" applyAlignment="1">
      <alignment horizontal="center" vertical="center"/>
    </xf>
    <xf numFmtId="0" fontId="169" fillId="86" borderId="275" xfId="0" applyFont="1" applyFill="1" applyBorder="1" applyAlignment="1">
      <alignment horizontal="center" vertical="center" wrapText="1"/>
    </xf>
    <xf numFmtId="0" fontId="159" fillId="73" borderId="219" xfId="0" applyFont="1" applyFill="1" applyBorder="1" applyAlignment="1">
      <alignment horizontal="center" vertical="center"/>
    </xf>
    <xf numFmtId="0" fontId="166" fillId="75" borderId="275" xfId="0" applyFont="1" applyFill="1" applyBorder="1" applyAlignment="1" applyProtection="1">
      <alignment vertical="top" wrapText="1"/>
      <protection locked="0"/>
    </xf>
    <xf numFmtId="0" fontId="188" fillId="75" borderId="219" xfId="0" applyFont="1" applyFill="1" applyBorder="1" applyAlignment="1" applyProtection="1">
      <alignment horizontal="left" vertical="top" wrapText="1"/>
      <protection locked="0"/>
    </xf>
    <xf numFmtId="0" fontId="167" fillId="75" borderId="220" xfId="0" applyFont="1" applyFill="1" applyBorder="1" applyAlignment="1" applyProtection="1">
      <alignment horizontal="left" vertical="top" wrapText="1"/>
      <protection locked="0"/>
    </xf>
    <xf numFmtId="0" fontId="166" fillId="73" borderId="275" xfId="0" applyFont="1" applyFill="1" applyBorder="1" applyAlignment="1" applyProtection="1">
      <alignment vertical="top" wrapText="1"/>
      <protection locked="0"/>
    </xf>
    <xf numFmtId="0" fontId="167" fillId="75" borderId="219" xfId="0" applyFont="1" applyFill="1" applyBorder="1" applyAlignment="1" applyProtection="1">
      <alignment horizontal="left" vertical="top" wrapText="1"/>
      <protection locked="0"/>
    </xf>
    <xf numFmtId="0" fontId="159" fillId="75" borderId="275" xfId="0" applyFont="1" applyFill="1" applyBorder="1" applyAlignment="1" applyProtection="1">
      <alignment vertical="center" wrapText="1"/>
      <protection locked="0"/>
    </xf>
    <xf numFmtId="0" fontId="159" fillId="75" borderId="276" xfId="0" applyFont="1" applyFill="1" applyBorder="1" applyAlignment="1" applyProtection="1">
      <alignment vertical="center" wrapText="1"/>
      <protection locked="0"/>
    </xf>
    <xf numFmtId="0" fontId="167" fillId="75" borderId="250" xfId="0" applyFont="1" applyFill="1" applyBorder="1" applyAlignment="1" applyProtection="1">
      <alignment horizontal="left" vertical="top" wrapText="1"/>
      <protection locked="0"/>
    </xf>
    <xf numFmtId="0" fontId="167" fillId="75" borderId="251" xfId="0" applyFont="1" applyFill="1" applyBorder="1" applyAlignment="1" applyProtection="1">
      <alignment horizontal="left" vertical="top" wrapText="1"/>
      <protection locked="0"/>
    </xf>
    <xf numFmtId="0" fontId="161" fillId="85" borderId="277" xfId="0" applyFont="1" applyFill="1" applyBorder="1" applyAlignment="1">
      <alignment horizontal="center" vertical="center" wrapText="1"/>
    </xf>
    <xf numFmtId="0" fontId="161" fillId="84" borderId="123" xfId="0" applyFont="1" applyFill="1" applyBorder="1" applyAlignment="1">
      <alignment horizontal="center" vertical="center" wrapText="1"/>
    </xf>
    <xf numFmtId="0" fontId="161" fillId="85" borderId="124" xfId="0" applyFont="1" applyFill="1" applyBorder="1" applyAlignment="1">
      <alignment horizontal="center" vertical="center" wrapText="1"/>
    </xf>
    <xf numFmtId="49" fontId="159" fillId="86" borderId="245" xfId="0" applyNumberFormat="1" applyFont="1" applyFill="1" applyBorder="1" applyAlignment="1">
      <alignment horizontal="center" vertical="top" wrapText="1"/>
    </xf>
    <xf numFmtId="0" fontId="159" fillId="88" borderId="278" xfId="0" applyFont="1" applyFill="1" applyBorder="1" applyAlignment="1">
      <alignment horizontal="center" vertical="center" wrapText="1"/>
    </xf>
    <xf numFmtId="0" fontId="159" fillId="71" borderId="91" xfId="0" applyFont="1" applyFill="1" applyBorder="1" applyAlignment="1">
      <alignment horizontal="center" vertical="center" wrapText="1"/>
    </xf>
    <xf numFmtId="49" fontId="159" fillId="75" borderId="142" xfId="0" applyNumberFormat="1" applyFont="1" applyFill="1" applyBorder="1" applyAlignment="1" applyProtection="1">
      <alignment horizontal="left" vertical="center" wrapText="1"/>
      <protection locked="0"/>
    </xf>
    <xf numFmtId="0" fontId="168" fillId="78" borderId="271" xfId="49" applyFont="1" applyFill="1" applyBorder="1" applyAlignment="1" applyProtection="1">
      <alignment horizontal="center" vertical="center" wrapText="1"/>
    </xf>
    <xf numFmtId="0" fontId="168" fillId="86" borderId="87" xfId="49" applyFont="1" applyFill="1" applyBorder="1" applyAlignment="1" applyProtection="1">
      <alignment horizontal="center" vertical="center" wrapText="1"/>
    </xf>
    <xf numFmtId="49" fontId="159" fillId="73" borderId="142" xfId="0" applyNumberFormat="1" applyFont="1" applyFill="1" applyBorder="1" applyAlignment="1" applyProtection="1">
      <alignment horizontal="left" vertical="center" wrapText="1"/>
      <protection locked="0"/>
    </xf>
    <xf numFmtId="49" fontId="159" fillId="77" borderId="137" xfId="0" applyNumberFormat="1" applyFont="1" applyFill="1" applyBorder="1" applyAlignment="1" applyProtection="1">
      <alignment horizontal="left" vertical="center" wrapText="1"/>
      <protection locked="0"/>
    </xf>
    <xf numFmtId="49" fontId="159" fillId="75" borderId="137" xfId="0" applyNumberFormat="1" applyFont="1" applyFill="1" applyBorder="1" applyAlignment="1" applyProtection="1">
      <alignment horizontal="left" vertical="center" wrapText="1"/>
      <protection locked="0"/>
    </xf>
    <xf numFmtId="49" fontId="159" fillId="77" borderId="138" xfId="0" applyNumberFormat="1" applyFont="1" applyFill="1" applyBorder="1" applyAlignment="1" applyProtection="1">
      <alignment horizontal="left" vertical="center" wrapText="1"/>
      <protection locked="0"/>
    </xf>
    <xf numFmtId="49" fontId="159" fillId="73" borderId="139" xfId="0" applyNumberFormat="1" applyFont="1" applyFill="1" applyBorder="1" applyAlignment="1" applyProtection="1">
      <alignment horizontal="left" vertical="center" wrapText="1"/>
      <protection locked="0"/>
    </xf>
    <xf numFmtId="49" fontId="159" fillId="73" borderId="279" xfId="0" applyNumberFormat="1" applyFont="1" applyFill="1" applyBorder="1" applyAlignment="1" applyProtection="1">
      <alignment horizontal="left" vertical="center" wrapText="1"/>
      <protection locked="0"/>
    </xf>
    <xf numFmtId="0" fontId="161" fillId="84" borderId="217" xfId="50" applyFont="1" applyFill="1" applyBorder="1" applyAlignment="1" applyProtection="1">
      <alignment horizontal="center" vertical="center" wrapText="1"/>
    </xf>
    <xf numFmtId="0" fontId="161" fillId="85" borderId="218" xfId="50" applyFont="1" applyFill="1" applyBorder="1" applyAlignment="1" applyProtection="1">
      <alignment horizontal="center" vertical="center" wrapText="1"/>
    </xf>
    <xf numFmtId="0" fontId="166" fillId="75" borderId="243" xfId="0" applyFont="1" applyFill="1" applyBorder="1" applyAlignment="1" applyProtection="1">
      <alignment horizontal="left" vertical="top" wrapText="1"/>
      <protection locked="0"/>
    </xf>
    <xf numFmtId="0" fontId="169" fillId="78" borderId="219" xfId="51" applyFont="1" applyFill="1" applyBorder="1" applyAlignment="1" applyProtection="1">
      <alignment horizontal="center" vertical="center" wrapText="1"/>
    </xf>
    <xf numFmtId="0" fontId="169" fillId="86" borderId="220" xfId="51" applyFont="1" applyFill="1" applyBorder="1" applyAlignment="1" applyProtection="1">
      <alignment horizontal="center" vertical="center" wrapText="1"/>
    </xf>
    <xf numFmtId="0" fontId="166" fillId="75" borderId="244" xfId="0" applyFont="1" applyFill="1" applyBorder="1" applyAlignment="1" applyProtection="1">
      <alignment horizontal="left" vertical="top" wrapText="1"/>
      <protection locked="0"/>
    </xf>
    <xf numFmtId="49" fontId="166" fillId="75" borderId="219" xfId="52" applyNumberFormat="1" applyFont="1" applyFill="1" applyBorder="1" applyAlignment="1">
      <alignment horizontal="center" vertical="center" wrapText="1"/>
      <protection locked="0"/>
    </xf>
    <xf numFmtId="49" fontId="166" fillId="75" borderId="220" xfId="52" applyNumberFormat="1" applyFont="1" applyFill="1" applyBorder="1" applyAlignment="1">
      <alignment horizontal="center" vertical="center" wrapText="1"/>
      <protection locked="0"/>
    </xf>
    <xf numFmtId="49" fontId="166" fillId="77" borderId="219" xfId="49" applyNumberFormat="1" applyFont="1" applyFill="1" applyBorder="1" applyAlignment="1">
      <alignment horizontal="center" vertical="center" wrapText="1"/>
      <protection locked="0"/>
    </xf>
    <xf numFmtId="49" fontId="166" fillId="73" borderId="220" xfId="49" applyNumberFormat="1" applyFont="1" applyFill="1" applyBorder="1" applyAlignment="1">
      <alignment horizontal="center" vertical="center" wrapText="1"/>
      <protection locked="0"/>
    </xf>
    <xf numFmtId="0" fontId="166" fillId="75" borderId="246" xfId="0" applyFont="1" applyFill="1" applyBorder="1" applyAlignment="1" applyProtection="1">
      <alignment horizontal="left" vertical="top" wrapText="1"/>
      <protection locked="0"/>
    </xf>
    <xf numFmtId="0" fontId="166" fillId="75" borderId="233" xfId="0" applyFont="1" applyFill="1" applyBorder="1" applyAlignment="1">
      <alignment vertical="center" wrapText="1"/>
    </xf>
    <xf numFmtId="49" fontId="159" fillId="75" borderId="233" xfId="0" applyNumberFormat="1" applyFont="1" applyFill="1" applyBorder="1" applyAlignment="1">
      <alignment horizontal="center" vertical="center" wrapText="1"/>
    </xf>
    <xf numFmtId="0" fontId="166" fillId="75" borderId="233" xfId="0" applyFont="1" applyFill="1" applyBorder="1" applyAlignment="1">
      <alignment horizontal="center" vertical="center" wrapText="1"/>
    </xf>
    <xf numFmtId="49" fontId="166" fillId="75" borderId="250" xfId="52" applyNumberFormat="1" applyFont="1" applyFill="1" applyBorder="1" applyAlignment="1">
      <alignment horizontal="center" vertical="center" wrapText="1"/>
      <protection locked="0"/>
    </xf>
    <xf numFmtId="49" fontId="166" fillId="75" borderId="251" xfId="52" applyNumberFormat="1" applyFont="1" applyFill="1" applyBorder="1" applyAlignment="1">
      <alignment horizontal="center" vertical="center" wrapText="1"/>
      <protection locked="0"/>
    </xf>
    <xf numFmtId="0" fontId="159" fillId="71" borderId="93" xfId="0" applyFont="1" applyFill="1" applyBorder="1" applyAlignment="1">
      <alignment horizontal="center" vertical="center" wrapText="1"/>
    </xf>
    <xf numFmtId="0" fontId="168" fillId="86" borderId="145" xfId="49" applyFont="1" applyFill="1" applyBorder="1" applyAlignment="1" applyProtection="1">
      <alignment horizontal="center" vertical="center" wrapText="1"/>
    </xf>
    <xf numFmtId="0" fontId="168" fillId="78" borderId="87" xfId="49" applyFont="1" applyFill="1" applyBorder="1" applyAlignment="1" applyProtection="1">
      <alignment horizontal="center" vertical="center" wrapText="1"/>
    </xf>
    <xf numFmtId="49" fontId="159" fillId="73" borderId="94" xfId="0" applyNumberFormat="1" applyFont="1" applyFill="1" applyBorder="1" applyAlignment="1" applyProtection="1">
      <alignment horizontal="left" vertical="center" wrapText="1"/>
      <protection locked="0"/>
    </xf>
    <xf numFmtId="49" fontId="172" fillId="77" borderId="0" xfId="0" applyNumberFormat="1" applyFont="1" applyFill="1" applyAlignment="1" applyProtection="1">
      <alignment horizontal="left" vertical="center" wrapText="1"/>
      <protection locked="0"/>
    </xf>
    <xf numFmtId="49" fontId="172" fillId="73" borderId="0" xfId="0" applyNumberFormat="1" applyFont="1" applyFill="1" applyAlignment="1" applyProtection="1">
      <alignment horizontal="left" vertical="center" wrapText="1"/>
      <protection locked="0"/>
    </xf>
    <xf numFmtId="49" fontId="159" fillId="75" borderId="94" xfId="0" applyNumberFormat="1" applyFont="1" applyFill="1" applyBorder="1" applyAlignment="1" applyProtection="1">
      <alignment horizontal="left" vertical="center" wrapText="1"/>
      <protection locked="0"/>
    </xf>
    <xf numFmtId="49" fontId="172" fillId="75" borderId="0" xfId="0" applyNumberFormat="1" applyFont="1" applyFill="1" applyAlignment="1" applyProtection="1">
      <alignment horizontal="left" vertical="center" wrapText="1"/>
      <protection locked="0"/>
    </xf>
    <xf numFmtId="49" fontId="166" fillId="77" borderId="0" xfId="0" applyNumberFormat="1" applyFont="1" applyFill="1" applyAlignment="1" applyProtection="1">
      <alignment horizontal="left" vertical="center" wrapText="1"/>
      <protection locked="0"/>
    </xf>
    <xf numFmtId="49" fontId="166" fillId="73" borderId="0" xfId="0" applyNumberFormat="1" applyFont="1" applyFill="1" applyAlignment="1" applyProtection="1">
      <alignment horizontal="left" vertical="center" wrapText="1"/>
      <protection locked="0"/>
    </xf>
    <xf numFmtId="49" fontId="166" fillId="75" borderId="0" xfId="0" applyNumberFormat="1" applyFont="1" applyFill="1" applyAlignment="1" applyProtection="1">
      <alignment horizontal="left" vertical="center" wrapText="1"/>
      <protection locked="0"/>
    </xf>
    <xf numFmtId="49" fontId="159" fillId="73" borderId="222" xfId="0" applyNumberFormat="1" applyFont="1" applyFill="1" applyBorder="1" applyAlignment="1" applyProtection="1">
      <alignment horizontal="left" vertical="center" wrapText="1"/>
      <protection locked="0"/>
    </xf>
    <xf numFmtId="49" fontId="166" fillId="77" borderId="139" xfId="0" applyNumberFormat="1" applyFont="1" applyFill="1" applyBorder="1" applyAlignment="1" applyProtection="1">
      <alignment horizontal="left" vertical="center" wrapText="1"/>
      <protection locked="0"/>
    </xf>
    <xf numFmtId="49" fontId="166" fillId="73" borderId="139" xfId="0" applyNumberFormat="1" applyFont="1" applyFill="1" applyBorder="1" applyAlignment="1" applyProtection="1">
      <alignment horizontal="left" vertical="center" wrapText="1"/>
      <protection locked="0"/>
    </xf>
    <xf numFmtId="0" fontId="168" fillId="0" borderId="0" xfId="0" applyFont="1" applyAlignment="1">
      <alignment vertical="center" wrapText="1"/>
    </xf>
    <xf numFmtId="0" fontId="169" fillId="78" borderId="220" xfId="51" applyFont="1" applyFill="1" applyBorder="1" applyAlignment="1" applyProtection="1">
      <alignment horizontal="center" vertical="center" wrapText="1"/>
    </xf>
    <xf numFmtId="49" fontId="166" fillId="77" borderId="220" xfId="49" applyNumberFormat="1" applyFont="1" applyFill="1" applyBorder="1" applyAlignment="1">
      <alignment horizontal="center" vertical="center" wrapText="1"/>
      <protection locked="0"/>
    </xf>
    <xf numFmtId="49" fontId="166" fillId="75" borderId="220" xfId="0" applyNumberFormat="1" applyFont="1" applyFill="1" applyBorder="1" applyAlignment="1" applyProtection="1">
      <alignment horizontal="center" vertical="center" wrapText="1"/>
      <protection locked="0"/>
    </xf>
    <xf numFmtId="49" fontId="166" fillId="77" borderId="220" xfId="53" applyNumberFormat="1" applyFont="1" applyFill="1" applyBorder="1" applyAlignment="1">
      <alignment horizontal="center" vertical="center" wrapText="1"/>
      <protection locked="0"/>
    </xf>
    <xf numFmtId="49" fontId="166" fillId="73" borderId="220" xfId="53" applyNumberFormat="1" applyFont="1" applyFill="1" applyBorder="1" applyAlignment="1">
      <alignment horizontal="center" vertical="center" wrapText="1"/>
      <protection locked="0"/>
    </xf>
    <xf numFmtId="49" fontId="166" fillId="75" borderId="251" xfId="0" applyNumberFormat="1" applyFont="1" applyFill="1" applyBorder="1" applyAlignment="1" applyProtection="1">
      <alignment horizontal="center" vertical="center" wrapText="1"/>
      <protection locked="0"/>
    </xf>
    <xf numFmtId="0" fontId="168" fillId="86" borderId="280" xfId="49" applyFont="1" applyFill="1" applyBorder="1" applyAlignment="1" applyProtection="1">
      <alignment horizontal="center" vertical="center" wrapText="1"/>
    </xf>
    <xf numFmtId="49" fontId="172" fillId="73" borderId="281" xfId="0" applyNumberFormat="1" applyFont="1" applyFill="1" applyBorder="1" applyAlignment="1" applyProtection="1">
      <alignment horizontal="left" vertical="center" wrapText="1"/>
      <protection locked="0"/>
    </xf>
    <xf numFmtId="49" fontId="172" fillId="75" borderId="281" xfId="0" applyNumberFormat="1" applyFont="1" applyFill="1" applyBorder="1" applyAlignment="1" applyProtection="1">
      <alignment horizontal="left" vertical="center" wrapText="1"/>
      <protection locked="0"/>
    </xf>
    <xf numFmtId="49" fontId="166" fillId="73" borderId="281" xfId="0" applyNumberFormat="1" applyFont="1" applyFill="1" applyBorder="1" applyAlignment="1" applyProtection="1">
      <alignment horizontal="left" vertical="center" wrapText="1"/>
      <protection locked="0"/>
    </xf>
    <xf numFmtId="49" fontId="166" fillId="75" borderId="281" xfId="0" applyNumberFormat="1" applyFont="1" applyFill="1" applyBorder="1" applyAlignment="1" applyProtection="1">
      <alignment horizontal="left" vertical="center" wrapText="1"/>
      <protection locked="0"/>
    </xf>
    <xf numFmtId="49" fontId="159" fillId="78" borderId="220" xfId="0" applyNumberFormat="1" applyFont="1" applyFill="1" applyBorder="1" applyAlignment="1">
      <alignment horizontal="center" vertical="center" wrapText="1"/>
    </xf>
    <xf numFmtId="49" fontId="159" fillId="86" borderId="220" xfId="0" applyNumberFormat="1" applyFont="1" applyFill="1" applyBorder="1" applyAlignment="1">
      <alignment horizontal="center" vertical="center" wrapText="1"/>
    </xf>
    <xf numFmtId="49" fontId="166" fillId="75" borderId="220" xfId="0" applyNumberFormat="1" applyFont="1" applyFill="1" applyBorder="1" applyAlignment="1" applyProtection="1">
      <alignment vertical="center" wrapText="1"/>
      <protection locked="0"/>
    </xf>
    <xf numFmtId="49" fontId="166" fillId="77" borderId="220" xfId="0" applyNumberFormat="1" applyFont="1" applyFill="1" applyBorder="1" applyAlignment="1" applyProtection="1">
      <alignment vertical="center" wrapText="1"/>
      <protection locked="0"/>
    </xf>
    <xf numFmtId="49" fontId="166" fillId="73" borderId="220" xfId="0" applyNumberFormat="1" applyFont="1" applyFill="1" applyBorder="1" applyAlignment="1" applyProtection="1">
      <alignment vertical="center" wrapText="1"/>
      <protection locked="0"/>
    </xf>
    <xf numFmtId="49" fontId="166" fillId="75" borderId="251" xfId="0" applyNumberFormat="1" applyFont="1" applyFill="1" applyBorder="1" applyAlignment="1" applyProtection="1">
      <alignment vertical="center" wrapText="1"/>
      <protection locked="0"/>
    </xf>
    <xf numFmtId="0" fontId="159" fillId="78" borderId="89" xfId="0" applyFont="1" applyFill="1" applyBorder="1" applyAlignment="1">
      <alignment horizontal="center" vertical="center" wrapText="1"/>
    </xf>
    <xf numFmtId="0" fontId="159" fillId="86" borderId="87" xfId="0" applyFont="1" applyFill="1" applyBorder="1" applyAlignment="1">
      <alignment horizontal="center" vertical="center" wrapText="1"/>
    </xf>
    <xf numFmtId="49" fontId="172" fillId="77" borderId="82" xfId="0" applyNumberFormat="1" applyFont="1" applyFill="1" applyBorder="1" applyAlignment="1" applyProtection="1">
      <alignment horizontal="left" vertical="center" wrapText="1"/>
      <protection locked="0"/>
    </xf>
    <xf numFmtId="49" fontId="172" fillId="75" borderId="82" xfId="0" applyNumberFormat="1" applyFont="1" applyFill="1" applyBorder="1" applyAlignment="1" applyProtection="1">
      <alignment horizontal="left" vertical="center" wrapText="1"/>
      <protection locked="0"/>
    </xf>
    <xf numFmtId="49" fontId="166" fillId="77" borderId="82" xfId="0" applyNumberFormat="1" applyFont="1" applyFill="1" applyBorder="1" applyAlignment="1" applyProtection="1">
      <alignment horizontal="left" vertical="center" wrapText="1"/>
      <protection locked="0"/>
    </xf>
    <xf numFmtId="49" fontId="166" fillId="75" borderId="82" xfId="0" applyNumberFormat="1" applyFont="1" applyFill="1" applyBorder="1" applyAlignment="1" applyProtection="1">
      <alignment horizontal="left" vertical="center" wrapText="1"/>
      <protection locked="0"/>
    </xf>
    <xf numFmtId="49" fontId="166" fillId="77" borderId="224" xfId="0" applyNumberFormat="1" applyFont="1" applyFill="1" applyBorder="1" applyAlignment="1" applyProtection="1">
      <alignment horizontal="left" vertical="center" wrapText="1"/>
      <protection locked="0"/>
    </xf>
    <xf numFmtId="0" fontId="184" fillId="77" borderId="220" xfId="0" applyFont="1" applyFill="1" applyBorder="1" applyAlignment="1" applyProtection="1">
      <alignment horizontal="center" vertical="center" wrapText="1"/>
      <protection locked="0"/>
    </xf>
    <xf numFmtId="0" fontId="184" fillId="73" borderId="220" xfId="0" applyFont="1" applyFill="1" applyBorder="1" applyAlignment="1" applyProtection="1">
      <alignment horizontal="center" vertical="center" wrapText="1"/>
      <protection locked="0"/>
    </xf>
    <xf numFmtId="0" fontId="159" fillId="86" borderId="145" xfId="0" applyFont="1" applyFill="1" applyBorder="1" applyAlignment="1">
      <alignment horizontal="center" vertical="center" wrapText="1"/>
    </xf>
    <xf numFmtId="0" fontId="159" fillId="78" borderId="87" xfId="0" applyFont="1" applyFill="1" applyBorder="1" applyAlignment="1">
      <alignment horizontal="center" vertical="center" wrapText="1"/>
    </xf>
    <xf numFmtId="49" fontId="172" fillId="73" borderId="94" xfId="0" applyNumberFormat="1" applyFont="1" applyFill="1" applyBorder="1" applyAlignment="1" applyProtection="1">
      <alignment horizontal="left" vertical="center" wrapText="1"/>
      <protection locked="0"/>
    </xf>
    <xf numFmtId="49" fontId="159" fillId="77" borderId="0" xfId="0" applyNumberFormat="1" applyFont="1" applyFill="1" applyAlignment="1" applyProtection="1">
      <alignment horizontal="center" vertical="center" wrapText="1"/>
      <protection locked="0"/>
    </xf>
    <xf numFmtId="49" fontId="172" fillId="75" borderId="94" xfId="0" applyNumberFormat="1" applyFont="1" applyFill="1" applyBorder="1" applyAlignment="1" applyProtection="1">
      <alignment horizontal="left" vertical="center" wrapText="1"/>
      <protection locked="0"/>
    </xf>
    <xf numFmtId="49" fontId="166" fillId="73" borderId="94" xfId="0" applyNumberFormat="1" applyFont="1" applyFill="1" applyBorder="1" applyAlignment="1" applyProtection="1">
      <alignment horizontal="left" vertical="center" wrapText="1"/>
      <protection locked="0"/>
    </xf>
    <xf numFmtId="49" fontId="166" fillId="75" borderId="94" xfId="0" applyNumberFormat="1" applyFont="1" applyFill="1" applyBorder="1" applyAlignment="1" applyProtection="1">
      <alignment horizontal="left" vertical="center" wrapText="1"/>
      <protection locked="0"/>
    </xf>
    <xf numFmtId="49" fontId="166" fillId="73" borderId="222" xfId="0" applyNumberFormat="1" applyFont="1" applyFill="1" applyBorder="1" applyAlignment="1" applyProtection="1">
      <alignment horizontal="left" vertical="center" wrapText="1"/>
      <protection locked="0"/>
    </xf>
    <xf numFmtId="49" fontId="159" fillId="77" borderId="139" xfId="0" applyNumberFormat="1" applyFont="1" applyFill="1" applyBorder="1" applyAlignment="1" applyProtection="1">
      <alignment horizontal="center" vertical="center" wrapText="1"/>
      <protection locked="0"/>
    </xf>
    <xf numFmtId="192" fontId="189" fillId="75" borderId="213" xfId="0" applyNumberFormat="1" applyFont="1" applyFill="1" applyBorder="1" applyAlignment="1">
      <alignment horizontal="center" vertical="center" wrapText="1"/>
    </xf>
    <xf numFmtId="192" fontId="189" fillId="75" borderId="214" xfId="0" applyNumberFormat="1" applyFont="1" applyFill="1" applyBorder="1" applyAlignment="1">
      <alignment horizontal="center" vertical="center" wrapText="1"/>
    </xf>
    <xf numFmtId="0" fontId="184" fillId="73" borderId="233" xfId="0" applyFont="1" applyFill="1" applyBorder="1" applyAlignment="1" applyProtection="1">
      <alignment horizontal="center" vertical="center" wrapText="1"/>
      <protection locked="0"/>
    </xf>
    <xf numFmtId="0" fontId="168" fillId="78" borderId="213" xfId="0" applyFont="1" applyFill="1" applyBorder="1" applyAlignment="1">
      <alignment horizontal="center" vertical="center" wrapText="1"/>
    </xf>
    <xf numFmtId="0" fontId="168" fillId="86" borderId="214" xfId="0" applyFont="1" applyFill="1" applyBorder="1" applyAlignment="1">
      <alignment horizontal="center" vertical="center" wrapText="1"/>
    </xf>
    <xf numFmtId="185" fontId="168" fillId="78" borderId="213" xfId="0" applyNumberFormat="1" applyFont="1" applyFill="1" applyBorder="1" applyAlignment="1">
      <alignment horizontal="center" vertical="top" wrapText="1"/>
    </xf>
    <xf numFmtId="185" fontId="168" fillId="86" borderId="214" xfId="0" applyNumberFormat="1" applyFont="1" applyFill="1" applyBorder="1" applyAlignment="1">
      <alignment horizontal="center" vertical="top" wrapText="1"/>
    </xf>
    <xf numFmtId="185" fontId="168" fillId="86" borderId="213" xfId="0" applyNumberFormat="1" applyFont="1" applyFill="1" applyBorder="1" applyAlignment="1">
      <alignment horizontal="center" vertical="top" wrapText="1"/>
    </xf>
    <xf numFmtId="0" fontId="167" fillId="75" borderId="233" xfId="0" applyFont="1" applyFill="1" applyBorder="1" applyAlignment="1" applyProtection="1">
      <alignment horizontal="left" vertical="top" wrapText="1"/>
      <protection locked="0"/>
    </xf>
    <xf numFmtId="0" fontId="167" fillId="75" borderId="259" xfId="0" applyFont="1" applyFill="1" applyBorder="1" applyAlignment="1" applyProtection="1">
      <alignment horizontal="left" vertical="top" wrapText="1"/>
      <protection locked="0"/>
    </xf>
    <xf numFmtId="0" fontId="161" fillId="85" borderId="129" xfId="0" applyFont="1" applyFill="1" applyBorder="1" applyAlignment="1">
      <alignment horizontal="center" vertical="center" wrapText="1"/>
    </xf>
    <xf numFmtId="0" fontId="159" fillId="71" borderId="282" xfId="0" applyFont="1" applyFill="1" applyBorder="1" applyAlignment="1">
      <alignment horizontal="center" vertical="center" wrapText="1"/>
    </xf>
    <xf numFmtId="0" fontId="159" fillId="86" borderId="279" xfId="0" applyFont="1" applyFill="1" applyBorder="1" applyAlignment="1">
      <alignment horizontal="center" vertical="center" wrapText="1"/>
    </xf>
    <xf numFmtId="49" fontId="159" fillId="73" borderId="142" xfId="0" applyNumberFormat="1" applyFont="1" applyFill="1" applyBorder="1" applyAlignment="1" applyProtection="1">
      <alignment horizontal="center" vertical="center" wrapText="1"/>
      <protection locked="0"/>
    </xf>
    <xf numFmtId="49" fontId="159" fillId="75" borderId="142" xfId="0" applyNumberFormat="1" applyFont="1" applyFill="1" applyBorder="1" applyAlignment="1" applyProtection="1">
      <alignment horizontal="center" vertical="center" wrapText="1"/>
      <protection locked="0"/>
    </xf>
    <xf numFmtId="0" fontId="168" fillId="84" borderId="213" xfId="0" applyFont="1" applyFill="1" applyBorder="1" applyAlignment="1">
      <alignment horizontal="center" vertical="center" wrapText="1"/>
    </xf>
    <xf numFmtId="0" fontId="168" fillId="85" borderId="214" xfId="0" applyFont="1" applyFill="1" applyBorder="1" applyAlignment="1">
      <alignment horizontal="center" vertical="center" wrapText="1"/>
    </xf>
    <xf numFmtId="0" fontId="159" fillId="78" borderId="213" xfId="0" applyFont="1" applyFill="1" applyBorder="1" applyAlignment="1">
      <alignment horizontal="left" vertical="top" wrapText="1"/>
    </xf>
    <xf numFmtId="0" fontId="159" fillId="86" borderId="214" xfId="0" applyFont="1" applyFill="1" applyBorder="1" applyAlignment="1">
      <alignment horizontal="left" vertical="top" wrapText="1"/>
    </xf>
    <xf numFmtId="0" fontId="159" fillId="86" borderId="213" xfId="0" applyFont="1" applyFill="1" applyBorder="1" applyAlignment="1">
      <alignment horizontal="left" vertical="top" wrapText="1"/>
    </xf>
    <xf numFmtId="49" fontId="159" fillId="73" borderId="143" xfId="0" applyNumberFormat="1" applyFont="1" applyFill="1" applyBorder="1" applyAlignment="1" applyProtection="1">
      <alignment horizontal="center" vertical="center" wrapText="1"/>
      <protection locked="0"/>
    </xf>
    <xf numFmtId="0" fontId="161" fillId="85" borderId="232" xfId="50" applyFont="1" applyFill="1" applyBorder="1" applyAlignment="1" applyProtection="1">
      <alignment horizontal="center" vertical="center" wrapText="1"/>
    </xf>
    <xf numFmtId="49" fontId="159" fillId="86" borderId="233" xfId="0" applyNumberFormat="1" applyFont="1" applyFill="1" applyBorder="1" applyAlignment="1">
      <alignment horizontal="center" vertical="center" wrapText="1"/>
    </xf>
    <xf numFmtId="49" fontId="166" fillId="75" borderId="233" xfId="0" applyNumberFormat="1" applyFont="1" applyFill="1" applyBorder="1" applyAlignment="1" applyProtection="1">
      <alignment vertical="center" wrapText="1"/>
      <protection locked="0"/>
    </xf>
    <xf numFmtId="49" fontId="166" fillId="73" borderId="233" xfId="0" applyNumberFormat="1" applyFont="1" applyFill="1" applyBorder="1" applyAlignment="1" applyProtection="1">
      <alignment vertical="center" wrapText="1"/>
      <protection locked="0"/>
    </xf>
    <xf numFmtId="0" fontId="190" fillId="0" borderId="0" xfId="0" applyFont="1" applyAlignment="1">
      <alignment vertical="top" wrapText="1"/>
    </xf>
    <xf numFmtId="49" fontId="166" fillId="75" borderId="259" xfId="0" applyNumberFormat="1" applyFont="1" applyFill="1" applyBorder="1" applyAlignment="1" applyProtection="1">
      <alignment vertical="center" wrapText="1"/>
      <protection locked="0"/>
    </xf>
    <xf numFmtId="185" fontId="159" fillId="77" borderId="214" xfId="0" applyNumberFormat="1" applyFont="1" applyFill="1" applyBorder="1" applyAlignment="1">
      <alignment horizontal="center" vertical="center" wrapText="1"/>
    </xf>
    <xf numFmtId="185" fontId="159" fillId="75" borderId="214" xfId="0" applyNumberFormat="1" applyFont="1" applyFill="1" applyBorder="1" applyAlignment="1">
      <alignment horizontal="center" vertical="center" wrapText="1"/>
    </xf>
    <xf numFmtId="185" fontId="159" fillId="73" borderId="214" xfId="0" applyNumberFormat="1" applyFont="1" applyFill="1" applyBorder="1" applyAlignment="1">
      <alignment horizontal="center" vertical="center" wrapText="1"/>
    </xf>
    <xf numFmtId="0" fontId="159" fillId="77" borderId="214" xfId="0" applyFont="1" applyFill="1" applyBorder="1" applyAlignment="1">
      <alignment horizontal="center" vertical="center" wrapText="1"/>
    </xf>
    <xf numFmtId="0" fontId="159" fillId="73" borderId="214" xfId="0" applyFont="1" applyFill="1" applyBorder="1" applyAlignment="1">
      <alignment horizontal="center" vertical="center" wrapText="1"/>
    </xf>
    <xf numFmtId="0" fontId="159" fillId="73" borderId="248" xfId="0" applyFont="1" applyFill="1" applyBorder="1" applyAlignment="1">
      <alignment horizontal="center" vertical="center" wrapText="1"/>
    </xf>
    <xf numFmtId="185" fontId="159" fillId="75" borderId="248" xfId="0" applyNumberFormat="1" applyFont="1" applyFill="1" applyBorder="1" applyAlignment="1">
      <alignment horizontal="center" vertical="center" wrapText="1"/>
    </xf>
    <xf numFmtId="185" fontId="159" fillId="73" borderId="248" xfId="0" applyNumberFormat="1" applyFont="1" applyFill="1" applyBorder="1" applyAlignment="1">
      <alignment horizontal="center" vertical="center" wrapText="1"/>
    </xf>
    <xf numFmtId="0" fontId="168" fillId="86" borderId="248" xfId="0" applyFont="1" applyFill="1" applyBorder="1" applyAlignment="1">
      <alignment horizontal="center" vertical="center" wrapText="1"/>
    </xf>
    <xf numFmtId="185" fontId="168" fillId="86" borderId="248" xfId="0" applyNumberFormat="1" applyFont="1" applyFill="1" applyBorder="1" applyAlignment="1">
      <alignment horizontal="center" vertical="top" wrapText="1"/>
    </xf>
    <xf numFmtId="0" fontId="168" fillId="85" borderId="248" xfId="0" applyFont="1" applyFill="1" applyBorder="1" applyAlignment="1">
      <alignment horizontal="center" vertical="center" wrapText="1"/>
    </xf>
    <xf numFmtId="0" fontId="159" fillId="86" borderId="248" xfId="0" applyFont="1" applyFill="1" applyBorder="1" applyAlignment="1">
      <alignment horizontal="left" vertical="top" wrapText="1"/>
    </xf>
    <xf numFmtId="0" fontId="161" fillId="84" borderId="137" xfId="50" applyFont="1" applyFill="1" applyBorder="1" applyAlignment="1" applyProtection="1">
      <alignment horizontal="center" vertical="center" wrapText="1"/>
    </xf>
    <xf numFmtId="0" fontId="161" fillId="85" borderId="0" xfId="50" applyFont="1" applyFill="1" applyBorder="1" applyAlignment="1" applyProtection="1">
      <alignment horizontal="center" vertical="center" wrapText="1"/>
    </xf>
    <xf numFmtId="0" fontId="159" fillId="75" borderId="228" xfId="0" applyFont="1" applyFill="1" applyBorder="1" applyAlignment="1">
      <alignment horizontal="left" vertical="center" wrapText="1"/>
    </xf>
    <xf numFmtId="0" fontId="159" fillId="75" borderId="101" xfId="0" applyFont="1" applyFill="1" applyBorder="1" applyAlignment="1">
      <alignment horizontal="left" vertical="center" wrapText="1"/>
    </xf>
    <xf numFmtId="0" fontId="159" fillId="75" borderId="229" xfId="0" applyFont="1" applyFill="1" applyBorder="1" applyAlignment="1">
      <alignment horizontal="center" vertical="center" wrapText="1"/>
    </xf>
    <xf numFmtId="0" fontId="190" fillId="0" borderId="0" xfId="0" applyFont="1" applyAlignment="1">
      <alignment horizontal="center" vertical="top" wrapText="1"/>
    </xf>
    <xf numFmtId="0" fontId="166" fillId="75" borderId="101" xfId="0" applyFont="1" applyFill="1" applyBorder="1" applyAlignment="1">
      <alignment horizontal="center" vertical="center" wrapText="1"/>
    </xf>
    <xf numFmtId="0" fontId="132" fillId="0" borderId="0" xfId="0" applyFont="1" applyAlignment="1"/>
    <xf numFmtId="0" fontId="159" fillId="75" borderId="92" xfId="0" applyFont="1" applyFill="1" applyBorder="1" applyAlignment="1">
      <alignment horizontal="left" vertical="center" wrapText="1"/>
    </xf>
    <xf numFmtId="0" fontId="159" fillId="75" borderId="95" xfId="0" applyFont="1" applyFill="1" applyBorder="1" applyAlignment="1">
      <alignment horizontal="left" vertical="center" wrapText="1"/>
    </xf>
    <xf numFmtId="0" fontId="159" fillId="77" borderId="283" xfId="0" applyFont="1" applyFill="1" applyBorder="1" applyAlignment="1">
      <alignment horizontal="center" vertical="center" wrapText="1"/>
    </xf>
    <xf numFmtId="0" fontId="159" fillId="73" borderId="284" xfId="0" applyFont="1" applyFill="1" applyBorder="1" applyAlignment="1">
      <alignment horizontal="center" vertical="center" wrapText="1"/>
    </xf>
    <xf numFmtId="1" fontId="191" fillId="77" borderId="284" xfId="0" applyNumberFormat="1" applyFont="1" applyFill="1" applyBorder="1" applyAlignment="1" applyProtection="1">
      <alignment horizontal="center" vertical="center" wrapText="1"/>
      <protection locked="0"/>
    </xf>
    <xf numFmtId="1" fontId="191" fillId="73" borderId="284" xfId="0" applyNumberFormat="1" applyFont="1" applyFill="1" applyBorder="1" applyAlignment="1" applyProtection="1">
      <alignment horizontal="center" vertical="center" wrapText="1"/>
      <protection locked="0"/>
    </xf>
    <xf numFmtId="0" fontId="166" fillId="77" borderId="285" xfId="53" applyFont="1" applyFill="1" applyBorder="1" applyAlignment="1" applyProtection="1">
      <alignment horizontal="center" vertical="center" wrapText="1"/>
    </xf>
    <xf numFmtId="0" fontId="166" fillId="73" borderId="101" xfId="53" applyFont="1" applyFill="1" applyBorder="1" applyAlignment="1" applyProtection="1">
      <alignment horizontal="center" vertical="center" wrapText="1"/>
    </xf>
    <xf numFmtId="185" fontId="192" fillId="77" borderId="285" xfId="53" applyNumberFormat="1" applyFont="1" applyFill="1" applyBorder="1" applyAlignment="1" applyProtection="1">
      <alignment horizontal="center" vertical="center" wrapText="1"/>
    </xf>
    <xf numFmtId="185" fontId="192" fillId="73" borderId="101" xfId="53" applyNumberFormat="1" applyFont="1" applyFill="1" applyBorder="1" applyAlignment="1" applyProtection="1">
      <alignment horizontal="center" vertical="center" wrapText="1"/>
    </xf>
    <xf numFmtId="185" fontId="192" fillId="73" borderId="285" xfId="53" applyNumberFormat="1" applyFont="1" applyFill="1" applyBorder="1" applyAlignment="1" applyProtection="1">
      <alignment horizontal="center" vertical="center" wrapText="1"/>
    </xf>
    <xf numFmtId="185" fontId="192" fillId="73" borderId="286" xfId="53" applyNumberFormat="1" applyFont="1" applyFill="1" applyBorder="1" applyAlignment="1" applyProtection="1">
      <alignment horizontal="center" vertical="center" wrapText="1"/>
    </xf>
    <xf numFmtId="185" fontId="192" fillId="73" borderId="195" xfId="53" applyNumberFormat="1" applyFont="1" applyFill="1" applyBorder="1" applyAlignment="1" applyProtection="1">
      <alignment horizontal="center" vertical="center" wrapText="1"/>
    </xf>
    <xf numFmtId="0" fontId="159" fillId="75" borderId="287" xfId="0" applyFont="1" applyFill="1" applyBorder="1" applyAlignment="1">
      <alignment horizontal="center" vertical="center" wrapText="1"/>
    </xf>
    <xf numFmtId="0" fontId="166" fillId="75" borderId="259" xfId="0" applyFont="1" applyFill="1" applyBorder="1" applyAlignment="1">
      <alignment horizontal="center" vertical="center" wrapText="1"/>
    </xf>
    <xf numFmtId="49" fontId="159" fillId="78" borderId="228" xfId="0" applyNumberFormat="1" applyFont="1" applyFill="1" applyBorder="1" applyAlignment="1">
      <alignment horizontal="center" vertical="top" wrapText="1"/>
    </xf>
    <xf numFmtId="49" fontId="159" fillId="86" borderId="101" xfId="0" applyNumberFormat="1" applyFont="1" applyFill="1" applyBorder="1" applyAlignment="1">
      <alignment horizontal="center" vertical="top" wrapText="1"/>
    </xf>
    <xf numFmtId="0" fontId="161" fillId="85" borderId="142" xfId="50" applyFont="1" applyFill="1" applyBorder="1" applyAlignment="1" applyProtection="1">
      <alignment horizontal="center" vertical="center" wrapText="1"/>
    </xf>
    <xf numFmtId="49" fontId="159" fillId="75" borderId="270" xfId="0" applyNumberFormat="1" applyFont="1" applyFill="1" applyBorder="1" applyAlignment="1" applyProtection="1">
      <alignment horizontal="center" vertical="top" wrapText="1"/>
      <protection locked="0"/>
    </xf>
    <xf numFmtId="49" fontId="159" fillId="75" borderId="95" xfId="0" applyNumberFormat="1" applyFont="1" applyFill="1" applyBorder="1" applyAlignment="1" applyProtection="1">
      <alignment horizontal="center" vertical="top" wrapText="1"/>
      <protection locked="0"/>
    </xf>
    <xf numFmtId="49" fontId="159" fillId="77" borderId="288" xfId="0" applyNumberFormat="1" applyFont="1" applyFill="1" applyBorder="1" applyAlignment="1" applyProtection="1">
      <alignment horizontal="center" vertical="top" wrapText="1"/>
      <protection locked="0"/>
    </xf>
    <xf numFmtId="49" fontId="159" fillId="73" borderId="289" xfId="0" applyNumberFormat="1" applyFont="1" applyFill="1" applyBorder="1" applyAlignment="1" applyProtection="1">
      <alignment horizontal="center" vertical="top" wrapText="1"/>
      <protection locked="0"/>
    </xf>
    <xf numFmtId="49" fontId="159" fillId="75" borderId="290" xfId="0" applyNumberFormat="1" applyFont="1" applyFill="1" applyBorder="1" applyAlignment="1" applyProtection="1">
      <alignment horizontal="center" vertical="center" wrapText="1"/>
      <protection locked="0"/>
    </xf>
    <xf numFmtId="49" fontId="159" fillId="75" borderId="97" xfId="0" applyNumberFormat="1" applyFont="1" applyFill="1" applyBorder="1" applyAlignment="1" applyProtection="1">
      <alignment horizontal="center" vertical="center" wrapText="1"/>
      <protection locked="0"/>
    </xf>
    <xf numFmtId="0" fontId="159" fillId="75" borderId="244" xfId="0" applyFont="1" applyFill="1" applyBorder="1" applyAlignment="1">
      <alignment horizontal="left" vertical="center" wrapText="1"/>
    </xf>
    <xf numFmtId="49" fontId="159" fillId="77" borderId="291" xfId="0" applyNumberFormat="1" applyFont="1" applyFill="1" applyBorder="1" applyAlignment="1" applyProtection="1">
      <alignment horizontal="center" vertical="top" wrapText="1"/>
      <protection locked="0"/>
    </xf>
    <xf numFmtId="49" fontId="159" fillId="73" borderId="292" xfId="0" applyNumberFormat="1" applyFont="1" applyFill="1" applyBorder="1" applyAlignment="1" applyProtection="1">
      <alignment horizontal="center" vertical="top" wrapText="1"/>
      <protection locked="0"/>
    </xf>
    <xf numFmtId="0" fontId="159" fillId="75" borderId="245" xfId="0" applyFont="1" applyFill="1" applyBorder="1" applyAlignment="1">
      <alignment horizontal="left" vertical="center" wrapText="1"/>
    </xf>
    <xf numFmtId="1" fontId="191" fillId="73" borderId="293" xfId="0" applyNumberFormat="1" applyFont="1" applyFill="1" applyBorder="1" applyAlignment="1" applyProtection="1">
      <alignment horizontal="center" vertical="center" wrapText="1"/>
      <protection locked="0"/>
    </xf>
    <xf numFmtId="0" fontId="166" fillId="73" borderId="244" xfId="53" applyFont="1" applyFill="1" applyBorder="1" applyAlignment="1" applyProtection="1">
      <alignment horizontal="center" vertical="center" wrapText="1"/>
    </xf>
    <xf numFmtId="185" fontId="192" fillId="73" borderId="244" xfId="53" applyNumberFormat="1" applyFont="1" applyFill="1" applyBorder="1" applyAlignment="1" applyProtection="1">
      <alignment horizontal="center" vertical="center" wrapText="1"/>
    </xf>
    <xf numFmtId="185" fontId="192" fillId="73" borderId="294" xfId="53" applyNumberFormat="1" applyFont="1" applyFill="1" applyBorder="1" applyAlignment="1" applyProtection="1">
      <alignment horizontal="center" vertical="center" wrapText="1"/>
    </xf>
    <xf numFmtId="0" fontId="159" fillId="75" borderId="295" xfId="0" applyFont="1" applyFill="1" applyBorder="1" applyAlignment="1">
      <alignment horizontal="center" vertical="center" wrapText="1"/>
    </xf>
    <xf numFmtId="49" fontId="159" fillId="75" borderId="138" xfId="0" applyNumberFormat="1" applyFont="1" applyFill="1" applyBorder="1" applyAlignment="1" applyProtection="1">
      <alignment horizontal="center" vertical="center" wrapText="1"/>
      <protection locked="0"/>
    </xf>
    <xf numFmtId="49" fontId="159" fillId="75" borderId="139" xfId="0" applyNumberFormat="1" applyFont="1" applyFill="1" applyBorder="1" applyAlignment="1" applyProtection="1">
      <alignment horizontal="center" vertical="center" wrapText="1"/>
      <protection locked="0"/>
    </xf>
    <xf numFmtId="49" fontId="159" fillId="78" borderId="101" xfId="0" applyNumberFormat="1" applyFont="1" applyFill="1" applyBorder="1" applyAlignment="1">
      <alignment horizontal="center" vertical="top" wrapText="1"/>
    </xf>
    <xf numFmtId="49" fontId="159" fillId="75" borderId="88" xfId="0" applyNumberFormat="1" applyFont="1" applyFill="1" applyBorder="1" applyAlignment="1" applyProtection="1">
      <alignment horizontal="center" vertical="top" wrapText="1"/>
      <protection locked="0"/>
    </xf>
    <xf numFmtId="49" fontId="166" fillId="75" borderId="95" xfId="0" applyNumberFormat="1" applyFont="1" applyFill="1" applyBorder="1" applyAlignment="1" applyProtection="1">
      <alignment horizontal="center" vertical="center" wrapText="1"/>
      <protection locked="0"/>
    </xf>
    <xf numFmtId="49" fontId="159" fillId="73" borderId="296" xfId="0" applyNumberFormat="1" applyFont="1" applyFill="1" applyBorder="1" applyAlignment="1" applyProtection="1">
      <alignment horizontal="center" vertical="top" wrapText="1"/>
      <protection locked="0"/>
    </xf>
    <xf numFmtId="49" fontId="159" fillId="77" borderId="297" xfId="0" applyNumberFormat="1" applyFont="1" applyFill="1" applyBorder="1" applyAlignment="1" applyProtection="1">
      <alignment horizontal="center" vertical="center" wrapText="1"/>
      <protection locked="0"/>
    </xf>
    <xf numFmtId="49" fontId="159" fillId="73" borderId="289" xfId="0" applyNumberFormat="1" applyFont="1" applyFill="1" applyBorder="1" applyAlignment="1" applyProtection="1">
      <alignment horizontal="center" vertical="center" wrapText="1"/>
      <protection locked="0"/>
    </xf>
    <xf numFmtId="49" fontId="159" fillId="75" borderId="82" xfId="0" applyNumberFormat="1" applyFont="1" applyFill="1" applyBorder="1" applyAlignment="1" applyProtection="1">
      <alignment horizontal="center" vertical="center" wrapText="1"/>
      <protection locked="0"/>
    </xf>
    <xf numFmtId="49" fontId="159" fillId="73" borderId="298" xfId="0" applyNumberFormat="1" applyFont="1" applyFill="1" applyBorder="1" applyAlignment="1" applyProtection="1">
      <alignment horizontal="center" vertical="top" wrapText="1"/>
      <protection locked="0"/>
    </xf>
    <xf numFmtId="49" fontId="159" fillId="77" borderId="289" xfId="0" applyNumberFormat="1" applyFont="1" applyFill="1" applyBorder="1" applyAlignment="1" applyProtection="1">
      <alignment horizontal="center" vertical="center" wrapText="1"/>
      <protection locked="0"/>
    </xf>
    <xf numFmtId="49" fontId="159" fillId="77" borderId="298" xfId="0" applyNumberFormat="1" applyFont="1" applyFill="1" applyBorder="1" applyAlignment="1" applyProtection="1">
      <alignment horizontal="center" vertical="center" wrapText="1"/>
      <protection locked="0"/>
    </xf>
    <xf numFmtId="49" fontId="159" fillId="73" borderId="292" xfId="0" applyNumberFormat="1" applyFont="1" applyFill="1" applyBorder="1" applyAlignment="1" applyProtection="1">
      <alignment horizontal="center" vertical="center" wrapText="1"/>
      <protection locked="0"/>
    </xf>
    <xf numFmtId="49" fontId="159" fillId="75" borderId="224" xfId="0" applyNumberFormat="1" applyFont="1" applyFill="1" applyBorder="1" applyAlignment="1" applyProtection="1">
      <alignment horizontal="center" vertical="center" wrapText="1"/>
      <protection locked="0"/>
    </xf>
    <xf numFmtId="49" fontId="159" fillId="75" borderId="162" xfId="0" applyNumberFormat="1" applyFont="1" applyFill="1" applyBorder="1" applyAlignment="1" applyProtection="1">
      <alignment horizontal="center" vertical="center" wrapText="1"/>
      <protection locked="0"/>
    </xf>
    <xf numFmtId="49" fontId="159" fillId="75" borderId="95" xfId="0" applyNumberFormat="1" applyFont="1" applyFill="1" applyBorder="1" applyAlignment="1" applyProtection="1">
      <alignment horizontal="center" vertical="center" wrapText="1"/>
      <protection locked="0"/>
    </xf>
    <xf numFmtId="49" fontId="159" fillId="77" borderId="299" xfId="0" applyNumberFormat="1" applyFont="1" applyFill="1" applyBorder="1" applyAlignment="1" applyProtection="1">
      <alignment horizontal="center" vertical="center" wrapText="1"/>
      <protection locked="0"/>
    </xf>
    <xf numFmtId="49" fontId="159" fillId="73" borderId="299" xfId="0" applyNumberFormat="1" applyFont="1" applyFill="1" applyBorder="1" applyAlignment="1" applyProtection="1">
      <alignment horizontal="center" vertical="center" wrapText="1"/>
      <protection locked="0"/>
    </xf>
    <xf numFmtId="49" fontId="159" fillId="77" borderId="292" xfId="0" applyNumberFormat="1" applyFont="1" applyFill="1" applyBorder="1" applyAlignment="1" applyProtection="1">
      <alignment horizontal="center" vertical="center" wrapText="1"/>
      <protection locked="0"/>
    </xf>
    <xf numFmtId="49" fontId="159" fillId="75" borderId="222" xfId="0" applyNumberFormat="1" applyFont="1" applyFill="1" applyBorder="1" applyAlignment="1" applyProtection="1">
      <alignment horizontal="center" vertical="center" wrapText="1"/>
      <protection locked="0"/>
    </xf>
    <xf numFmtId="0" fontId="193" fillId="0" borderId="0" xfId="0" applyFont="1" applyAlignment="1">
      <alignment vertical="top"/>
    </xf>
    <xf numFmtId="0" fontId="194" fillId="0" borderId="0" xfId="0" applyFont="1" applyAlignment="1">
      <alignment vertical="top" wrapText="1"/>
    </xf>
    <xf numFmtId="49" fontId="159" fillId="75" borderId="88" xfId="0" applyNumberFormat="1" applyFont="1" applyFill="1" applyBorder="1" applyAlignment="1" applyProtection="1">
      <alignment horizontal="center" vertical="center" wrapText="1"/>
      <protection locked="0"/>
    </xf>
    <xf numFmtId="49" fontId="159" fillId="73" borderId="298" xfId="0" applyNumberFormat="1" applyFont="1" applyFill="1" applyBorder="1" applyAlignment="1" applyProtection="1">
      <alignment horizontal="center" vertical="center" wrapText="1"/>
      <protection locked="0"/>
    </xf>
    <xf numFmtId="49" fontId="159" fillId="86" borderId="244" xfId="0" applyNumberFormat="1" applyFont="1" applyFill="1" applyBorder="1" applyAlignment="1">
      <alignment horizontal="center" vertical="top" wrapText="1"/>
    </xf>
    <xf numFmtId="0" fontId="183" fillId="88" borderId="213" xfId="0" applyFont="1" applyFill="1" applyBorder="1" applyAlignment="1">
      <alignment horizontal="right" vertical="top" wrapText="1"/>
    </xf>
    <xf numFmtId="0" fontId="183" fillId="88" borderId="214" xfId="0" applyFont="1" applyFill="1" applyBorder="1" applyAlignment="1">
      <alignment horizontal="right" vertical="top" wrapText="1"/>
    </xf>
    <xf numFmtId="49" fontId="159" fillId="75" borderId="245" xfId="0" applyNumberFormat="1" applyFont="1" applyFill="1" applyBorder="1" applyAlignment="1" applyProtection="1">
      <alignment horizontal="center" vertical="center" wrapText="1"/>
      <protection locked="0"/>
    </xf>
    <xf numFmtId="185" fontId="183" fillId="78" borderId="213" xfId="0" applyNumberFormat="1" applyFont="1" applyFill="1" applyBorder="1" applyAlignment="1">
      <alignment horizontal="center" vertical="top" wrapText="1"/>
    </xf>
    <xf numFmtId="185" fontId="183" fillId="86" borderId="214" xfId="0" applyNumberFormat="1" applyFont="1" applyFill="1" applyBorder="1" applyAlignment="1">
      <alignment horizontal="center" vertical="top" wrapText="1"/>
    </xf>
    <xf numFmtId="49" fontId="159" fillId="73" borderId="300" xfId="0" applyNumberFormat="1" applyFont="1" applyFill="1" applyBorder="1" applyAlignment="1" applyProtection="1">
      <alignment horizontal="center" vertical="center" wrapText="1"/>
      <protection locked="0"/>
    </xf>
    <xf numFmtId="185" fontId="183" fillId="86" borderId="213" xfId="0" applyNumberFormat="1" applyFont="1" applyFill="1" applyBorder="1" applyAlignment="1">
      <alignment horizontal="center" vertical="top" wrapText="1"/>
    </xf>
    <xf numFmtId="49" fontId="159" fillId="75" borderId="301" xfId="0" applyNumberFormat="1" applyFont="1" applyFill="1" applyBorder="1" applyAlignment="1" applyProtection="1">
      <alignment horizontal="center" vertical="center" wrapText="1"/>
      <protection locked="0"/>
    </xf>
    <xf numFmtId="49" fontId="159" fillId="73" borderId="302" xfId="0" applyNumberFormat="1" applyFont="1" applyFill="1" applyBorder="1" applyAlignment="1" applyProtection="1">
      <alignment horizontal="center" vertical="center" wrapText="1"/>
      <protection locked="0"/>
    </xf>
    <xf numFmtId="0" fontId="159" fillId="88" borderId="213" xfId="0" applyFont="1" applyFill="1" applyBorder="1" applyAlignment="1">
      <alignment horizontal="center" vertical="center" wrapText="1"/>
    </xf>
    <xf numFmtId="0" fontId="159" fillId="71" borderId="214" xfId="0" applyFont="1" applyFill="1" applyBorder="1" applyAlignment="1">
      <alignment horizontal="center" vertical="center" wrapText="1"/>
    </xf>
    <xf numFmtId="49" fontId="159" fillId="75" borderId="143" xfId="0" applyNumberFormat="1" applyFont="1" applyFill="1" applyBorder="1" applyAlignment="1" applyProtection="1">
      <alignment horizontal="center" vertical="center" wrapText="1"/>
      <protection locked="0"/>
    </xf>
    <xf numFmtId="49" fontId="159" fillId="77" borderId="215" xfId="0" applyNumberFormat="1" applyFont="1" applyFill="1" applyBorder="1" applyAlignment="1" applyProtection="1">
      <alignment horizontal="center" vertical="center"/>
      <protection locked="0"/>
    </xf>
    <xf numFmtId="49" fontId="159" fillId="73" borderId="216" xfId="0" applyNumberFormat="1" applyFont="1" applyFill="1" applyBorder="1" applyAlignment="1" applyProtection="1">
      <alignment horizontal="center" vertical="center"/>
      <protection locked="0"/>
    </xf>
    <xf numFmtId="0" fontId="195" fillId="0" borderId="0" xfId="0" applyFont="1" applyAlignment="1">
      <alignment horizontal="center" vertical="center" wrapText="1"/>
    </xf>
    <xf numFmtId="0" fontId="183" fillId="88" borderId="214" xfId="0" applyFont="1" applyFill="1" applyBorder="1" applyAlignment="1" applyProtection="1">
      <alignment horizontal="left" vertical="top" wrapText="1"/>
      <protection locked="0"/>
    </xf>
    <xf numFmtId="49" fontId="159" fillId="77" borderId="216" xfId="0" applyNumberFormat="1" applyFont="1" applyFill="1" applyBorder="1" applyAlignment="1" applyProtection="1">
      <alignment horizontal="center" vertical="center" wrapText="1"/>
      <protection locked="0"/>
    </xf>
    <xf numFmtId="49" fontId="159" fillId="73" borderId="216" xfId="0" applyNumberFormat="1" applyFont="1" applyFill="1" applyBorder="1" applyAlignment="1" applyProtection="1">
      <alignment horizontal="center" vertical="center" wrapText="1"/>
      <protection locked="0"/>
    </xf>
    <xf numFmtId="0" fontId="183" fillId="74" borderId="214" xfId="0" applyFont="1" applyFill="1" applyBorder="1" applyAlignment="1" applyProtection="1">
      <alignment horizontal="left" vertical="top" wrapText="1"/>
      <protection locked="0"/>
    </xf>
    <xf numFmtId="0" fontId="159" fillId="88" borderId="214" xfId="0" applyFont="1" applyFill="1" applyBorder="1" applyAlignment="1">
      <alignment horizontal="center" vertical="center" wrapText="1"/>
    </xf>
    <xf numFmtId="49" fontId="159" fillId="77" borderId="216" xfId="0" applyNumberFormat="1" applyFont="1" applyFill="1" applyBorder="1" applyAlignment="1" applyProtection="1">
      <alignment horizontal="center" vertical="center"/>
      <protection locked="0"/>
    </xf>
    <xf numFmtId="0" fontId="183" fillId="88" borderId="214" xfId="0" applyFont="1" applyFill="1" applyBorder="1" applyAlignment="1">
      <alignment horizontal="center" vertical="top" wrapText="1"/>
    </xf>
    <xf numFmtId="0" fontId="183" fillId="71" borderId="214" xfId="0" applyFont="1" applyFill="1" applyBorder="1" applyAlignment="1">
      <alignment horizontal="center" vertical="top" wrapText="1"/>
    </xf>
    <xf numFmtId="192" fontId="187" fillId="88" borderId="214" xfId="0" applyNumberFormat="1" applyFont="1" applyFill="1" applyBorder="1" applyAlignment="1" applyProtection="1">
      <alignment horizontal="left" vertical="top" wrapText="1"/>
      <protection locked="0"/>
    </xf>
    <xf numFmtId="192" fontId="187" fillId="71" borderId="214" xfId="0" applyNumberFormat="1" applyFont="1" applyFill="1" applyBorder="1" applyAlignment="1" applyProtection="1">
      <alignment horizontal="left" vertical="top" wrapText="1"/>
      <protection locked="0"/>
    </xf>
    <xf numFmtId="192" fontId="187" fillId="71" borderId="248" xfId="0" applyNumberFormat="1" applyFont="1" applyFill="1" applyBorder="1" applyAlignment="1" applyProtection="1">
      <alignment horizontal="left" vertical="top" wrapText="1"/>
      <protection locked="0"/>
    </xf>
    <xf numFmtId="185" fontId="183" fillId="86" borderId="248" xfId="0" applyNumberFormat="1" applyFont="1" applyFill="1" applyBorder="1" applyAlignment="1">
      <alignment horizontal="center" vertical="top" wrapText="1"/>
    </xf>
    <xf numFmtId="0" fontId="159" fillId="71" borderId="248" xfId="0" applyFont="1" applyFill="1" applyBorder="1" applyAlignment="1">
      <alignment horizontal="center" vertical="center" wrapText="1"/>
    </xf>
    <xf numFmtId="49" fontId="159" fillId="73" borderId="249" xfId="0" applyNumberFormat="1" applyFont="1" applyFill="1" applyBorder="1" applyAlignment="1" applyProtection="1">
      <alignment horizontal="center" vertical="center" wrapText="1"/>
      <protection locked="0"/>
    </xf>
    <xf numFmtId="0" fontId="62" fillId="8" borderId="5" xfId="0" applyFont="1" applyFill="1" applyBorder="1" applyAlignment="1" quotePrefix="1">
      <alignment horizontal="center" vertical="center"/>
    </xf>
    <xf numFmtId="0" fontId="62" fillId="0" borderId="5" xfId="0" applyFont="1" applyBorder="1" applyAlignment="1" quotePrefix="1">
      <alignment horizontal="center" vertical="center"/>
    </xf>
    <xf numFmtId="0" fontId="62" fillId="0" borderId="7" xfId="0" applyFont="1" applyBorder="1" applyAlignment="1" quotePrefix="1">
      <alignment horizontal="center" vertical="center"/>
    </xf>
    <xf numFmtId="0" fontId="6" fillId="0" borderId="4" xfId="54" applyFont="1" applyBorder="1" applyAlignment="1" quotePrefix="1">
      <alignment horizontal="center" vertical="center" wrapText="1"/>
      <protection locked="0"/>
    </xf>
    <xf numFmtId="0" fontId="36" fillId="0" borderId="0" xfId="0" applyFont="1" applyAlignment="1" applyProtection="1" quotePrefix="1">
      <alignment horizontal="center" vertical="center"/>
      <protection locked="0"/>
    </xf>
    <xf numFmtId="0" fontId="36" fillId="0" borderId="5" xfId="0" applyFont="1" applyBorder="1" applyAlignment="1" applyProtection="1" quotePrefix="1">
      <alignment horizontal="center" vertical="center"/>
      <protection locked="0"/>
    </xf>
    <xf numFmtId="0" fontId="36" fillId="0" borderId="26" xfId="0" applyFont="1" applyBorder="1" applyAlignment="1" applyProtection="1" quotePrefix="1">
      <alignment horizontal="center" vertical="center"/>
      <protection locked="0"/>
    </xf>
    <xf numFmtId="0" fontId="36" fillId="12" borderId="0" xfId="0" applyFont="1" applyFill="1" applyAlignment="1" applyProtection="1" quotePrefix="1">
      <alignment horizontal="center" vertical="center"/>
      <protection locked="0"/>
    </xf>
    <xf numFmtId="0" fontId="36" fillId="12" borderId="0" xfId="54" applyFont="1" applyFill="1" applyAlignment="1" quotePrefix="1">
      <alignment horizontal="center" vertical="center"/>
      <protection locked="0"/>
    </xf>
    <xf numFmtId="0" fontId="36" fillId="14" borderId="0" xfId="0" applyFont="1" applyFill="1" applyAlignment="1" applyProtection="1" quotePrefix="1">
      <alignment horizontal="center" vertical="center"/>
      <protection locked="0"/>
    </xf>
    <xf numFmtId="0" fontId="31" fillId="0" borderId="5" xfId="54" applyFont="1" applyBorder="1" applyAlignment="1" quotePrefix="1">
      <alignment horizontal="center" vertical="center"/>
      <protection locked="0"/>
    </xf>
    <xf numFmtId="0" fontId="36" fillId="20" borderId="0" xfId="0" applyFont="1" applyFill="1" applyAlignment="1" applyProtection="1" quotePrefix="1">
      <alignment horizontal="center" vertical="center"/>
      <protection locked="0"/>
    </xf>
    <xf numFmtId="0" fontId="37" fillId="0" borderId="5" xfId="0" applyFont="1" applyBorder="1" applyAlignment="1" applyProtection="1" quotePrefix="1">
      <alignment horizontal="center" vertical="center"/>
      <protection locked="0"/>
    </xf>
    <xf numFmtId="0" fontId="37" fillId="22" borderId="0" xfId="0" applyFont="1" applyFill="1" applyAlignment="1" applyProtection="1" quotePrefix="1">
      <alignment horizontal="center" vertical="center"/>
      <protection locked="0"/>
    </xf>
    <xf numFmtId="0" fontId="37" fillId="14" borderId="5" xfId="0" applyFont="1" applyFill="1" applyBorder="1" applyAlignment="1" applyProtection="1" quotePrefix="1">
      <alignment horizontal="center" vertical="center"/>
      <protection locked="0"/>
    </xf>
    <xf numFmtId="0" fontId="37" fillId="0" borderId="0" xfId="0" applyFont="1" applyAlignment="1" applyProtection="1" quotePrefix="1">
      <alignment horizontal="center" vertical="center"/>
      <protection locked="0"/>
    </xf>
    <xf numFmtId="0" fontId="37" fillId="23" borderId="0" xfId="0" applyFont="1" applyFill="1" applyAlignment="1" applyProtection="1" quotePrefix="1">
      <alignment horizontal="center" vertical="center"/>
      <protection locked="0"/>
    </xf>
    <xf numFmtId="178" fontId="37" fillId="19" borderId="5" xfId="0" applyNumberFormat="1" applyFont="1" applyFill="1" applyBorder="1" applyAlignment="1" applyProtection="1" quotePrefix="1">
      <alignment horizontal="center" vertical="center"/>
      <protection locked="0"/>
    </xf>
    <xf numFmtId="0" fontId="31" fillId="0" borderId="0" xfId="54" applyFont="1" applyAlignment="1" quotePrefix="1">
      <alignment horizontal="center" vertical="center"/>
      <protection locked="0"/>
    </xf>
    <xf numFmtId="0" fontId="37" fillId="14" borderId="0" xfId="0" applyFont="1" applyFill="1" applyAlignment="1" applyProtection="1" quotePrefix="1">
      <alignment horizontal="center" vertical="center"/>
      <protection locked="0"/>
    </xf>
    <xf numFmtId="0" fontId="37" fillId="25" borderId="0" xfId="0" applyFont="1" applyFill="1" applyAlignment="1" applyProtection="1" quotePrefix="1">
      <alignment horizontal="center" vertical="center"/>
      <protection locked="0"/>
    </xf>
    <xf numFmtId="0" fontId="31" fillId="25" borderId="0" xfId="54" applyFont="1" applyFill="1" applyAlignment="1" quotePrefix="1">
      <alignment horizontal="center" vertical="center"/>
      <protection locked="0"/>
    </xf>
    <xf numFmtId="0" fontId="37" fillId="26" borderId="0" xfId="0" applyFont="1" applyFill="1" applyAlignment="1" applyProtection="1" quotePrefix="1">
      <alignment horizontal="center" vertical="center"/>
      <protection locked="0"/>
    </xf>
    <xf numFmtId="178" fontId="37" fillId="8" borderId="5" xfId="0" applyNumberFormat="1" applyFont="1" applyFill="1" applyBorder="1" applyAlignment="1" applyProtection="1" quotePrefix="1">
      <alignment horizontal="center" vertical="center"/>
      <protection locked="0"/>
    </xf>
    <xf numFmtId="178" fontId="31" fillId="8" borderId="5" xfId="0" applyNumberFormat="1" applyFont="1" applyFill="1" applyBorder="1" applyAlignment="1" applyProtection="1" quotePrefix="1">
      <alignment horizontal="center" vertical="center"/>
      <protection locked="0"/>
    </xf>
  </cellXfs>
  <cellStyles count="56">
    <cellStyle name="一般" xfId="0" builtinId="0"/>
    <cellStyle name="千分位" xfId="1" builtinId="3"/>
    <cellStyle name="貨幣" xfId="2" builtinId="4"/>
    <cellStyle name="百分比" xfId="3" builtinId="5"/>
    <cellStyle name="千分位[0]" xfId="4" builtinId="6"/>
    <cellStyle name="貨幣[0]" xfId="5" builtinId="7"/>
    <cellStyle name="超連結" xfId="6" builtinId="8"/>
    <cellStyle name="已瀏覽過的超連結" xfId="7" builtinId="9"/>
    <cellStyle name="備註" xfId="8" builtinId="10"/>
    <cellStyle name="警告文字" xfId="9" builtinId="11"/>
    <cellStyle name="標題" xfId="10" builtinId="15"/>
    <cellStyle name="說明文字" xfId="11" builtinId="53"/>
    <cellStyle name="標題 1" xfId="12" builtinId="16"/>
    <cellStyle name="標題 2" xfId="13" builtinId="17"/>
    <cellStyle name="標題 3" xfId="14" builtinId="18"/>
    <cellStyle name="標題 4" xfId="15" builtinId="19"/>
    <cellStyle name="輸入" xfId="16" builtinId="20"/>
    <cellStyle name="輸出" xfId="17" builtinId="21"/>
    <cellStyle name="計算方式" xfId="18" builtinId="22"/>
    <cellStyle name="檢查儲存格" xfId="19" builtinId="23"/>
    <cellStyle name="連結的儲存格" xfId="20" builtinId="24"/>
    <cellStyle name="加總" xfId="21" builtinId="25"/>
    <cellStyle name="好" xfId="22" builtinId="26"/>
    <cellStyle name="壞" xfId="23" builtinId="27"/>
    <cellStyle name="中性" xfId="24" builtinId="28"/>
    <cellStyle name="輔色1" xfId="25" builtinId="29"/>
    <cellStyle name="20% - 輔色1" xfId="26" builtinId="30"/>
    <cellStyle name="40% - 輔色1" xfId="27" builtinId="31"/>
    <cellStyle name="60% - 輔色1" xfId="28" builtinId="32"/>
    <cellStyle name="輔色2" xfId="29" builtinId="33"/>
    <cellStyle name="20% - 輔色2" xfId="30" builtinId="34"/>
    <cellStyle name="40% - 輔色2" xfId="31" builtinId="35"/>
    <cellStyle name="60% - 輔色2" xfId="32" builtinId="36"/>
    <cellStyle name="輔色3" xfId="33" builtinId="37"/>
    <cellStyle name="20% - 輔色3" xfId="34" builtinId="38"/>
    <cellStyle name="40% - 輔色3" xfId="35" builtinId="39"/>
    <cellStyle name="60% - 輔色3" xfId="36" builtinId="40"/>
    <cellStyle name="輔色4" xfId="37" builtinId="41"/>
    <cellStyle name="20% - 輔色4" xfId="38" builtinId="42"/>
    <cellStyle name="40% - 輔色4" xfId="39" builtinId="43"/>
    <cellStyle name="60% - 輔色4" xfId="40" builtinId="44"/>
    <cellStyle name="輔色5" xfId="41" builtinId="45"/>
    <cellStyle name="20% - 輔色5" xfId="42" builtinId="46"/>
    <cellStyle name="40% - 輔色5" xfId="43" builtinId="47"/>
    <cellStyle name="60% - 輔色5" xfId="44" builtinId="48"/>
    <cellStyle name="輔色6" xfId="45" builtinId="49"/>
    <cellStyle name="20% - 輔色6" xfId="46" builtinId="50"/>
    <cellStyle name="40% - 輔色6" xfId="47" builtinId="51"/>
    <cellStyle name="60% - 輔色6" xfId="48" builtinId="52"/>
    <cellStyle name="40% - 强调文字颜色 1" xfId="49"/>
    <cellStyle name="强调文字颜色 1" xfId="50"/>
    <cellStyle name="60% - 强调文字颜色 1" xfId="51"/>
    <cellStyle name="20% - 强调文字颜色 3" xfId="52"/>
    <cellStyle name="20% - 强调文字颜色 1" xfId="53"/>
    <cellStyle name="常规 2" xfId="54"/>
    <cellStyle name="超链接" xfId="55"/>
  </cellStyles>
  <dxfs count="6">
    <dxf>
      <font>
        <color rgb="FFFFFFFF"/>
      </font>
      <fill>
        <patternFill patternType="solid">
          <bgColor rgb="FFC00000"/>
        </patternFill>
      </fill>
    </dxf>
    <dxf>
      <fill>
        <patternFill patternType="solid">
          <bgColor rgb="FFDDEBF7"/>
        </patternFill>
      </fill>
    </dxf>
    <dxf>
      <fill>
        <patternFill patternType="solid">
          <bgColor rgb="FF9E8483"/>
        </patternFill>
      </fill>
    </dxf>
    <dxf>
      <fill>
        <patternFill patternType="solid">
          <bgColor rgb="FF965A5A"/>
        </patternFill>
      </fill>
    </dxf>
    <dxf>
      <fill>
        <patternFill patternType="solid">
          <bgColor rgb="FFFFFFFF"/>
        </patternFill>
      </fill>
    </dxf>
    <dxf>
      <font>
        <color rgb="FFBFBFBF"/>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58354530027447"/>
          <c:y val="0.111165940167541"/>
          <c:w val="0.788725701943845"/>
          <c:h val="0.796640488656196"/>
        </c:manualLayout>
      </c:layout>
      <c:radarChart>
        <c:radarStyle val="marker"/>
        <c:varyColors val="0"/>
        <c:ser>
          <c:idx val="0"/>
          <c:order val="0"/>
          <c:spPr>
            <a:ln w="28575" cap="rnd">
              <a:gradFill>
                <a:gsLst>
                  <a:gs pos="1000">
                    <a:schemeClr val="dk1">
                      <a:tint val="88500"/>
                      <a:hueOff val="-1670000"/>
                    </a:schemeClr>
                  </a:gs>
                  <a:gs pos="100000">
                    <a:schemeClr val="dk1">
                      <a:tint val="88500"/>
                    </a:schemeClr>
                  </a:gs>
                </a:gsLst>
                <a:lin ang="5160000" scaled="1"/>
              </a:gradFill>
              <a:round/>
            </a:ln>
            <a:effectLst/>
          </c:spPr>
          <c:marker>
            <c:symbol val="none"/>
          </c:marker>
          <c:dLbls>
            <c:delete val="1"/>
          </c:dLbls>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0.177024482109228</c:v>
                </c:pt>
                <c:pt idx="1">
                  <c:v>0.244821092278719</c:v>
                </c:pt>
                <c:pt idx="2">
                  <c:v>0.288135593220339</c:v>
                </c:pt>
                <c:pt idx="3">
                  <c:v>0.135593220338983</c:v>
                </c:pt>
                <c:pt idx="4">
                  <c:v>0.0150659133709981</c:v>
                </c:pt>
                <c:pt idx="5">
                  <c:v>0.139359698681733</c:v>
                </c:pt>
              </c:numCache>
            </c:numRef>
          </c:val>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725484"/>
        <c:crosses val="autoZero"/>
        <c:auto val="1"/>
        <c:lblAlgn val="ctr"/>
        <c:lblOffset val="100"/>
        <c:noMultiLvlLbl val="0"/>
      </c:catAx>
      <c:valAx>
        <c:axId val="8972548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82020864"/>
        <c:crosses val="autoZero"/>
        <c:crossBetween val="between"/>
      </c:valAx>
      <c:spPr>
        <a:noFill/>
        <a:ln>
          <a:noFill/>
        </a:ln>
        <a:effectLst/>
      </c:spPr>
    </c:plotArea>
    <c:plotVisOnly val="1"/>
    <c:dispBlanksAs val="gap"/>
    <c:showDLblsOverMax val="0"/>
  </c:chart>
  <c:spPr>
    <a:solidFill>
      <a:srgbClr val="9E8483"/>
    </a:solidFill>
    <a:ln w="12700" cap="flat" cmpd="sng" algn="ctr">
      <a:solidFill>
        <a:srgbClr val="631410"/>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3882991271526"/>
          <c:y val="0.163887903511884"/>
          <c:w val="0.447039396083982"/>
          <c:h val="0.672224192976233"/>
        </c:manualLayout>
      </c:layout>
      <c:radarChart>
        <c:radarStyle val="marker"/>
        <c:varyColors val="0"/>
        <c:ser>
          <c:idx val="0"/>
          <c:order val="0"/>
          <c:spPr>
            <a:ln w="28575" cap="rnd">
              <a:gradFill>
                <a:gsLst>
                  <a:gs pos="1000">
                    <a:schemeClr val="dk1">
                      <a:tint val="88500"/>
                      <a:hueOff val="-1670000"/>
                    </a:schemeClr>
                  </a:gs>
                  <a:gs pos="100000">
                    <a:schemeClr val="dk1">
                      <a:tint val="88500"/>
                    </a:schemeClr>
                  </a:gs>
                </a:gsLst>
                <a:lin ang="5160000" scaled="1"/>
              </a:gradFill>
              <a:round/>
            </a:ln>
            <a:effectLst/>
          </c:spPr>
          <c:marker>
            <c:symbol val="none"/>
          </c:marker>
          <c:dLbls>
            <c:delete val="1"/>
          </c:dLbls>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30</c:v>
                </c:pt>
                <c:pt idx="1">
                  <c:v>50</c:v>
                </c:pt>
                <c:pt idx="2">
                  <c:v>55</c:v>
                </c:pt>
                <c:pt idx="3">
                  <c:v>70</c:v>
                </c:pt>
                <c:pt idx="4">
                  <c:v>80</c:v>
                </c:pt>
                <c:pt idx="5">
                  <c:v>80</c:v>
                </c:pt>
                <c:pt idx="6">
                  <c:v>60</c:v>
                </c:pt>
                <c:pt idx="7">
                  <c:v>55</c:v>
                </c:pt>
                <c:pt idx="8">
                  <c:v>50</c:v>
                </c:pt>
              </c:numCache>
            </c:numRef>
          </c:val>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out"/>
        <c:minorTickMark val="none"/>
        <c:tickLblPos val="nextTo"/>
        <c:spPr>
          <a:noFill/>
          <a:ln w="9525"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47028619"/>
        <c:crosses val="autoZero"/>
        <c:auto val="1"/>
        <c:lblAlgn val="ctr"/>
        <c:lblOffset val="100"/>
        <c:noMultiLvlLbl val="0"/>
      </c:catAx>
      <c:valAx>
        <c:axId val="747028619"/>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3954566"/>
        <c:crosses val="autoZero"/>
        <c:crossBetween val="between"/>
      </c:valAx>
      <c:spPr>
        <a:noFill/>
        <a:ln>
          <a:noFill/>
        </a:ln>
        <a:effectLst/>
      </c:spPr>
    </c:plotArea>
    <c:plotVisOnly val="1"/>
    <c:dispBlanksAs val="gap"/>
    <c:showDLblsOverMax val="0"/>
  </c:chart>
  <c:spPr>
    <a:solidFill>
      <a:srgbClr val="9E8483"/>
    </a:solidFill>
    <a:ln w="9525" cap="flat" cmpd="sng" algn="ctr">
      <a:solidFill>
        <a:srgbClr val="D9D9D9"/>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10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gradFill>
          <a:gsLst>
            <a:gs pos="1000">
              <a:schemeClr val="phClr">
                <a:hueOff val="-1670000"/>
              </a:schemeClr>
            </a:gs>
            <a:gs pos="100000">
              <a:schemeClr val="phClr"/>
            </a:gs>
          </a:gsLst>
          <a:lin ang="5160000" scaled="1"/>
        </a:gra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gradFill>
          <a:gsLst>
            <a:gs pos="1000">
              <a:schemeClr val="phClr">
                <a:hueOff val="-1670000"/>
              </a:schemeClr>
            </a:gs>
            <a:gs pos="100000">
              <a:schemeClr val="phClr"/>
            </a:gs>
          </a:gsLst>
          <a:lin ang="5160000" scaled="1"/>
        </a:gra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58</xdr:col>
      <xdr:colOff>77916</xdr:colOff>
      <xdr:row>8</xdr:row>
      <xdr:rowOff>0</xdr:rowOff>
    </xdr:from>
    <xdr:to>
      <xdr:col>70</xdr:col>
      <xdr:colOff>83482</xdr:colOff>
      <xdr:row>16</xdr:row>
      <xdr:rowOff>114300</xdr:rowOff>
    </xdr:to>
    <xdr:graphicFrame>
      <xdr:nvGraphicFramePr>
        <xdr:cNvPr id="2" name="图表 1"/>
        <xdr:cNvGraphicFramePr/>
      </xdr:nvGraphicFramePr>
      <xdr:xfrm>
        <a:off x="11899900" y="1828800"/>
        <a:ext cx="2451735" cy="19431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34784</xdr:colOff>
      <xdr:row>8</xdr:row>
      <xdr:rowOff>0</xdr:rowOff>
    </xdr:from>
    <xdr:to>
      <xdr:col>58</xdr:col>
      <xdr:colOff>77452</xdr:colOff>
      <xdr:row>16</xdr:row>
      <xdr:rowOff>114300</xdr:rowOff>
    </xdr:to>
    <xdr:graphicFrame>
      <xdr:nvGraphicFramePr>
        <xdr:cNvPr id="3" name="图表 2"/>
        <xdr:cNvGraphicFramePr/>
      </xdr:nvGraphicFramePr>
      <xdr:xfrm>
        <a:off x="9410700" y="1828800"/>
        <a:ext cx="2488565" cy="19431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26</xdr:col>
      <xdr:colOff>79075</xdr:colOff>
      <xdr:row>37</xdr:row>
      <xdr:rowOff>0</xdr:rowOff>
    </xdr:from>
    <xdr:to>
      <xdr:col>30</xdr:col>
      <xdr:colOff>360282</xdr:colOff>
      <xdr:row>63</xdr:row>
      <xdr:rowOff>0</xdr:rowOff>
    </xdr:to>
    <xdr:sp>
      <xdr:nvSpPr>
        <xdr:cNvPr id="2" name=" "/>
        <xdr:cNvSpPr txBox="1"/>
      </xdr:nvSpPr>
      <xdr:spPr>
        <a:xfrm>
          <a:off x="9753600" y="7861300"/>
          <a:ext cx="1769745" cy="5613400"/>
        </a:xfrm>
        <a:prstGeom prst="rect">
          <a:avLst/>
        </a:prstGeom>
        <a:solidFill>
          <a:srgbClr val="9E8483"/>
        </a:solidFill>
        <a:ln w="9525" cap="flat" cmpd="sng">
          <a:solidFill>
            <a:srgbClr val="BCBCB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a:solidFill>
                <a:srgbClr val="000000"/>
              </a:solidFill>
              <a:latin typeface="SimSun" charset="0"/>
              <a:ea typeface="SimSun" charset="0"/>
            </a:rPr>
            <a:t>如果你直接复制到</a:t>
          </a:r>
          <a:r>
            <a:rPr lang="en-US" altLang="zh-CN" sz="1100">
              <a:solidFill>
                <a:srgbClr val="000000"/>
              </a:solidFill>
              <a:latin typeface="Calibri" charset="0"/>
              <a:ea typeface="Calibri" charset="0"/>
            </a:rPr>
            <a:t>QQ</a:t>
          </a:r>
          <a:r>
            <a:rPr lang="en-US" altLang="zh-CN" sz="1100">
              <a:solidFill>
                <a:srgbClr val="000000"/>
              </a:solidFill>
              <a:latin typeface="SimSun" charset="0"/>
              <a:ea typeface="SimSun" charset="0"/>
            </a:rPr>
            <a:t>里是图片的话</a:t>
          </a:r>
          <a:endParaRPr lang="en-US" altLang="zh-CN" sz="1100">
            <a:solidFill>
              <a:srgbClr val="000000"/>
            </a:solidFill>
            <a:latin typeface="SimSun" charset="0"/>
            <a:ea typeface="SimSun" charset="0"/>
          </a:endParaRPr>
        </a:p>
        <a:p>
          <a:pPr algn="l"/>
        </a:p>
        <a:p>
          <a:pPr algn="l"/>
          <a:r>
            <a:rPr lang="en-US" altLang="zh-CN" sz="1100">
              <a:solidFill>
                <a:srgbClr val="000000"/>
              </a:solidFill>
              <a:latin typeface="SimSun" charset="0"/>
              <a:ea typeface="SimSun" charset="0"/>
            </a:rPr>
            <a:t>首先复制那个单元格</a:t>
          </a:r>
          <a:endParaRPr lang="en-US" altLang="zh-CN" sz="1100">
            <a:solidFill>
              <a:srgbClr val="000000"/>
            </a:solidFill>
            <a:latin typeface="SimSun" charset="0"/>
            <a:ea typeface="SimSun" charset="0"/>
          </a:endParaRPr>
        </a:p>
        <a:p>
          <a:pPr algn="l"/>
          <a:r>
            <a:rPr lang="en-US" altLang="zh-CN" sz="1100">
              <a:solidFill>
                <a:srgbClr val="000000"/>
              </a:solidFill>
              <a:latin typeface="SimSun" charset="0"/>
              <a:ea typeface="SimSun" charset="0"/>
            </a:rPr>
            <a:t>然后再粘贴到这个</a:t>
          </a:r>
          <a:r>
            <a:rPr lang="en-US" altLang="zh-CN" sz="1100">
              <a:solidFill>
                <a:srgbClr val="000000"/>
              </a:solidFill>
              <a:latin typeface="Calibri" charset="0"/>
              <a:ea typeface="Calibri" charset="0"/>
            </a:rPr>
            <a:t>txt</a:t>
          </a:r>
          <a:r>
            <a:rPr lang="en-US" altLang="zh-CN" sz="1100">
              <a:solidFill>
                <a:srgbClr val="000000"/>
              </a:solidFill>
              <a:latin typeface="SimSun" charset="0"/>
              <a:ea typeface="SimSun" charset="0"/>
            </a:rPr>
            <a:t>框里</a:t>
          </a:r>
          <a:endParaRPr lang="en-US" altLang="zh-CN" sz="1100">
            <a:solidFill>
              <a:srgbClr val="000000"/>
            </a:solidFill>
            <a:latin typeface="SimSun" charset="0"/>
            <a:ea typeface="SimSun" charset="0"/>
          </a:endParaRPr>
        </a:p>
        <a:p>
          <a:pPr algn="l"/>
        </a:p>
        <a:p>
          <a:pPr algn="l"/>
          <a:r>
            <a:rPr lang="en-US" altLang="zh-CN" sz="1100">
              <a:solidFill>
                <a:srgbClr val="000000"/>
              </a:solidFill>
              <a:latin typeface="SimSun" charset="0"/>
              <a:ea typeface="SimSun" charset="0"/>
            </a:rPr>
            <a:t>然后再从这里剪切粘贴到</a:t>
          </a:r>
          <a:r>
            <a:rPr lang="en-US" altLang="zh-CN" sz="1100">
              <a:solidFill>
                <a:srgbClr val="000000"/>
              </a:solidFill>
              <a:latin typeface="Calibri" charset="0"/>
              <a:ea typeface="Calibri" charset="0"/>
            </a:rPr>
            <a:t>qq</a:t>
          </a:r>
          <a:r>
            <a:rPr lang="en-US" altLang="zh-CN" sz="1100">
              <a:solidFill>
                <a:srgbClr val="000000"/>
              </a:solidFill>
              <a:latin typeface="SimSun" charset="0"/>
              <a:ea typeface="SimSun" charset="0"/>
            </a:rPr>
            <a:t>里就不是图片而是文本啦</a:t>
          </a:r>
          <a:endParaRPr lang="en-US" altLang="zh-CN" sz="1100">
            <a:solidFill>
              <a:srgbClr val="000000"/>
            </a:solidFill>
            <a:latin typeface="SimSun" charset="0"/>
            <a:ea typeface="SimSun" charset="0"/>
          </a:endParaRPr>
        </a:p>
        <a:p>
          <a:pPr algn="l"/>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10</xdr:col>
      <xdr:colOff>10148</xdr:colOff>
      <xdr:row>82</xdr:row>
      <xdr:rowOff>0</xdr:rowOff>
    </xdr:from>
    <xdr:to>
      <xdr:col>29</xdr:col>
      <xdr:colOff>0</xdr:colOff>
      <xdr:row>110</xdr:row>
      <xdr:rowOff>0</xdr:rowOff>
    </xdr:to>
    <xdr:pic>
      <xdr:nvPicPr>
        <xdr:cNvPr id="2" name="图片 1" descr="UR`@(_{Q3I@%0[$@G$YXDZD"/>
        <xdr:cNvPicPr/>
      </xdr:nvPicPr>
      <xdr:blipFill>
        <a:blip r:embed="rId1"/>
        <a:srcRect/>
        <a:stretch>
          <a:fillRect/>
        </a:stretch>
      </xdr:blipFill>
      <xdr:spPr>
        <a:xfrm>
          <a:off x="6137910" y="17673955"/>
          <a:ext cx="10631805" cy="5867400"/>
        </a:xfrm>
        <a:prstGeom prst="rect">
          <a:avLst/>
        </a:prstGeom>
        <a:noFill/>
        <a:ln w="9525" cap="flat" cmpd="sng">
          <a:noFill/>
          <a:prstDash val="solid"/>
          <a:miter/>
        </a:ln>
        <a:effec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4</xdr:col>
      <xdr:colOff>462915</xdr:colOff>
      <xdr:row>8</xdr:row>
      <xdr:rowOff>0</xdr:rowOff>
    </xdr:from>
    <xdr:to>
      <xdr:col>9</xdr:col>
      <xdr:colOff>0</xdr:colOff>
      <xdr:row>22</xdr:row>
      <xdr:rowOff>0</xdr:rowOff>
    </xdr:to>
    <xdr:sp>
      <xdr:nvSpPr>
        <xdr:cNvPr id="2" name=" "/>
        <xdr:cNvSpPr txBox="1"/>
      </xdr:nvSpPr>
      <xdr:spPr>
        <a:xfrm>
          <a:off x="4437380" y="1533525"/>
          <a:ext cx="2167255" cy="2533650"/>
        </a:xfrm>
        <a:prstGeom prst="rect">
          <a:avLst/>
        </a:prstGeom>
        <a:solidFill>
          <a:srgbClr val="FBE4D5"/>
        </a:solidFill>
        <a:ln w="76200" cap="flat" cmpd="sng">
          <a:solidFill>
            <a:srgbClr val="F4C9A9"/>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100">
              <a:solidFill>
                <a:srgbClr val="000000"/>
              </a:solidFill>
              <a:latin typeface="SimSun" charset="0"/>
              <a:ea typeface="SimSun" charset="0"/>
            </a:rPr>
            <a:t>关于武器名称前面的*和-：</a:t>
          </a:r>
          <a:endParaRPr lang="en-US" altLang="zh-CN" sz="1100">
            <a:solidFill>
              <a:srgbClr val="000000"/>
            </a:solidFill>
            <a:latin typeface="SimSun" charset="0"/>
            <a:ea typeface="SimSun" charset="0"/>
          </a:endParaRPr>
        </a:p>
        <a:p>
          <a:pPr algn="l"/>
          <a:r>
            <a:rPr lang="en-US" altLang="zh-CN" sz="1100">
              <a:solidFill>
                <a:srgbClr val="000000"/>
              </a:solidFill>
              <a:latin typeface="SimSun" charset="0"/>
              <a:ea typeface="SimSun" charset="0"/>
            </a:rPr>
            <a:t>   带*的武器代表这是罕见武器</a:t>
          </a:r>
          <a:endParaRPr lang="en-US" altLang="zh-CN" sz="1100">
            <a:solidFill>
              <a:srgbClr val="000000"/>
            </a:solidFill>
            <a:latin typeface="SimSun" charset="0"/>
            <a:ea typeface="SimSun" charset="0"/>
          </a:endParaRPr>
        </a:p>
        <a:p>
          <a:pPr algn="l"/>
          <a:r>
            <a:rPr lang="en-US" altLang="zh-CN" sz="1100">
              <a:solidFill>
                <a:srgbClr val="000000"/>
              </a:solidFill>
              <a:latin typeface="SimSun" charset="0"/>
              <a:ea typeface="SimSun" charset="0"/>
            </a:rPr>
            <a:t>   带-的武器代表这是不合时代的武器</a:t>
          </a:r>
          <a:endParaRPr lang="en-US" altLang="zh-CN" sz="1100">
            <a:solidFill>
              <a:srgbClr val="000000"/>
            </a:solidFill>
            <a:latin typeface="SimSun" charset="0"/>
            <a:ea typeface="SimSun" charset="0"/>
          </a:endParaRPr>
        </a:p>
        <a:p>
          <a:pPr algn="l"/>
        </a:p>
        <a:p>
          <a:pPr algn="l"/>
        </a:p>
        <a:p>
          <a:pPr algn="l"/>
          <a:r>
            <a:rPr lang="en-US" altLang="zh-CN" sz="1100">
              <a:solidFill>
                <a:srgbClr val="000000"/>
              </a:solidFill>
              <a:latin typeface="SimSun" charset="0"/>
              <a:ea typeface="SimSun" charset="0"/>
            </a:rPr>
            <a:t>你可以在看到这条提示后关掉这个框框然后再保存一下空白卡</a:t>
          </a:r>
          <a:r>
            <a:rPr lang="en-US" altLang="zh-CN" sz="1100">
              <a:solidFill>
                <a:srgbClr val="000000"/>
              </a:solidFill>
              <a:latin typeface="Calibri" charset="0"/>
              <a:ea typeface="Calibri" charset="0"/>
            </a:rPr>
            <a:t>~</a:t>
          </a:r>
          <a:endParaRPr lang="en-US" altLang="zh-CN" sz="1100">
            <a:solidFill>
              <a:srgbClr val="000000"/>
            </a:solidFill>
            <a:latin typeface="Calibri" charset="0"/>
            <a:ea typeface="Calibri" charset="0"/>
          </a:endParaRPr>
        </a:p>
        <a:p>
          <a:pPr algn="l"/>
          <a:r>
            <a:rPr lang="en-US" altLang="zh-CN" sz="1100">
              <a:solidFill>
                <a:srgbClr val="000000"/>
              </a:solidFill>
              <a:latin typeface="SimSun" charset="0"/>
              <a:ea typeface="SimSun" charset="0"/>
            </a:rPr>
            <a:t>（鼠标右键边框可以删除，手机端可以挪到一边去</a:t>
          </a:r>
          <a:r>
            <a:rPr lang="en-US" altLang="zh-CN" sz="1100">
              <a:solidFill>
                <a:srgbClr val="000000"/>
              </a:solidFill>
              <a:latin typeface="Calibri" charset="0"/>
              <a:ea typeface="Calibri" charset="0"/>
            </a:rPr>
            <a:t>uwu</a:t>
          </a:r>
          <a:r>
            <a:rPr lang="en-US" altLang="zh-CN" sz="1100">
              <a:solidFill>
                <a:srgbClr val="000000"/>
              </a:solidFill>
              <a:latin typeface="SimSun" charset="0"/>
              <a:ea typeface="SimSun" charset="0"/>
            </a:rPr>
            <a:t>）</a:t>
          </a:r>
          <a:endParaRPr lang="en-US" altLang="zh-CN" sz="1100">
            <a:solidFill>
              <a:srgbClr val="000000"/>
            </a:solidFill>
            <a:latin typeface="SimSun" charset="0"/>
            <a:ea typeface="SimSun" charset="0"/>
          </a:endParaRPr>
        </a:p>
        <a:p>
          <a:pPr algn="l"/>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4" Type="http://schemas.openxmlformats.org/officeDocument/2006/relationships/hyperlink" Target="https://share.weiyun.com/5whZ9aW" TargetMode="External"/><Relationship Id="rId3" Type="http://schemas.openxmlformats.org/officeDocument/2006/relationships/hyperlink" Target="https://share.weiyun.com/57lcF4S" TargetMode="External"/><Relationship Id="rId2" Type="http://schemas.openxmlformats.org/officeDocument/2006/relationships/hyperlink" Target="http://www.goddessfantasy.net/bbs/index.php?topic=93999.0&amp;tdsourcetag=s_pcqq_aiomsg" TargetMode="External"/><Relationship Id="rId1" Type="http://schemas.openxmlformats.org/officeDocument/2006/relationships/hyperlink" Target="http://www.goddessfantasy.net/bbs/index.php?topic=89719.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C2223"/>
  </sheetPr>
  <dimension ref="A1:CI182"/>
  <sheetViews>
    <sheetView showGridLines="0" showRowColHeaders="0" tabSelected="1" zoomScale="121" zoomScaleNormal="121" topLeftCell="A55" workbookViewId="0">
      <selection activeCell="B55" sqref="B55:F55"/>
    </sheetView>
  </sheetViews>
  <sheetFormatPr defaultColWidth="3" defaultRowHeight="18" customHeight="1"/>
  <cols>
    <col min="1" max="1" width="3.08653846153846" style="1167" customWidth="1"/>
    <col min="2" max="16384" width="3.08653846153846" style="1167"/>
  </cols>
  <sheetData>
    <row r="1" customHeight="1" spans="1:70">
      <c r="A1" s="2717"/>
      <c r="B1" s="2718" t="s">
        <v>0</v>
      </c>
      <c r="C1" s="2718"/>
      <c r="D1" s="2718"/>
      <c r="E1" s="2718"/>
      <c r="F1" s="2718"/>
      <c r="G1" s="2718"/>
      <c r="H1" s="2718"/>
      <c r="I1" s="2718"/>
      <c r="J1" s="2718"/>
      <c r="K1" s="2718"/>
      <c r="L1" s="2718"/>
      <c r="M1" s="2718"/>
      <c r="N1" s="2718"/>
      <c r="O1" s="2718"/>
      <c r="P1" s="2718"/>
      <c r="Q1" s="2718"/>
      <c r="R1" s="2718"/>
      <c r="S1" s="2718"/>
      <c r="T1" s="2718"/>
      <c r="U1" s="2718"/>
      <c r="V1" s="2718"/>
      <c r="W1" s="2718"/>
      <c r="X1" s="2718"/>
      <c r="Y1" s="2718"/>
      <c r="Z1" s="2718"/>
      <c r="AA1" s="2718"/>
      <c r="AB1" s="2718"/>
      <c r="AC1" s="2718"/>
      <c r="AD1" s="2718"/>
      <c r="AE1" s="2718"/>
      <c r="AF1" s="2718"/>
      <c r="AG1" s="2718"/>
      <c r="AH1" s="2718"/>
      <c r="AI1" s="2718"/>
      <c r="AJ1" s="2718"/>
      <c r="AK1" s="2718"/>
      <c r="AL1" s="2718"/>
      <c r="AM1" s="2718"/>
      <c r="AN1" s="2718"/>
      <c r="AO1" s="2718"/>
      <c r="AP1" s="2718"/>
      <c r="AQ1" s="2718"/>
      <c r="AR1" s="2718"/>
      <c r="AS1" s="2718"/>
      <c r="AT1" s="2718"/>
      <c r="AU1" s="2718"/>
      <c r="AV1" s="2718"/>
      <c r="AW1" s="2718"/>
      <c r="AX1" s="2718"/>
      <c r="AY1" s="2718"/>
      <c r="AZ1" s="2718"/>
      <c r="BA1" s="2718"/>
      <c r="BB1" s="2718"/>
      <c r="BC1" s="2718"/>
      <c r="BD1" s="2718"/>
      <c r="BE1" s="2718"/>
      <c r="BF1" s="2718"/>
      <c r="BG1" s="2718"/>
      <c r="BH1" s="2718"/>
      <c r="BI1" s="2718"/>
      <c r="BJ1" s="2718"/>
      <c r="BK1" s="2718"/>
      <c r="BL1" s="2718"/>
      <c r="BM1" s="2718"/>
      <c r="BN1" s="2718"/>
      <c r="BO1" s="2718"/>
      <c r="BP1" s="2718"/>
      <c r="BQ1" s="2718"/>
      <c r="BR1" s="2718"/>
    </row>
    <row r="2" customHeight="1" spans="1:70">
      <c r="A2" s="2717"/>
      <c r="B2" s="2719" t="s">
        <v>1</v>
      </c>
      <c r="C2" s="2720"/>
      <c r="D2" s="2720"/>
      <c r="E2" s="2720"/>
      <c r="F2" s="2720"/>
      <c r="G2" s="2720"/>
      <c r="H2" s="2720"/>
      <c r="I2" s="2720"/>
      <c r="J2" s="2720"/>
      <c r="K2" s="2720"/>
      <c r="L2" s="2720"/>
      <c r="M2" s="2720"/>
      <c r="N2" s="2720"/>
      <c r="O2" s="2720"/>
      <c r="P2" s="2720"/>
      <c r="Q2" s="2872"/>
      <c r="R2" s="2717"/>
      <c r="S2" s="2873" t="s">
        <v>2</v>
      </c>
      <c r="T2" s="2874"/>
      <c r="U2" s="2874"/>
      <c r="V2" s="2906" t="str">
        <f>附表!D37</f>
        <v>教育进步*1</v>
      </c>
      <c r="W2" s="2907"/>
      <c r="X2" s="2907"/>
      <c r="Y2" s="2907"/>
      <c r="Z2" s="2907"/>
      <c r="AA2" s="2927" t="s">
        <v>3</v>
      </c>
      <c r="AB2" s="2928"/>
      <c r="AC2" s="2952" t="s">
        <v>4</v>
      </c>
      <c r="AD2" s="2952"/>
      <c r="AE2" s="2952"/>
      <c r="AF2" s="2952"/>
      <c r="AG2" s="2981">
        <f>IF(AC2="总点数(含运):",U3+U5+U7+AA3+AA5+AA7+AG3+AG5+AG7,U3+U5+U7+AA7+AA5+AA3+AG3+AG5)</f>
        <v>480</v>
      </c>
      <c r="AH2" s="2982"/>
      <c r="AI2" s="2982"/>
      <c r="AJ2" s="2983"/>
      <c r="AK2" s="2717"/>
      <c r="AL2" s="3002"/>
      <c r="AM2" s="3003"/>
      <c r="AN2" s="3003"/>
      <c r="AO2" s="3003"/>
      <c r="AP2" s="3003"/>
      <c r="AQ2" s="3003"/>
      <c r="AR2" s="3003"/>
      <c r="AS2" s="3041"/>
      <c r="AT2" s="2717"/>
      <c r="AU2" s="3042" t="s">
        <v>5</v>
      </c>
      <c r="AV2" s="3043"/>
      <c r="AW2" s="3043"/>
      <c r="AX2" s="3043"/>
      <c r="AY2" s="3043"/>
      <c r="AZ2" s="3043"/>
      <c r="BA2" s="3043"/>
      <c r="BB2" s="3043"/>
      <c r="BC2" s="3043"/>
      <c r="BD2" s="3043"/>
      <c r="BE2" s="3043"/>
      <c r="BF2" s="3043"/>
      <c r="BG2" s="3043"/>
      <c r="BH2" s="3043"/>
      <c r="BI2" s="3043"/>
      <c r="BJ2" s="3043"/>
      <c r="BK2" s="3043"/>
      <c r="BL2" s="3043"/>
      <c r="BM2" s="3043"/>
      <c r="BN2" s="3043"/>
      <c r="BO2" s="3043"/>
      <c r="BP2" s="3043"/>
      <c r="BQ2" s="3043"/>
      <c r="BR2" s="3125"/>
    </row>
    <row r="3" customHeight="1" spans="1:70">
      <c r="A3" s="2717"/>
      <c r="B3" s="2721" t="s">
        <v>6</v>
      </c>
      <c r="C3" s="2722"/>
      <c r="D3" s="2722"/>
      <c r="E3" s="2781" t="s">
        <v>7</v>
      </c>
      <c r="F3" s="2781"/>
      <c r="G3" s="2781"/>
      <c r="H3" s="2781"/>
      <c r="I3" s="2781"/>
      <c r="J3" s="2722" t="s">
        <v>8</v>
      </c>
      <c r="K3" s="2722"/>
      <c r="L3" s="2722"/>
      <c r="M3" s="2781" t="s">
        <v>9</v>
      </c>
      <c r="N3" s="2781"/>
      <c r="O3" s="2781"/>
      <c r="P3" s="2781"/>
      <c r="Q3" s="2875"/>
      <c r="R3" s="2717"/>
      <c r="S3" s="2876" t="s">
        <v>10</v>
      </c>
      <c r="T3" s="2877"/>
      <c r="U3" s="2908">
        <v>30</v>
      </c>
      <c r="V3" s="2909"/>
      <c r="W3" s="2910">
        <f>INT(U3/2)</f>
        <v>15</v>
      </c>
      <c r="X3" s="2877"/>
      <c r="Y3" s="2929" t="s">
        <v>11</v>
      </c>
      <c r="Z3" s="2929"/>
      <c r="AA3" s="2930">
        <v>70</v>
      </c>
      <c r="AB3" s="2930"/>
      <c r="AC3" s="2929">
        <f t="shared" ref="AC3:AC7" si="0">INT(AA3/2)</f>
        <v>35</v>
      </c>
      <c r="AD3" s="2929"/>
      <c r="AE3" s="2910" t="s">
        <v>12</v>
      </c>
      <c r="AF3" s="2877"/>
      <c r="AG3" s="2908">
        <v>60</v>
      </c>
      <c r="AH3" s="2909"/>
      <c r="AI3" s="2910">
        <f t="shared" ref="AI3:AI7" si="1">INT(AG3/2)</f>
        <v>30</v>
      </c>
      <c r="AJ3" s="2984"/>
      <c r="AK3" s="2717"/>
      <c r="AL3" s="3004"/>
      <c r="AM3" s="3005"/>
      <c r="AN3" s="3005"/>
      <c r="AO3" s="3005"/>
      <c r="AP3" s="3005"/>
      <c r="AQ3" s="3005"/>
      <c r="AR3" s="3005"/>
      <c r="AS3" s="3044"/>
      <c r="AT3" s="2717"/>
      <c r="AU3" s="3045" t="str">
        <f>IF(U3=0,"",IF(U3&lt;=15,"虚弱，孱弱",IF(U3&lt;=40,"力量弱小",IF(U3&lt;=60,"有正常人的力量",IF(U3&lt;=80,"超乎常人的力量",IF(U3&lt;100,"超乎超乎常人的力量"))))))</f>
        <v>力量弱小</v>
      </c>
      <c r="AV3" s="3046"/>
      <c r="AW3" s="3046"/>
      <c r="AX3" s="3046"/>
      <c r="AY3" s="3046"/>
      <c r="AZ3" s="3046"/>
      <c r="BA3" s="3046"/>
      <c r="BB3" s="3046"/>
      <c r="BC3" s="3049" t="str">
        <f>IF(AA3=0,"",IF(AA3&lt;=20,"很不灵活",IF(AA3&lt;=40,"不是很灵活",IF(AA3&lt;=60,"普通人水平",IF(AA3&lt;=80,"是一位运动健将",IF(AA3&lt;100,"高速而灵活,可以达成超凡的技艺"))))))</f>
        <v>是一位运动健将</v>
      </c>
      <c r="BD3" s="3049"/>
      <c r="BE3" s="3049"/>
      <c r="BF3" s="3049"/>
      <c r="BG3" s="3049"/>
      <c r="BH3" s="3049"/>
      <c r="BI3" s="3049"/>
      <c r="BJ3" s="3049"/>
      <c r="BK3" s="3106" t="str">
        <f>IF(AG3=0,"",IF(AG3&lt;=20,"尔不过玩物",IF(AG3&lt;=40,"痴愚盲目",IF(AG3&lt;=60,"如常人一般会有一定自制力",IF(AG3&lt;=80,"我心如铁，心坚石穿",IF(AG3&lt;100,"泰山崩于面而色不变",IF(AG3&lt;140,"钢铁之心，还能看见鬼","你怕是个假人吧")))))))</f>
        <v>如常人一般会有一定自制力</v>
      </c>
      <c r="BL3" s="3046"/>
      <c r="BM3" s="3046"/>
      <c r="BN3" s="3046"/>
      <c r="BO3" s="3046"/>
      <c r="BP3" s="3046"/>
      <c r="BQ3" s="3046"/>
      <c r="BR3" s="3126"/>
    </row>
    <row r="4" customHeight="1" spans="1:70">
      <c r="A4" s="2717"/>
      <c r="B4" s="2723" t="s">
        <v>13</v>
      </c>
      <c r="C4" s="2724"/>
      <c r="D4" s="2724"/>
      <c r="E4" s="2782">
        <v>29</v>
      </c>
      <c r="F4" s="2782"/>
      <c r="G4" s="2782"/>
      <c r="H4" s="2782"/>
      <c r="I4" s="2782"/>
      <c r="J4" s="2820" t="s">
        <v>14</v>
      </c>
      <c r="K4" s="2724"/>
      <c r="L4" s="2724"/>
      <c r="M4" s="2783" t="s">
        <v>15</v>
      </c>
      <c r="N4" s="2784"/>
      <c r="O4" s="2784"/>
      <c r="P4" s="2784"/>
      <c r="Q4" s="2878"/>
      <c r="R4" s="2717"/>
      <c r="S4" s="2879"/>
      <c r="T4" s="2724"/>
      <c r="U4" s="2784"/>
      <c r="V4" s="2784"/>
      <c r="W4" s="2820">
        <f>INT(U3/5)</f>
        <v>6</v>
      </c>
      <c r="X4" s="2724"/>
      <c r="Y4" s="2722"/>
      <c r="Z4" s="2722"/>
      <c r="AA4" s="2781"/>
      <c r="AB4" s="2781"/>
      <c r="AC4" s="2722">
        <f t="shared" ref="AC4:AC8" si="2">INT(AA3/5)</f>
        <v>14</v>
      </c>
      <c r="AD4" s="2722"/>
      <c r="AE4" s="2724"/>
      <c r="AF4" s="2724"/>
      <c r="AG4" s="2784"/>
      <c r="AH4" s="2784"/>
      <c r="AI4" s="2820">
        <f t="shared" ref="AI4:AI8" si="3">INT(AG3/5)</f>
        <v>12</v>
      </c>
      <c r="AJ4" s="2985"/>
      <c r="AK4" s="2717"/>
      <c r="AL4" s="3004"/>
      <c r="AM4" s="3005"/>
      <c r="AN4" s="3005"/>
      <c r="AO4" s="3005"/>
      <c r="AP4" s="3005"/>
      <c r="AQ4" s="3005"/>
      <c r="AR4" s="3005"/>
      <c r="AS4" s="3044"/>
      <c r="AT4" s="2717"/>
      <c r="AU4" s="3047"/>
      <c r="AV4" s="3046"/>
      <c r="AW4" s="3046"/>
      <c r="AX4" s="3046"/>
      <c r="AY4" s="3046"/>
      <c r="AZ4" s="3046"/>
      <c r="BA4" s="3046"/>
      <c r="BB4" s="3046"/>
      <c r="BC4" s="3049"/>
      <c r="BD4" s="3049"/>
      <c r="BE4" s="3049"/>
      <c r="BF4" s="3049"/>
      <c r="BG4" s="3049"/>
      <c r="BH4" s="3049"/>
      <c r="BI4" s="3049"/>
      <c r="BJ4" s="3049"/>
      <c r="BK4" s="3046"/>
      <c r="BL4" s="3046"/>
      <c r="BM4" s="3046"/>
      <c r="BN4" s="3046"/>
      <c r="BO4" s="3046"/>
      <c r="BP4" s="3046"/>
      <c r="BQ4" s="3046"/>
      <c r="BR4" s="3126"/>
    </row>
    <row r="5" customHeight="1" spans="1:70">
      <c r="A5" s="2717"/>
      <c r="B5" s="2721" t="s">
        <v>16</v>
      </c>
      <c r="C5" s="2722"/>
      <c r="D5" s="2722"/>
      <c r="E5" s="2781" t="s">
        <v>17</v>
      </c>
      <c r="F5" s="2781"/>
      <c r="G5" s="2781"/>
      <c r="H5" s="2781"/>
      <c r="I5" s="2781"/>
      <c r="J5" s="2722" t="s">
        <v>18</v>
      </c>
      <c r="K5" s="2722"/>
      <c r="L5" s="2722"/>
      <c r="M5" s="2781">
        <v>219</v>
      </c>
      <c r="N5" s="2781"/>
      <c r="O5" s="2781"/>
      <c r="P5" s="2781"/>
      <c r="Q5" s="2875"/>
      <c r="R5" s="2717"/>
      <c r="S5" s="2880" t="s">
        <v>19</v>
      </c>
      <c r="T5" s="2722"/>
      <c r="U5" s="2781">
        <v>50</v>
      </c>
      <c r="V5" s="2781"/>
      <c r="W5" s="2722">
        <f t="shared" ref="W5:W7" si="4">INT(U5/2)</f>
        <v>25</v>
      </c>
      <c r="X5" s="2722"/>
      <c r="Y5" s="2820" t="s">
        <v>20</v>
      </c>
      <c r="Z5" s="2724"/>
      <c r="AA5" s="2783">
        <v>80</v>
      </c>
      <c r="AB5" s="2784"/>
      <c r="AC5" s="2820">
        <f t="shared" si="0"/>
        <v>40</v>
      </c>
      <c r="AD5" s="2724"/>
      <c r="AE5" s="2722" t="s">
        <v>21</v>
      </c>
      <c r="AF5" s="2722"/>
      <c r="AG5" s="2781">
        <v>55</v>
      </c>
      <c r="AH5" s="2781"/>
      <c r="AI5" s="2722">
        <f t="shared" si="1"/>
        <v>27</v>
      </c>
      <c r="AJ5" s="2986"/>
      <c r="AK5" s="2717"/>
      <c r="AL5" s="3004"/>
      <c r="AM5" s="3005"/>
      <c r="AN5" s="3005"/>
      <c r="AO5" s="3005"/>
      <c r="AP5" s="3005"/>
      <c r="AQ5" s="3005"/>
      <c r="AR5" s="3005"/>
      <c r="AS5" s="3044"/>
      <c r="AT5" s="2717"/>
      <c r="AU5" s="3048" t="str">
        <f>IF(U5=0,"",IF(U5&lt;=20,"常年患病在身",IF(U5&lt;=40,"体弱多病",IF(U5&lt;=60,"不会生什么大毛病",IF(U5&lt;=80,"健硕，浑身湿透也不会感冒",IF(U5&lt;100,"身体素质极好，精神抖擞"))))))</f>
        <v>不会生什么大毛病</v>
      </c>
      <c r="AV5" s="3049"/>
      <c r="AW5" s="3049"/>
      <c r="AX5" s="3049"/>
      <c r="AY5" s="3049"/>
      <c r="AZ5" s="3049"/>
      <c r="BA5" s="3049"/>
      <c r="BB5" s="3049"/>
      <c r="BC5" s="3106" t="str">
        <f>IF(AA5=0,"",IF(AA5&lt;=20,"用脸就能恐惧敌人。。或队友",IF(AA5&lt;=40,"有些难看",IF(AA5&lt;=60,"人群之中谁也不会看你一眼之后就忘不掉你容颜",IF(AA5&lt;=80,"五官端正，仪表堂堂",IF(AA5&lt;100,"沉鱼落雁，闭月羞花"))))))</f>
        <v>五官端正，仪表堂堂</v>
      </c>
      <c r="BD5" s="3046"/>
      <c r="BE5" s="3046"/>
      <c r="BF5" s="3046"/>
      <c r="BG5" s="3046"/>
      <c r="BH5" s="3046"/>
      <c r="BI5" s="3046"/>
      <c r="BJ5" s="3046"/>
      <c r="BK5" s="3049" t="str">
        <f>IF(AG5=0,"",IF(AG5&lt;=20,"目不识丁",IF(AG5&lt;=40,"小学毕业",IF(AG5&lt;=60,"高中毕业",IF(AG5&lt;=80,"是重点大学的学生，或是普通大学的研究生",IF(AG5&lt;100,"饱读诗书，满腹经纶"))))))</f>
        <v>高中毕业</v>
      </c>
      <c r="BL5" s="3049"/>
      <c r="BM5" s="3049"/>
      <c r="BN5" s="3049"/>
      <c r="BO5" s="3049"/>
      <c r="BP5" s="3049"/>
      <c r="BQ5" s="3049"/>
      <c r="BR5" s="3127"/>
    </row>
    <row r="6" customHeight="1" spans="1:70">
      <c r="A6" s="2717"/>
      <c r="B6" s="2725" t="s">
        <v>22</v>
      </c>
      <c r="C6" s="2726"/>
      <c r="D6" s="2726"/>
      <c r="E6" s="2783" t="s">
        <v>23</v>
      </c>
      <c r="F6" s="2784"/>
      <c r="G6" s="2784"/>
      <c r="H6" s="2784"/>
      <c r="I6" s="2784"/>
      <c r="J6" s="2820" t="s">
        <v>24</v>
      </c>
      <c r="K6" s="2724"/>
      <c r="L6" s="2724"/>
      <c r="M6" s="2783" t="s">
        <v>25</v>
      </c>
      <c r="N6" s="2784"/>
      <c r="O6" s="2784"/>
      <c r="P6" s="2784"/>
      <c r="Q6" s="2878"/>
      <c r="R6" s="2717"/>
      <c r="S6" s="2880"/>
      <c r="T6" s="2722"/>
      <c r="U6" s="2781"/>
      <c r="V6" s="2781"/>
      <c r="W6" s="2722">
        <f t="shared" ref="W6:W8" si="5">INT(U5/5)</f>
        <v>10</v>
      </c>
      <c r="X6" s="2722"/>
      <c r="Y6" s="2724"/>
      <c r="Z6" s="2724"/>
      <c r="AA6" s="2784"/>
      <c r="AB6" s="2784"/>
      <c r="AC6" s="2820">
        <f t="shared" si="2"/>
        <v>16</v>
      </c>
      <c r="AD6" s="2724"/>
      <c r="AE6" s="2953"/>
      <c r="AF6" s="2954"/>
      <c r="AG6" s="2987"/>
      <c r="AH6" s="2987"/>
      <c r="AI6" s="2953">
        <f t="shared" si="3"/>
        <v>11</v>
      </c>
      <c r="AJ6" s="2988"/>
      <c r="AK6" s="2717"/>
      <c r="AL6" s="3004"/>
      <c r="AM6" s="3005"/>
      <c r="AN6" s="3005"/>
      <c r="AO6" s="3005"/>
      <c r="AP6" s="3005"/>
      <c r="AQ6" s="3005"/>
      <c r="AR6" s="3005"/>
      <c r="AS6" s="3044"/>
      <c r="AT6" s="2717"/>
      <c r="AU6" s="3048"/>
      <c r="AV6" s="3049"/>
      <c r="AW6" s="3049"/>
      <c r="AX6" s="3049"/>
      <c r="AY6" s="3049"/>
      <c r="AZ6" s="3049"/>
      <c r="BA6" s="3049"/>
      <c r="BB6" s="3049"/>
      <c r="BC6" s="3046"/>
      <c r="BD6" s="3046"/>
      <c r="BE6" s="3046"/>
      <c r="BF6" s="3046"/>
      <c r="BG6" s="3046"/>
      <c r="BH6" s="3046"/>
      <c r="BI6" s="3046"/>
      <c r="BJ6" s="3046"/>
      <c r="BK6" s="3049"/>
      <c r="BL6" s="3049"/>
      <c r="BM6" s="3049"/>
      <c r="BN6" s="3049"/>
      <c r="BO6" s="3049"/>
      <c r="BP6" s="3049"/>
      <c r="BQ6" s="3049"/>
      <c r="BR6" s="3127"/>
    </row>
    <row r="7" customHeight="1" spans="1:87">
      <c r="A7" s="2717"/>
      <c r="B7" s="2721" t="s">
        <v>26</v>
      </c>
      <c r="C7" s="2722"/>
      <c r="D7" s="2722"/>
      <c r="E7" s="2781" t="s">
        <v>27</v>
      </c>
      <c r="F7" s="2781"/>
      <c r="G7" s="2781"/>
      <c r="H7" s="2781"/>
      <c r="I7" s="2781"/>
      <c r="J7" s="2722" t="s">
        <v>28</v>
      </c>
      <c r="K7" s="2722"/>
      <c r="L7" s="2722"/>
      <c r="M7" s="2781" t="s">
        <v>29</v>
      </c>
      <c r="N7" s="2781"/>
      <c r="O7" s="2781"/>
      <c r="P7" s="2781"/>
      <c r="Q7" s="2875"/>
      <c r="R7" s="2717"/>
      <c r="S7" s="2881" t="s">
        <v>30</v>
      </c>
      <c r="T7" s="2724"/>
      <c r="U7" s="2783">
        <v>55</v>
      </c>
      <c r="V7" s="2784"/>
      <c r="W7" s="2820">
        <f t="shared" si="4"/>
        <v>27</v>
      </c>
      <c r="X7" s="2724"/>
      <c r="Y7" s="2722" t="s">
        <v>31</v>
      </c>
      <c r="Z7" s="2722"/>
      <c r="AA7" s="2781">
        <v>80</v>
      </c>
      <c r="AB7" s="2781"/>
      <c r="AC7" s="2722">
        <f t="shared" si="0"/>
        <v>40</v>
      </c>
      <c r="AD7" s="2955"/>
      <c r="AE7" s="2956" t="s">
        <v>32</v>
      </c>
      <c r="AF7" s="2957"/>
      <c r="AG7" s="2989">
        <v>50</v>
      </c>
      <c r="AH7" s="2990"/>
      <c r="AI7" s="2820">
        <f t="shared" si="1"/>
        <v>25</v>
      </c>
      <c r="AJ7" s="2985"/>
      <c r="AK7" s="2717"/>
      <c r="AL7" s="3004"/>
      <c r="AM7" s="3005"/>
      <c r="AN7" s="3005"/>
      <c r="AO7" s="3005"/>
      <c r="AP7" s="3005"/>
      <c r="AQ7" s="3005"/>
      <c r="AR7" s="3005"/>
      <c r="AS7" s="3044"/>
      <c r="AT7" s="2717"/>
      <c r="AU7" s="3045" t="str">
        <f>IF(U7=0,"",IF(U7&lt;=20,"孩童，身短体瘦",IF(U7&lt;=40,"乙女身材",IF(U7&lt;=60,"普遍身高155-175",IF(U7&lt;=80,"不是高就是胖",IF(U7&lt;=100,"大号的人",IF(U7&lt;150,"听说你正在申请身高世界记录？",IF(U7&lt;180,"你可能是一头牛",IF(U7&lt;200,"你已经是历史上最重的人类了","过分了喂！")))))))))</f>
        <v>普遍身高155-175</v>
      </c>
      <c r="AV7" s="3046"/>
      <c r="AW7" s="3046"/>
      <c r="AX7" s="3046"/>
      <c r="AY7" s="3046"/>
      <c r="AZ7" s="3046"/>
      <c r="BA7" s="3046"/>
      <c r="BB7" s="3046"/>
      <c r="BC7" s="3049" t="str">
        <f>IF(INT=0,"",IF(INT&lt;=20,"脑子是个好东西，可惜。。。",IF(INT&lt;=40,"理解知识要耗费比普通人更多的时间",IF(INT&lt;=60,"有着普通人的灵光一现",IF(INT&lt;=80,"可以自主进行发明创造",IF(INT&lt;100,"天才级水准"))))))</f>
        <v>可以自主进行发明创造</v>
      </c>
      <c r="BD7" s="3049"/>
      <c r="BE7" s="3049"/>
      <c r="BF7" s="3049"/>
      <c r="BG7" s="3049"/>
      <c r="BH7" s="3049"/>
      <c r="BI7" s="3049"/>
      <c r="BJ7" s="3049"/>
      <c r="BK7" s="3106" t="str">
        <f>IF(Luck=0,"",IF(Luck&lt;=20,"克夫克妻",IF(Luck&lt;=40,"霉运连连",IF(Luck&lt;=60,"命格平庸",IF(Luck&lt;=80,"在马路边捡到100块",IF(Luck&lt;100,"被幸运女神所眷顾"))))))</f>
        <v>命格平庸</v>
      </c>
      <c r="BL7" s="3046"/>
      <c r="BM7" s="3046"/>
      <c r="BN7" s="3046"/>
      <c r="BO7" s="3046"/>
      <c r="BP7" s="3046"/>
      <c r="BQ7" s="3046"/>
      <c r="BR7" s="3126"/>
      <c r="CH7" s="3149"/>
      <c r="CI7" s="3149"/>
    </row>
    <row r="8" customHeight="1" spans="1:87">
      <c r="A8" s="2717"/>
      <c r="B8" s="2727" t="s">
        <v>33</v>
      </c>
      <c r="C8" s="2728"/>
      <c r="D8" s="2728"/>
      <c r="E8" s="2785" t="s">
        <v>34</v>
      </c>
      <c r="F8" s="2786"/>
      <c r="G8" s="2787">
        <v>2023</v>
      </c>
      <c r="H8" s="2788"/>
      <c r="I8" s="2788"/>
      <c r="J8" s="2785" t="s">
        <v>35</v>
      </c>
      <c r="K8" s="2786"/>
      <c r="L8" s="2821" t="s">
        <v>36</v>
      </c>
      <c r="M8" s="2853"/>
      <c r="N8" s="2854" t="s">
        <v>37</v>
      </c>
      <c r="O8" s="2855"/>
      <c r="P8" s="2855"/>
      <c r="Q8" s="2882"/>
      <c r="R8" s="2717"/>
      <c r="S8" s="2883"/>
      <c r="T8" s="2884"/>
      <c r="U8" s="2911"/>
      <c r="V8" s="2911"/>
      <c r="W8" s="2912">
        <f t="shared" si="5"/>
        <v>11</v>
      </c>
      <c r="X8" s="2884"/>
      <c r="Y8" s="2931"/>
      <c r="Z8" s="2931"/>
      <c r="AA8" s="2932"/>
      <c r="AB8" s="2932"/>
      <c r="AC8" s="2931">
        <f t="shared" si="2"/>
        <v>16</v>
      </c>
      <c r="AD8" s="2958"/>
      <c r="AE8" s="2959"/>
      <c r="AF8" s="2960"/>
      <c r="AG8" s="2991"/>
      <c r="AH8" s="2992"/>
      <c r="AI8" s="2912">
        <f t="shared" si="3"/>
        <v>10</v>
      </c>
      <c r="AJ8" s="2993"/>
      <c r="AK8" s="2717"/>
      <c r="AL8" s="3006"/>
      <c r="AM8" s="3007"/>
      <c r="AN8" s="3007"/>
      <c r="AO8" s="3007"/>
      <c r="AP8" s="3007"/>
      <c r="AQ8" s="3007"/>
      <c r="AR8" s="3007"/>
      <c r="AS8" s="3050"/>
      <c r="AT8" s="2717"/>
      <c r="AU8" s="3047"/>
      <c r="AV8" s="3046"/>
      <c r="AW8" s="3046"/>
      <c r="AX8" s="3046"/>
      <c r="AY8" s="3046"/>
      <c r="AZ8" s="3046"/>
      <c r="BA8" s="3046"/>
      <c r="BB8" s="3046"/>
      <c r="BC8" s="3049"/>
      <c r="BD8" s="3049"/>
      <c r="BE8" s="3049"/>
      <c r="BF8" s="3049"/>
      <c r="BG8" s="3049"/>
      <c r="BH8" s="3049"/>
      <c r="BI8" s="3049"/>
      <c r="BJ8" s="3049"/>
      <c r="BK8" s="3046"/>
      <c r="BL8" s="3046"/>
      <c r="BM8" s="3046"/>
      <c r="BN8" s="3046"/>
      <c r="BO8" s="3046"/>
      <c r="BP8" s="3046"/>
      <c r="BQ8" s="3046"/>
      <c r="BR8" s="3126"/>
      <c r="CH8" s="3149"/>
      <c r="CI8" s="3149"/>
    </row>
    <row r="9" customHeight="1" spans="1:77">
      <c r="A9" s="2717"/>
      <c r="B9" s="2729" t="str">
        <f>IF(F9=0,"","任意特长数：")</f>
        <v>任意特长数：</v>
      </c>
      <c r="C9" s="2729"/>
      <c r="D9" s="2729"/>
      <c r="E9" s="2729"/>
      <c r="F9" s="2789">
        <f>INDEX(本职技能!$A$2:$IE$68,MATCH("任意特长",本职技能!$A$2:$A$74,0),MATCH(附表!B58,本职技能!$A$1:$IE$1,0))</f>
        <v>1</v>
      </c>
      <c r="G9" s="2789"/>
      <c r="H9" s="2789"/>
      <c r="I9" s="2789"/>
      <c r="J9" s="2717"/>
      <c r="K9" s="2822">
        <f>INDEX(本职技能!$A$2:$IE$68,MATCH("☆",本职技能!$A$2:$A$74,0),MATCH(附表!B58,本职技能!$A$1:$IE$1,0))</f>
        <v>0</v>
      </c>
      <c r="L9" s="2822"/>
      <c r="M9" s="2822"/>
      <c r="N9" s="2822"/>
      <c r="O9" s="2822"/>
      <c r="P9" s="2822"/>
      <c r="Q9" s="2822"/>
      <c r="R9" s="2822"/>
      <c r="S9" s="2885"/>
      <c r="T9" s="2886">
        <f>INDEX(本职技能!$A$2:$IE$68,MATCH("⊙",本职技能!$A$2:$A$74,0),MATCH(附表!B58,本职技能!$A$1:$IE$1,0))</f>
        <v>0</v>
      </c>
      <c r="U9" s="2886"/>
      <c r="V9" s="2886"/>
      <c r="W9" s="2886"/>
      <c r="X9" s="2886"/>
      <c r="Y9" s="2933"/>
      <c r="Z9" s="2933"/>
      <c r="AA9" s="2933"/>
      <c r="AB9" s="2717"/>
      <c r="AC9" s="2961">
        <f>INDEX(本职技能!$A$2:$IE$68,MATCH("☯",本职技能!$A$2:$A$74,0),MATCH(附表!B58,本职技能!$A$1:$IE$1,0))</f>
        <v>2</v>
      </c>
      <c r="AD9" s="2961"/>
      <c r="AE9" s="2962"/>
      <c r="AF9" s="2962"/>
      <c r="AG9" s="2962"/>
      <c r="AH9" s="2962"/>
      <c r="AI9" s="2962"/>
      <c r="AJ9" s="2962"/>
      <c r="AK9" s="3008"/>
      <c r="AL9" s="3009">
        <f>INDEX(本职技能!$A$2:$IE$68,MATCH("※",本职技能!$A$2:$A$74,0),MATCH(附表!B58,本职技能!$A$1:$IE$1,0))</f>
        <v>0</v>
      </c>
      <c r="AM9" s="3009"/>
      <c r="AN9" s="3009"/>
      <c r="AO9" s="3009"/>
      <c r="AP9" s="3029"/>
      <c r="AQ9" s="3029"/>
      <c r="AR9" s="3029"/>
      <c r="AS9" s="3029"/>
      <c r="AT9" s="2717"/>
      <c r="AU9" s="3051"/>
      <c r="AV9" s="3052"/>
      <c r="AW9" s="3052"/>
      <c r="AX9" s="3052"/>
      <c r="AY9" s="3052"/>
      <c r="AZ9" s="3052"/>
      <c r="BA9" s="3052"/>
      <c r="BB9" s="3052"/>
      <c r="BC9" s="3052"/>
      <c r="BD9" s="3052"/>
      <c r="BE9" s="3052"/>
      <c r="BF9" s="3052"/>
      <c r="BG9" s="3052"/>
      <c r="BH9" s="3052"/>
      <c r="BI9" s="3052"/>
      <c r="BJ9" s="3052"/>
      <c r="BK9" s="3052"/>
      <c r="BL9" s="3052"/>
      <c r="BM9" s="3052"/>
      <c r="BN9" s="3052"/>
      <c r="BO9" s="3052"/>
      <c r="BP9" s="3052"/>
      <c r="BQ9" s="3052"/>
      <c r="BR9" s="3128"/>
      <c r="BX9" s="3147"/>
      <c r="BY9" s="3148"/>
    </row>
    <row r="10" customHeight="1" spans="1:77">
      <c r="A10" s="2717"/>
      <c r="B10" s="2730" t="s">
        <v>38</v>
      </c>
      <c r="C10" s="2731"/>
      <c r="D10" s="2731"/>
      <c r="E10" s="2790">
        <f>G10</f>
        <v>10</v>
      </c>
      <c r="F10" s="2791"/>
      <c r="G10" s="2792">
        <f>INT((U5+U7)/10)</f>
        <v>10</v>
      </c>
      <c r="H10" s="2793"/>
      <c r="I10" s="2823" t="s">
        <v>39</v>
      </c>
      <c r="J10" s="2824"/>
      <c r="K10" s="2825" t="s">
        <v>40</v>
      </c>
      <c r="L10" s="2826"/>
      <c r="M10" s="2826"/>
      <c r="N10" s="2856">
        <f>IF(AG3&gt;P10,P10,AG3)</f>
        <v>60</v>
      </c>
      <c r="O10" s="2857"/>
      <c r="P10" s="2858">
        <f>99-R28</f>
        <v>99</v>
      </c>
      <c r="Q10" s="2887"/>
      <c r="R10" s="2888" t="s">
        <v>39</v>
      </c>
      <c r="S10" s="2889"/>
      <c r="T10" s="2730" t="s">
        <v>41</v>
      </c>
      <c r="U10" s="2731"/>
      <c r="V10" s="2731"/>
      <c r="W10" s="2913">
        <f>Y10</f>
        <v>12</v>
      </c>
      <c r="X10" s="2914"/>
      <c r="Y10" s="2934">
        <f>INT(AG3/5)</f>
        <v>12</v>
      </c>
      <c r="Z10" s="2935"/>
      <c r="AA10" s="2936" t="s">
        <v>42</v>
      </c>
      <c r="AB10" s="2937"/>
      <c r="AC10" s="2826" t="s">
        <v>43</v>
      </c>
      <c r="AD10" s="2963"/>
      <c r="AE10" s="2963"/>
      <c r="AF10" s="2964">
        <f>AI11+8</f>
        <v>8</v>
      </c>
      <c r="AG10" s="2994"/>
      <c r="AH10" s="2994"/>
      <c r="AI10" s="2995" t="s">
        <v>44</v>
      </c>
      <c r="AJ10" s="2996"/>
      <c r="AK10" s="2730" t="s">
        <v>45</v>
      </c>
      <c r="AL10" s="2731"/>
      <c r="AM10" s="2731"/>
      <c r="AN10" s="3010" t="str">
        <f>IF($AN12=0,"0",VLOOKUP($AN12,'防具表 载具表'!B2:I101,2,FALSE))</f>
        <v> </v>
      </c>
      <c r="AO10" s="3030"/>
      <c r="AP10" s="3030"/>
      <c r="AQ10" s="3031"/>
      <c r="AR10" s="3032" t="s">
        <v>46</v>
      </c>
      <c r="AS10" s="3053"/>
      <c r="AT10" s="2717"/>
      <c r="AU10" s="3051"/>
      <c r="AV10" s="3052"/>
      <c r="AW10" s="3052"/>
      <c r="AX10" s="3052"/>
      <c r="AY10" s="3052"/>
      <c r="AZ10" s="3052"/>
      <c r="BA10" s="3052"/>
      <c r="BB10" s="3052"/>
      <c r="BC10" s="3052"/>
      <c r="BD10" s="3052"/>
      <c r="BE10" s="3052"/>
      <c r="BF10" s="3052"/>
      <c r="BG10" s="3052"/>
      <c r="BH10" s="3052"/>
      <c r="BI10" s="3052"/>
      <c r="BJ10" s="3052"/>
      <c r="BK10" s="3052"/>
      <c r="BL10" s="3052"/>
      <c r="BM10" s="3052"/>
      <c r="BN10" s="3052"/>
      <c r="BO10" s="3052"/>
      <c r="BP10" s="3052"/>
      <c r="BQ10" s="3052"/>
      <c r="BR10" s="3128"/>
      <c r="BX10" s="3148"/>
      <c r="BY10" s="3148"/>
    </row>
    <row r="11" customHeight="1" spans="1:70">
      <c r="A11" s="2717"/>
      <c r="B11" s="2732"/>
      <c r="C11" s="2733"/>
      <c r="D11" s="2733"/>
      <c r="E11" s="2794"/>
      <c r="F11" s="2794"/>
      <c r="G11" s="2795"/>
      <c r="H11" s="2795"/>
      <c r="I11" s="2827" t="s">
        <v>47</v>
      </c>
      <c r="J11" s="2828"/>
      <c r="K11" s="2829"/>
      <c r="L11" s="2830"/>
      <c r="M11" s="2830"/>
      <c r="N11" s="2859"/>
      <c r="O11" s="2859"/>
      <c r="P11" s="2860"/>
      <c r="Q11" s="2860"/>
      <c r="R11" s="2890" t="s">
        <v>48</v>
      </c>
      <c r="S11" s="2891"/>
      <c r="T11" s="2732"/>
      <c r="U11" s="2733"/>
      <c r="V11" s="2733"/>
      <c r="W11" s="2915"/>
      <c r="X11" s="2915"/>
      <c r="Y11" s="2938"/>
      <c r="Z11" s="2939"/>
      <c r="AA11" s="2940">
        <f>IF(AG3="","",INT(AG3/100+1))</f>
        <v>1</v>
      </c>
      <c r="AB11" s="2941"/>
      <c r="AC11" s="2965"/>
      <c r="AD11" s="2965"/>
      <c r="AE11" s="2965"/>
      <c r="AF11" s="2966"/>
      <c r="AG11" s="2966"/>
      <c r="AH11" s="2966"/>
      <c r="AI11" s="2997">
        <f>附表!C9</f>
        <v>0</v>
      </c>
      <c r="AJ11" s="2998"/>
      <c r="AK11" s="2732"/>
      <c r="AL11" s="2733"/>
      <c r="AM11" s="2733"/>
      <c r="AN11" s="3011"/>
      <c r="AO11" s="3011"/>
      <c r="AP11" s="3011"/>
      <c r="AQ11" s="3033"/>
      <c r="AR11" s="3034" t="str">
        <f>IF($AN12=0,"",VLOOKUP($AN12,'防具表 载具表'!B2:I101,4,FALSE))</f>
        <v> </v>
      </c>
      <c r="AS11" s="3054"/>
      <c r="AT11" s="2717"/>
      <c r="AU11" s="3051"/>
      <c r="AV11" s="3052"/>
      <c r="AW11" s="3052"/>
      <c r="AX11" s="3052"/>
      <c r="AY11" s="3052"/>
      <c r="AZ11" s="3052"/>
      <c r="BA11" s="3052"/>
      <c r="BB11" s="3052"/>
      <c r="BC11" s="3052"/>
      <c r="BD11" s="3052"/>
      <c r="BE11" s="3052"/>
      <c r="BF11" s="3052"/>
      <c r="BG11" s="3052"/>
      <c r="BH11" s="3052"/>
      <c r="BI11" s="3052"/>
      <c r="BJ11" s="3052"/>
      <c r="BK11" s="3052"/>
      <c r="BL11" s="3052"/>
      <c r="BM11" s="3052"/>
      <c r="BN11" s="3052"/>
      <c r="BO11" s="3052"/>
      <c r="BP11" s="3052"/>
      <c r="BQ11" s="3052"/>
      <c r="BR11" s="3128"/>
    </row>
    <row r="12" customHeight="1" spans="1:70">
      <c r="A12" s="2717"/>
      <c r="B12" s="2734" t="s">
        <v>49</v>
      </c>
      <c r="C12" s="2735"/>
      <c r="D12" s="2736">
        <f>CEILING(G10/2,1)</f>
        <v>5</v>
      </c>
      <c r="E12" s="2796"/>
      <c r="F12" s="2797" t="s">
        <v>50</v>
      </c>
      <c r="G12" s="2798"/>
      <c r="H12" s="2798"/>
      <c r="I12" s="2831">
        <v>0</v>
      </c>
      <c r="J12" s="2832"/>
      <c r="K12" s="2833" t="s">
        <v>51</v>
      </c>
      <c r="L12" s="2834"/>
      <c r="M12" s="2834"/>
      <c r="N12" s="2861">
        <v>0</v>
      </c>
      <c r="O12" s="2862"/>
      <c r="P12" s="2863" t="s">
        <v>52</v>
      </c>
      <c r="Q12" s="2892"/>
      <c r="R12" s="2893">
        <f>N10-N12</f>
        <v>60</v>
      </c>
      <c r="S12" s="2894"/>
      <c r="T12" s="2895" t="s">
        <v>53</v>
      </c>
      <c r="U12" s="2735"/>
      <c r="V12" s="2735"/>
      <c r="W12" s="2735"/>
      <c r="X12" s="2736"/>
      <c r="Y12" s="2942"/>
      <c r="Z12" s="2942"/>
      <c r="AA12" s="2942"/>
      <c r="AB12" s="2943"/>
      <c r="AC12" s="2967" t="s">
        <v>54</v>
      </c>
      <c r="AD12" s="2968"/>
      <c r="AE12" s="2969" t="s">
        <v>55</v>
      </c>
      <c r="AF12" s="2970"/>
      <c r="AG12" s="2967" t="s">
        <v>56</v>
      </c>
      <c r="AH12" s="2968"/>
      <c r="AI12" s="2969" t="s">
        <v>57</v>
      </c>
      <c r="AJ12" s="2999"/>
      <c r="AK12" s="2895" t="s">
        <v>58</v>
      </c>
      <c r="AL12" s="2735"/>
      <c r="AM12" s="2735"/>
      <c r="AN12" s="2831" t="s">
        <v>59</v>
      </c>
      <c r="AO12" s="2832"/>
      <c r="AP12" s="2832"/>
      <c r="AQ12" s="2832"/>
      <c r="AR12" s="2832"/>
      <c r="AS12" s="3055"/>
      <c r="AT12" s="2717"/>
      <c r="AU12" s="3051"/>
      <c r="AV12" s="3052"/>
      <c r="AW12" s="3052"/>
      <c r="AX12" s="3052"/>
      <c r="AY12" s="3052"/>
      <c r="AZ12" s="3052"/>
      <c r="BA12" s="3052"/>
      <c r="BB12" s="3052"/>
      <c r="BC12" s="3052"/>
      <c r="BD12" s="3052"/>
      <c r="BE12" s="3052"/>
      <c r="BF12" s="3052"/>
      <c r="BG12" s="3052"/>
      <c r="BH12" s="3052"/>
      <c r="BI12" s="3052"/>
      <c r="BJ12" s="3052"/>
      <c r="BK12" s="3052"/>
      <c r="BL12" s="3052"/>
      <c r="BM12" s="3052"/>
      <c r="BN12" s="3052"/>
      <c r="BO12" s="3052"/>
      <c r="BP12" s="3052"/>
      <c r="BQ12" s="3052"/>
      <c r="BR12" s="3128"/>
    </row>
    <row r="13" customHeight="1" spans="1:70">
      <c r="A13" s="2717"/>
      <c r="B13" s="2737" t="s">
        <v>60</v>
      </c>
      <c r="C13" s="2738"/>
      <c r="D13" s="2738"/>
      <c r="E13" s="2738"/>
      <c r="F13" s="2738"/>
      <c r="G13" s="2738"/>
      <c r="H13" s="2738"/>
      <c r="I13" s="2835" t="str">
        <f>附表!B17</f>
        <v>会计，两项社交技能（取悦、话术、恐吓、说服），法律，图书馆，聆听，锁匠，艺术及手艺（摄影），侦查，任意一项其他个人或时代特长</v>
      </c>
      <c r="J13" s="2835"/>
      <c r="K13" s="2835"/>
      <c r="L13" s="2835"/>
      <c r="M13" s="2835"/>
      <c r="N13" s="2835"/>
      <c r="O13" s="2835"/>
      <c r="P13" s="2835"/>
      <c r="Q13" s="2835"/>
      <c r="R13" s="2835"/>
      <c r="S13" s="2835"/>
      <c r="T13" s="2835"/>
      <c r="U13" s="2835"/>
      <c r="V13" s="2835"/>
      <c r="W13" s="2835"/>
      <c r="X13" s="2835"/>
      <c r="Y13" s="2835"/>
      <c r="Z13" s="2835"/>
      <c r="AA13" s="2835"/>
      <c r="AB13" s="2835"/>
      <c r="AC13" s="2835"/>
      <c r="AD13" s="2835"/>
      <c r="AE13" s="2835"/>
      <c r="AF13" s="2835"/>
      <c r="AG13" s="2835"/>
      <c r="AH13" s="2835"/>
      <c r="AI13" s="2835"/>
      <c r="AJ13" s="2835"/>
      <c r="AK13" s="2835"/>
      <c r="AL13" s="2835"/>
      <c r="AM13" s="2835"/>
      <c r="AN13" s="2835"/>
      <c r="AO13" s="2835"/>
      <c r="AP13" s="2835"/>
      <c r="AQ13" s="2835"/>
      <c r="AR13" s="2835"/>
      <c r="AS13" s="2835"/>
      <c r="AT13" s="3056"/>
      <c r="AU13" s="3051"/>
      <c r="AV13" s="3052"/>
      <c r="AW13" s="3052"/>
      <c r="AX13" s="3052"/>
      <c r="AY13" s="3052"/>
      <c r="AZ13" s="3052"/>
      <c r="BA13" s="3052"/>
      <c r="BB13" s="3052"/>
      <c r="BC13" s="3052"/>
      <c r="BD13" s="3052"/>
      <c r="BE13" s="3052"/>
      <c r="BF13" s="3052"/>
      <c r="BG13" s="3052"/>
      <c r="BH13" s="3052"/>
      <c r="BI13" s="3052"/>
      <c r="BJ13" s="3052"/>
      <c r="BK13" s="3052"/>
      <c r="BL13" s="3052"/>
      <c r="BM13" s="3052"/>
      <c r="BN13" s="3052"/>
      <c r="BO13" s="3052"/>
      <c r="BP13" s="3052"/>
      <c r="BQ13" s="3052"/>
      <c r="BR13" s="3128"/>
    </row>
    <row r="14" customHeight="1" spans="1:70">
      <c r="A14" s="2739"/>
      <c r="B14" s="2738"/>
      <c r="C14" s="2738"/>
      <c r="D14" s="2738"/>
      <c r="E14" s="2738"/>
      <c r="F14" s="2738"/>
      <c r="G14" s="2738"/>
      <c r="H14" s="2738"/>
      <c r="I14" s="2836"/>
      <c r="J14" s="2836"/>
      <c r="K14" s="2836"/>
      <c r="L14" s="2836"/>
      <c r="M14" s="2836"/>
      <c r="N14" s="2836"/>
      <c r="O14" s="2836"/>
      <c r="P14" s="2836"/>
      <c r="Q14" s="2836"/>
      <c r="R14" s="2836"/>
      <c r="S14" s="2836"/>
      <c r="T14" s="2836"/>
      <c r="U14" s="2836"/>
      <c r="V14" s="2836"/>
      <c r="W14" s="2836"/>
      <c r="X14" s="2836"/>
      <c r="Y14" s="2836"/>
      <c r="Z14" s="2836"/>
      <c r="AA14" s="2836"/>
      <c r="AB14" s="2836"/>
      <c r="AC14" s="2836"/>
      <c r="AD14" s="2836"/>
      <c r="AE14" s="2836"/>
      <c r="AF14" s="2836"/>
      <c r="AG14" s="2836"/>
      <c r="AH14" s="2836"/>
      <c r="AI14" s="2836"/>
      <c r="AJ14" s="2836"/>
      <c r="AK14" s="2836"/>
      <c r="AL14" s="2836"/>
      <c r="AM14" s="2836"/>
      <c r="AN14" s="2836"/>
      <c r="AO14" s="2836"/>
      <c r="AP14" s="2836"/>
      <c r="AQ14" s="2836"/>
      <c r="AR14" s="2836"/>
      <c r="AS14" s="2836"/>
      <c r="AT14" s="3057"/>
      <c r="AU14" s="3051"/>
      <c r="AV14" s="3052"/>
      <c r="AW14" s="3052"/>
      <c r="AX14" s="3052"/>
      <c r="AY14" s="3052"/>
      <c r="AZ14" s="3052"/>
      <c r="BA14" s="3052"/>
      <c r="BB14" s="3052"/>
      <c r="BC14" s="3052"/>
      <c r="BD14" s="3052"/>
      <c r="BE14" s="3052"/>
      <c r="BF14" s="3052"/>
      <c r="BG14" s="3052"/>
      <c r="BH14" s="3052"/>
      <c r="BI14" s="3052"/>
      <c r="BJ14" s="3052"/>
      <c r="BK14" s="3052"/>
      <c r="BL14" s="3052"/>
      <c r="BM14" s="3052"/>
      <c r="BN14" s="3052"/>
      <c r="BO14" s="3052"/>
      <c r="BP14" s="3052"/>
      <c r="BQ14" s="3052"/>
      <c r="BR14" s="3128"/>
    </row>
    <row r="15" customHeight="1" spans="1:70">
      <c r="A15" s="2739"/>
      <c r="B15" s="2740" t="s">
        <v>61</v>
      </c>
      <c r="C15" s="2741"/>
      <c r="D15" s="2741"/>
      <c r="E15" s="2741"/>
      <c r="F15" s="2741"/>
      <c r="G15" s="2741"/>
      <c r="H15" s="2741"/>
      <c r="I15" s="2741"/>
      <c r="J15" s="2741"/>
      <c r="K15" s="2741"/>
      <c r="L15" s="2741"/>
      <c r="M15" s="2741"/>
      <c r="N15" s="2741"/>
      <c r="O15" s="2741"/>
      <c r="P15" s="2741"/>
      <c r="Q15" s="2741"/>
      <c r="R15" s="2741"/>
      <c r="S15" s="2741"/>
      <c r="T15" s="2741"/>
      <c r="U15" s="2741"/>
      <c r="V15" s="2741"/>
      <c r="W15" s="2741"/>
      <c r="X15" s="2741"/>
      <c r="Y15" s="2741"/>
      <c r="Z15" s="2741"/>
      <c r="AA15" s="2741"/>
      <c r="AB15" s="2741"/>
      <c r="AC15" s="2741"/>
      <c r="AD15" s="2741"/>
      <c r="AE15" s="2741"/>
      <c r="AF15" s="2741"/>
      <c r="AG15" s="2741"/>
      <c r="AH15" s="2741"/>
      <c r="AI15" s="2741"/>
      <c r="AJ15" s="2741"/>
      <c r="AK15" s="2741"/>
      <c r="AL15" s="2741"/>
      <c r="AM15" s="2741"/>
      <c r="AN15" s="2741"/>
      <c r="AO15" s="2741"/>
      <c r="AP15" s="2741"/>
      <c r="AQ15" s="2741"/>
      <c r="AR15" s="2741"/>
      <c r="AS15" s="3058"/>
      <c r="AT15" s="3057"/>
      <c r="AU15" s="3051"/>
      <c r="AV15" s="3052"/>
      <c r="AW15" s="3052"/>
      <c r="AX15" s="3052"/>
      <c r="AY15" s="3052"/>
      <c r="AZ15" s="3052"/>
      <c r="BA15" s="3052"/>
      <c r="BB15" s="3052"/>
      <c r="BC15" s="3052"/>
      <c r="BD15" s="3052"/>
      <c r="BE15" s="3052"/>
      <c r="BF15" s="3052"/>
      <c r="BG15" s="3052"/>
      <c r="BH15" s="3052"/>
      <c r="BI15" s="3052"/>
      <c r="BJ15" s="3052"/>
      <c r="BK15" s="3052"/>
      <c r="BL15" s="3052"/>
      <c r="BM15" s="3052"/>
      <c r="BN15" s="3052"/>
      <c r="BO15" s="3052"/>
      <c r="BP15" s="3052"/>
      <c r="BQ15" s="3052"/>
      <c r="BR15" s="3128"/>
    </row>
    <row r="16" customHeight="1" spans="1:70">
      <c r="A16" s="2739"/>
      <c r="B16" s="2742" t="s">
        <v>62</v>
      </c>
      <c r="C16" s="2743"/>
      <c r="D16" s="2744" t="str">
        <f>附表!G15</f>
        <v>经历包</v>
      </c>
      <c r="E16" s="2799"/>
      <c r="F16" s="2744" t="s">
        <v>63</v>
      </c>
      <c r="G16" s="2799"/>
      <c r="H16" s="2799"/>
      <c r="I16" s="2799"/>
      <c r="J16" s="2744" t="s">
        <v>64</v>
      </c>
      <c r="K16" s="2799"/>
      <c r="L16" s="2837" t="s">
        <v>65</v>
      </c>
      <c r="M16" s="2864"/>
      <c r="N16" s="2744" t="s">
        <v>16</v>
      </c>
      <c r="O16" s="2799"/>
      <c r="P16" s="2744" t="s">
        <v>66</v>
      </c>
      <c r="Q16" s="2799"/>
      <c r="R16" s="2744" t="s">
        <v>67</v>
      </c>
      <c r="S16" s="2799"/>
      <c r="T16" s="2799"/>
      <c r="U16" s="2799"/>
      <c r="V16" s="2799"/>
      <c r="W16" s="2799"/>
      <c r="X16" s="2916" t="s">
        <v>62</v>
      </c>
      <c r="Y16" s="2743"/>
      <c r="Z16" s="2744" t="str">
        <f>附表!G15</f>
        <v>经历包</v>
      </c>
      <c r="AA16" s="2799"/>
      <c r="AB16" s="2744" t="s">
        <v>63</v>
      </c>
      <c r="AC16" s="2799"/>
      <c r="AD16" s="2799"/>
      <c r="AE16" s="2799"/>
      <c r="AF16" s="2744" t="s">
        <v>64</v>
      </c>
      <c r="AG16" s="2799"/>
      <c r="AH16" s="2837" t="s">
        <v>65</v>
      </c>
      <c r="AI16" s="2864"/>
      <c r="AJ16" s="2744" t="s">
        <v>16</v>
      </c>
      <c r="AK16" s="2799"/>
      <c r="AL16" s="2744" t="s">
        <v>66</v>
      </c>
      <c r="AM16" s="2799"/>
      <c r="AN16" s="2744" t="s">
        <v>67</v>
      </c>
      <c r="AO16" s="2799"/>
      <c r="AP16" s="2799"/>
      <c r="AQ16" s="2799"/>
      <c r="AR16" s="2799"/>
      <c r="AS16" s="3059"/>
      <c r="AT16" s="3057"/>
      <c r="AU16" s="3051"/>
      <c r="AV16" s="3052"/>
      <c r="AW16" s="3052"/>
      <c r="AX16" s="3052"/>
      <c r="AY16" s="3052"/>
      <c r="AZ16" s="3052"/>
      <c r="BA16" s="3052"/>
      <c r="BB16" s="3052"/>
      <c r="BC16" s="3052"/>
      <c r="BD16" s="3052"/>
      <c r="BE16" s="3052"/>
      <c r="BF16" s="3052"/>
      <c r="BG16" s="3052"/>
      <c r="BH16" s="3052"/>
      <c r="BI16" s="3052"/>
      <c r="BJ16" s="3052"/>
      <c r="BK16" s="3052"/>
      <c r="BL16" s="3052"/>
      <c r="BM16" s="3052"/>
      <c r="BN16" s="3052"/>
      <c r="BO16" s="3052"/>
      <c r="BP16" s="3052"/>
      <c r="BQ16" s="3052"/>
      <c r="BR16" s="3128"/>
    </row>
    <row r="17" customHeight="1" spans="1:77">
      <c r="A17" s="2739"/>
      <c r="B17" s="2745" t="s">
        <v>68</v>
      </c>
      <c r="C17" s="2746"/>
      <c r="D17" s="2747" t="str">
        <f>IF(ISTEXT(IFERROR(VLOOKUP(人物卡!F17,人物卡!BJ19:BR23,1,FALSE),IFERROR(VLOOKUP(人物卡!F17,BB19:BB23,1,FALSE),0))),"★",INDEX(本职技能!$A$2:$IE$75,MATCH(人物卡!F17,本职技能!$A$2:$A$74,0),MATCH(附表!B58,本职技能!$A$1:$IE$1,0)))</f>
        <v>★</v>
      </c>
      <c r="E17" s="2800"/>
      <c r="F17" s="2801" t="s">
        <v>69</v>
      </c>
      <c r="G17" s="2801"/>
      <c r="H17" s="2801"/>
      <c r="I17" s="2801"/>
      <c r="J17" s="2838">
        <v>5</v>
      </c>
      <c r="K17" s="2838"/>
      <c r="L17" s="2839"/>
      <c r="M17" s="2839"/>
      <c r="N17" s="2839"/>
      <c r="O17" s="2839"/>
      <c r="P17" s="2839"/>
      <c r="Q17" s="2839"/>
      <c r="R17" s="2896">
        <f>SUM(J17:P17)</f>
        <v>5</v>
      </c>
      <c r="S17" s="2896"/>
      <c r="T17" s="2838">
        <f t="shared" ref="T17:T50" si="6">INT(R17/2)</f>
        <v>2</v>
      </c>
      <c r="U17" s="2838"/>
      <c r="V17" s="2838">
        <f t="shared" ref="V17:V50" si="7">INT(R17/5)</f>
        <v>1</v>
      </c>
      <c r="W17" s="2838"/>
      <c r="X17" s="2801" t="s">
        <v>68</v>
      </c>
      <c r="Y17" s="2801"/>
      <c r="Z17" s="2747" t="str">
        <f>IF(ISTEXT(IFERROR(VLOOKUP(人物卡!AB17,人物卡!BJ19:BR23,1,FALSE),IFERROR(VLOOKUP(人物卡!AB17,人物卡!BB19:BC23,1,FALSE),0))),"★",INDEX(本职技能!$A$2:$IE$75,MATCH(人物卡!AB17,本职技能!$A$2:$A$74,0),MATCH(附表!B58,本职技能!$A$1:$IE$1,0)))</f>
        <v>★</v>
      </c>
      <c r="AA17" s="2800"/>
      <c r="AB17" s="2801" t="s">
        <v>70</v>
      </c>
      <c r="AC17" s="2801"/>
      <c r="AD17" s="2801"/>
      <c r="AE17" s="2801"/>
      <c r="AF17" s="2838">
        <v>5</v>
      </c>
      <c r="AG17" s="2838"/>
      <c r="AH17" s="2839"/>
      <c r="AI17" s="2839"/>
      <c r="AJ17" s="2839"/>
      <c r="AK17" s="2839"/>
      <c r="AL17" s="3012"/>
      <c r="AM17" s="3012"/>
      <c r="AN17" s="2896">
        <f t="shared" ref="AN17:AN31" si="8">SUM(AF17:AL17)</f>
        <v>5</v>
      </c>
      <c r="AO17" s="2896"/>
      <c r="AP17" s="2896">
        <f t="shared" ref="AP17:AP50" si="9">INT(AN17/2)</f>
        <v>2</v>
      </c>
      <c r="AQ17" s="2896"/>
      <c r="AR17" s="2896">
        <f t="shared" ref="AR17:AR50" si="10">INT(AN17/5)</f>
        <v>1</v>
      </c>
      <c r="AS17" s="3060"/>
      <c r="AT17" s="3057"/>
      <c r="AU17" s="3061"/>
      <c r="AV17" s="3062"/>
      <c r="AW17" s="3062"/>
      <c r="AX17" s="3062"/>
      <c r="AY17" s="3062"/>
      <c r="AZ17" s="3062"/>
      <c r="BA17" s="3062"/>
      <c r="BB17" s="3062"/>
      <c r="BC17" s="3062"/>
      <c r="BD17" s="3062"/>
      <c r="BE17" s="3062"/>
      <c r="BF17" s="3062"/>
      <c r="BG17" s="3062"/>
      <c r="BH17" s="3062"/>
      <c r="BI17" s="3062"/>
      <c r="BJ17" s="3062"/>
      <c r="BK17" s="3062"/>
      <c r="BL17" s="3062"/>
      <c r="BM17" s="3062"/>
      <c r="BN17" s="3062"/>
      <c r="BO17" s="3062"/>
      <c r="BP17" s="3062"/>
      <c r="BQ17" s="3062"/>
      <c r="BR17" s="3129"/>
      <c r="BV17"/>
      <c r="BW17"/>
      <c r="BX17"/>
      <c r="BY17"/>
    </row>
    <row r="18" customHeight="1" spans="1:77">
      <c r="A18" s="2739"/>
      <c r="B18" s="2748" t="s">
        <v>68</v>
      </c>
      <c r="C18" s="2749"/>
      <c r="D18" s="2747">
        <f>IF(ISTEXT(IFERROR(VLOOKUP(人物卡!F18,BJ19:BJ23,1,FALSE),IFERROR(VLOOKUP(人物卡!F18,BB19:BB23,1,FALSE),0))),"★",INDEX(本职技能!$A$2:$IE$75,MATCH(人物卡!F18,本职技能!$A$2:$A$74,0),MATCH(附表!B58,本职技能!$A$1:$IE$1,0)))</f>
        <v>0</v>
      </c>
      <c r="E18" s="2800"/>
      <c r="F18" s="2802" t="s">
        <v>71</v>
      </c>
      <c r="G18" s="2803"/>
      <c r="H18" s="2803"/>
      <c r="I18" s="2803"/>
      <c r="J18" s="2840">
        <v>1</v>
      </c>
      <c r="K18" s="2841"/>
      <c r="L18" s="2842"/>
      <c r="M18" s="2865"/>
      <c r="N18" s="2842"/>
      <c r="O18" s="2865"/>
      <c r="P18" s="2842"/>
      <c r="Q18" s="2865"/>
      <c r="R18" s="2897">
        <f>SUM(J18:P18)</f>
        <v>1</v>
      </c>
      <c r="S18" s="2898"/>
      <c r="T18" s="2840">
        <f t="shared" si="6"/>
        <v>0</v>
      </c>
      <c r="U18" s="2841"/>
      <c r="V18" s="2840">
        <f t="shared" si="7"/>
        <v>0</v>
      </c>
      <c r="W18" s="2841"/>
      <c r="X18" s="2802" t="s">
        <v>68</v>
      </c>
      <c r="Y18" s="2803"/>
      <c r="Z18" s="2747" t="str">
        <f>IF(ISTEXT(IFERROR(VLOOKUP(人物卡!AB18,人物卡!BJ19:BR23,1,FALSE),IFERROR(VLOOKUP(人物卡!AB18,人物卡!BB19:BC23,1,FALSE),0))),"★",INDEX(本职技能!$A$2:$IE$75,MATCH(人物卡!AB18,本职技能!$A$2:$A$74,0),MATCH(附表!B58,本职技能!$A$1:$IE$1,0)))</f>
        <v>★</v>
      </c>
      <c r="AA18" s="2800"/>
      <c r="AB18" s="2802" t="s">
        <v>72</v>
      </c>
      <c r="AC18" s="2803"/>
      <c r="AD18" s="2803"/>
      <c r="AE18" s="2803"/>
      <c r="AF18" s="2840">
        <v>20</v>
      </c>
      <c r="AG18" s="2841"/>
      <c r="AH18" s="2842"/>
      <c r="AI18" s="2865"/>
      <c r="AJ18" s="2842"/>
      <c r="AK18" s="2865"/>
      <c r="AL18" s="3013"/>
      <c r="AM18" s="3014"/>
      <c r="AN18" s="2897">
        <f t="shared" si="8"/>
        <v>20</v>
      </c>
      <c r="AO18" s="2898"/>
      <c r="AP18" s="2897">
        <f t="shared" si="9"/>
        <v>10</v>
      </c>
      <c r="AQ18" s="2898"/>
      <c r="AR18" s="2897">
        <f t="shared" si="10"/>
        <v>4</v>
      </c>
      <c r="AS18" s="3063"/>
      <c r="AT18" s="3057"/>
      <c r="AU18" s="3042" t="s">
        <v>73</v>
      </c>
      <c r="AV18" s="3043"/>
      <c r="AW18" s="3043"/>
      <c r="AX18" s="3043"/>
      <c r="AY18" s="3043"/>
      <c r="AZ18" s="3043"/>
      <c r="BA18" s="3043"/>
      <c r="BB18" s="3107" t="s">
        <v>74</v>
      </c>
      <c r="BC18" s="3043"/>
      <c r="BD18" s="3043"/>
      <c r="BE18" s="3043"/>
      <c r="BF18" s="3043"/>
      <c r="BG18" s="3043"/>
      <c r="BH18" s="3043"/>
      <c r="BI18" s="3043"/>
      <c r="BJ18" s="3043"/>
      <c r="BK18" s="3043"/>
      <c r="BL18" s="3043"/>
      <c r="BM18" s="3043"/>
      <c r="BN18" s="3043"/>
      <c r="BO18" s="3043"/>
      <c r="BP18" s="3043"/>
      <c r="BQ18" s="3043"/>
      <c r="BR18" s="3125"/>
      <c r="BV18"/>
      <c r="BW18"/>
      <c r="BX18"/>
      <c r="BY18"/>
    </row>
    <row r="19" customHeight="1" spans="1:77">
      <c r="A19" s="2739"/>
      <c r="B19" s="2745" t="s">
        <v>68</v>
      </c>
      <c r="C19" s="2746"/>
      <c r="D19" s="2747">
        <f>IF(ISTEXT(IFERROR(VLOOKUP(人物卡!F19,人物卡!BJ19:BR23,1,FALSE),IFERROR(VLOOKUP(人物卡!F19,人物卡!BB19:BC23,1,FALSE),0))),"★",INDEX(本职技能!$A$2:$IE$75,MATCH(人物卡!F19,本职技能!$A$2:$A$74,0),MATCH(附表!B58,本职技能!$A$1:$IE$1,0)))</f>
        <v>0</v>
      </c>
      <c r="E19" s="2800"/>
      <c r="F19" s="2801" t="s">
        <v>75</v>
      </c>
      <c r="G19" s="2801"/>
      <c r="H19" s="2801"/>
      <c r="I19" s="2801"/>
      <c r="J19" s="2838">
        <v>5</v>
      </c>
      <c r="K19" s="2838"/>
      <c r="L19" s="2839"/>
      <c r="M19" s="2839"/>
      <c r="N19" s="2839"/>
      <c r="O19" s="2839"/>
      <c r="P19" s="2839"/>
      <c r="Q19" s="2839"/>
      <c r="R19" s="2896">
        <f>SUM(J19:P19)</f>
        <v>5</v>
      </c>
      <c r="S19" s="2896"/>
      <c r="T19" s="2838">
        <f t="shared" si="6"/>
        <v>2</v>
      </c>
      <c r="U19" s="2838"/>
      <c r="V19" s="2838">
        <f t="shared" si="7"/>
        <v>1</v>
      </c>
      <c r="W19" s="2838"/>
      <c r="X19" s="2801" t="s">
        <v>68</v>
      </c>
      <c r="Y19" s="2801"/>
      <c r="Z19" s="2747" t="str">
        <f>IF(ISTEXT(IFERROR(VLOOKUP(人物卡!AB19,BJ19:BJ23,1,FALSE),IFERROR(VLOOKUP(人物卡!AB19,BB19:BB23,1,FALSE),0))),"★",INDEX(本职技能!$A$2:$IE$75,MATCH(人物卡!AB19,本职技能!$A$2:$A$74,0),MATCH(附表!B58,本职技能!$A$1:$IE$1,0)))</f>
        <v>★</v>
      </c>
      <c r="AA19" s="2800"/>
      <c r="AB19" s="2801" t="s">
        <v>76</v>
      </c>
      <c r="AC19" s="2801"/>
      <c r="AD19" s="2801"/>
      <c r="AE19" s="2801"/>
      <c r="AF19" s="2838">
        <v>20</v>
      </c>
      <c r="AG19" s="2838"/>
      <c r="AH19" s="2839"/>
      <c r="AI19" s="2839"/>
      <c r="AJ19" s="2839">
        <v>45</v>
      </c>
      <c r="AK19" s="2839"/>
      <c r="AL19" s="3012">
        <v>5</v>
      </c>
      <c r="AM19" s="3012"/>
      <c r="AN19" s="2896">
        <f t="shared" si="8"/>
        <v>70</v>
      </c>
      <c r="AO19" s="2896"/>
      <c r="AP19" s="2896">
        <f t="shared" si="9"/>
        <v>35</v>
      </c>
      <c r="AQ19" s="2896"/>
      <c r="AR19" s="2896">
        <f t="shared" si="10"/>
        <v>14</v>
      </c>
      <c r="AS19" s="3060"/>
      <c r="AT19" s="3057"/>
      <c r="AU19" s="3064" t="s">
        <v>77</v>
      </c>
      <c r="AV19" s="3065"/>
      <c r="AW19" s="3065"/>
      <c r="AX19" s="3065"/>
      <c r="AY19" s="3065"/>
      <c r="AZ19" s="3065"/>
      <c r="BA19" s="3065"/>
      <c r="BB19" s="3108"/>
      <c r="BC19" s="3109"/>
      <c r="BD19" s="3109"/>
      <c r="BE19" s="3109"/>
      <c r="BF19" s="3109"/>
      <c r="BG19" s="3109"/>
      <c r="BH19" s="3109"/>
      <c r="BI19" s="3109"/>
      <c r="BJ19" s="3108"/>
      <c r="BK19" s="3109"/>
      <c r="BL19" s="3109"/>
      <c r="BM19" s="3109"/>
      <c r="BN19" s="3109"/>
      <c r="BO19" s="3109"/>
      <c r="BP19" s="3109"/>
      <c r="BQ19" s="3109"/>
      <c r="BR19" s="3130"/>
      <c r="BV19"/>
      <c r="BW19"/>
      <c r="BX19"/>
      <c r="BY19"/>
    </row>
    <row r="20" customHeight="1" spans="1:77">
      <c r="A20" s="2739"/>
      <c r="B20" s="2748" t="s">
        <v>68</v>
      </c>
      <c r="C20" s="2749"/>
      <c r="D20" s="2747">
        <f>IF(ISTEXT(IFERROR(VLOOKUP(人物卡!F20,人物卡!BJ19:BR23,1,FALSE),IFERROR(VLOOKUP(人物卡!F20,人物卡!BB19:BC23,1,FALSE),0))),"★",INDEX(本职技能!$A$2:$IE$75,MATCH(人物卡!F20,本职技能!$A$2:$A$74,0),MATCH(附表!B58,本职技能!$A$1:$IE$1,0)))</f>
        <v>0</v>
      </c>
      <c r="E20" s="2800"/>
      <c r="F20" s="2802" t="s">
        <v>78</v>
      </c>
      <c r="G20" s="2803"/>
      <c r="H20" s="2803"/>
      <c r="I20" s="2803"/>
      <c r="J20" s="2840">
        <v>1</v>
      </c>
      <c r="K20" s="2841"/>
      <c r="L20" s="2842"/>
      <c r="M20" s="2865"/>
      <c r="N20" s="2842"/>
      <c r="O20" s="2865"/>
      <c r="P20" s="2842"/>
      <c r="Q20" s="2865"/>
      <c r="R20" s="2897">
        <f>SUM(J20:P20)</f>
        <v>1</v>
      </c>
      <c r="S20" s="2898"/>
      <c r="T20" s="2840">
        <f t="shared" si="6"/>
        <v>0</v>
      </c>
      <c r="U20" s="2841"/>
      <c r="V20" s="2840">
        <f t="shared" si="7"/>
        <v>0</v>
      </c>
      <c r="W20" s="2841"/>
      <c r="X20" s="2802" t="s">
        <v>68</v>
      </c>
      <c r="Y20" s="2803"/>
      <c r="Z20" s="2747" t="str">
        <f>IF(ISTEXT(IFERROR(VLOOKUP(人物卡!AB20,人物卡!BJ19:BR23,1,FALSE),IFERROR(VLOOKUP(人物卡!AB20,人物卡!BB19:BC23,1,FALSE),0))),"★",INDEX(本职技能!$A$2:$IE$75,MATCH(人物卡!AB20,本职技能!$A$2:$A$74,0),MATCH(附表!B58,本职技能!$A$1:$IE$1,0)))</f>
        <v>★</v>
      </c>
      <c r="AA20" s="2800"/>
      <c r="AB20" s="2802" t="s">
        <v>79</v>
      </c>
      <c r="AC20" s="2803"/>
      <c r="AD20" s="2803"/>
      <c r="AE20" s="2803"/>
      <c r="AF20" s="2840">
        <v>1</v>
      </c>
      <c r="AG20" s="2841"/>
      <c r="AH20" s="2842"/>
      <c r="AI20" s="2865"/>
      <c r="AJ20" s="2842">
        <v>70</v>
      </c>
      <c r="AK20" s="2865"/>
      <c r="AL20" s="3013"/>
      <c r="AM20" s="3014"/>
      <c r="AN20" s="2897">
        <f t="shared" si="8"/>
        <v>71</v>
      </c>
      <c r="AO20" s="2898"/>
      <c r="AP20" s="2897">
        <f t="shared" si="9"/>
        <v>35</v>
      </c>
      <c r="AQ20" s="2898"/>
      <c r="AR20" s="2897">
        <f t="shared" si="10"/>
        <v>14</v>
      </c>
      <c r="AS20" s="3063"/>
      <c r="AT20" s="3057"/>
      <c r="AU20" s="3066">
        <f>附表!AD25</f>
        <v>1</v>
      </c>
      <c r="AV20" s="3067"/>
      <c r="AW20" s="3067"/>
      <c r="AX20" s="3067"/>
      <c r="AY20" s="3067"/>
      <c r="AZ20" s="3067"/>
      <c r="BA20" s="3067"/>
      <c r="BB20" s="3110"/>
      <c r="BC20" s="3110"/>
      <c r="BD20" s="3110"/>
      <c r="BE20" s="3110"/>
      <c r="BF20" s="3110"/>
      <c r="BG20" s="3110"/>
      <c r="BH20" s="3110"/>
      <c r="BI20" s="3110"/>
      <c r="BJ20" s="3110"/>
      <c r="BK20" s="3110"/>
      <c r="BL20" s="3110"/>
      <c r="BM20" s="3110"/>
      <c r="BN20" s="3110"/>
      <c r="BO20" s="3110"/>
      <c r="BP20" s="3110"/>
      <c r="BQ20" s="3110"/>
      <c r="BR20" s="3131"/>
      <c r="BV20"/>
      <c r="BW20"/>
      <c r="BX20"/>
      <c r="BY20"/>
    </row>
    <row r="21" customHeight="1" spans="1:77">
      <c r="A21" s="2739"/>
      <c r="B21" s="2745" t="s">
        <v>68</v>
      </c>
      <c r="C21" s="2746"/>
      <c r="D21" s="2747" t="str">
        <f>IF(ISTEXT(IFERROR(VLOOKUP(人物卡!F21,人物卡!BJ19:BR23,1,FALSE),IFERROR(VLOOKUP(人物卡!F21,人物卡!BB19:BC23,1,FALSE),0))),"★",INDEX(本职技能!$A$2:$IE$75,MATCH(人物卡!F21,本职技能!$A$2:$A$74,0),MATCH(附表!B58,本职技能!$A$1:$IE$1,0)))</f>
        <v>摄影★</v>
      </c>
      <c r="E21" s="2800"/>
      <c r="F21" s="2804" t="s">
        <v>80</v>
      </c>
      <c r="G21" s="2804"/>
      <c r="H21" s="2805"/>
      <c r="I21" s="2805"/>
      <c r="J21" s="2838">
        <f>IF(ISBLANK(AU27),5,IF(H21=AU27,BA27,5))</f>
        <v>5</v>
      </c>
      <c r="K21" s="2838"/>
      <c r="L21" s="2839"/>
      <c r="M21" s="2839"/>
      <c r="N21" s="2839"/>
      <c r="O21" s="2839"/>
      <c r="P21" s="2839"/>
      <c r="Q21" s="2839"/>
      <c r="R21" s="2896">
        <f>J21+L21+N21+P21</f>
        <v>5</v>
      </c>
      <c r="S21" s="2896"/>
      <c r="T21" s="2838">
        <f t="shared" si="6"/>
        <v>2</v>
      </c>
      <c r="U21" s="2838"/>
      <c r="V21" s="2838">
        <f t="shared" si="7"/>
        <v>1</v>
      </c>
      <c r="W21" s="2838"/>
      <c r="X21" s="2801" t="s">
        <v>68</v>
      </c>
      <c r="Y21" s="2801"/>
      <c r="Z21" s="2747">
        <f>IF(ISTEXT(IFERROR(VLOOKUP(人物卡!AB21,人物卡!BJ19:BR23,1,FALSE),IFERROR(VLOOKUP(人物卡!AB21,人物卡!BB19:BC23,1,FALSE),0))),"★",INDEX(本职技能!$A$2:$IE$75,MATCH(人物卡!AB21,本职技能!$A$2:$A$74,0),MATCH(附表!B58,本职技能!$A$1:$IE$1,0)))</f>
        <v>0</v>
      </c>
      <c r="AA21" s="2800"/>
      <c r="AB21" s="2801" t="s">
        <v>81</v>
      </c>
      <c r="AC21" s="2801"/>
      <c r="AD21" s="2801"/>
      <c r="AE21" s="2801"/>
      <c r="AF21" s="2838">
        <v>10</v>
      </c>
      <c r="AG21" s="2838"/>
      <c r="AH21" s="2839"/>
      <c r="AI21" s="2839"/>
      <c r="AJ21" s="2839"/>
      <c r="AK21" s="2839"/>
      <c r="AL21" s="3012"/>
      <c r="AM21" s="3012"/>
      <c r="AN21" s="2896">
        <f t="shared" si="8"/>
        <v>10</v>
      </c>
      <c r="AO21" s="2896"/>
      <c r="AP21" s="2896">
        <f t="shared" si="9"/>
        <v>5</v>
      </c>
      <c r="AQ21" s="2896"/>
      <c r="AR21" s="2896">
        <f t="shared" si="10"/>
        <v>2</v>
      </c>
      <c r="AS21" s="3060"/>
      <c r="AT21" s="3057"/>
      <c r="AU21" s="3066"/>
      <c r="AV21" s="3067"/>
      <c r="AW21" s="3067"/>
      <c r="AX21" s="3067"/>
      <c r="AY21" s="3067"/>
      <c r="AZ21" s="3067"/>
      <c r="BA21" s="3067"/>
      <c r="BB21" s="3108"/>
      <c r="BC21" s="3109"/>
      <c r="BD21" s="3109"/>
      <c r="BE21" s="3109"/>
      <c r="BF21" s="3109"/>
      <c r="BG21" s="3109"/>
      <c r="BH21" s="3109"/>
      <c r="BI21" s="3109"/>
      <c r="BJ21" s="3108"/>
      <c r="BK21" s="3109"/>
      <c r="BL21" s="3109"/>
      <c r="BM21" s="3109"/>
      <c r="BN21" s="3109"/>
      <c r="BO21" s="3109"/>
      <c r="BP21" s="3109"/>
      <c r="BQ21" s="3109"/>
      <c r="BR21" s="3130"/>
      <c r="BV21"/>
      <c r="BW21"/>
      <c r="BX21"/>
      <c r="BY21"/>
    </row>
    <row r="22" customHeight="1" spans="1:77">
      <c r="A22" s="2739"/>
      <c r="B22" s="2748" t="s">
        <v>68</v>
      </c>
      <c r="C22" s="2749"/>
      <c r="D22" s="2747">
        <f>IF(ISTEXT(IFERROR(VLOOKUP(人物卡!F22,人物卡!BJ19:BR23,1,FALSE),IFERROR(VLOOKUP(人物卡!F22,人物卡!BB19:BC23,1,FALSE),0))),"★",INDEX(本职技能!$A$2:$IE$75,MATCH(人物卡!F22,本职技能!$A$2:$A$74,0),MATCH(附表!B58,本职技能!$A$1:$IE$1,0)))</f>
        <v>0</v>
      </c>
      <c r="E22" s="2800"/>
      <c r="F22" s="2806" t="s">
        <v>82</v>
      </c>
      <c r="G22" s="2807"/>
      <c r="H22" s="2808"/>
      <c r="I22" s="2843"/>
      <c r="J22" s="2840">
        <f>IF(ISBLANK(AU27),5,IF(H22=AU27,BA27,5))</f>
        <v>5</v>
      </c>
      <c r="K22" s="2841"/>
      <c r="L22" s="2842"/>
      <c r="M22" s="2865"/>
      <c r="N22" s="2842"/>
      <c r="O22" s="2865"/>
      <c r="P22" s="2842"/>
      <c r="Q22" s="2865"/>
      <c r="R22" s="2897">
        <f>P22+N22+L22+J22</f>
        <v>5</v>
      </c>
      <c r="S22" s="2898"/>
      <c r="T22" s="2840">
        <f t="shared" si="6"/>
        <v>2</v>
      </c>
      <c r="U22" s="2841"/>
      <c r="V22" s="2840">
        <f t="shared" si="7"/>
        <v>1</v>
      </c>
      <c r="W22" s="2841"/>
      <c r="X22" s="2802" t="s">
        <v>68</v>
      </c>
      <c r="Y22" s="2803"/>
      <c r="Z22" s="2747">
        <f>IF(ISTEXT(IFERROR(VLOOKUP(人物卡!AB22,人物卡!BJ19:BR23,1,FALSE),IFERROR(VLOOKUP(人物卡!AB22,人物卡!BB19:BC23,1,FALSE),0))),"★",INDEX(本职技能!$A$2:$IE$75,MATCH(人物卡!AB22,本职技能!$A$2:$A$74,0),MATCH(附表!B58,本职技能!$A$1:$IE$1,0)))</f>
        <v>0</v>
      </c>
      <c r="AA22" s="2800"/>
      <c r="AB22" s="2802" t="s">
        <v>83</v>
      </c>
      <c r="AC22" s="2803"/>
      <c r="AD22" s="2803"/>
      <c r="AE22" s="2803"/>
      <c r="AF22" s="2840">
        <v>1</v>
      </c>
      <c r="AG22" s="2841"/>
      <c r="AH22" s="2842"/>
      <c r="AI22" s="2865"/>
      <c r="AJ22" s="2842"/>
      <c r="AK22" s="2865"/>
      <c r="AL22" s="3013"/>
      <c r="AM22" s="3014"/>
      <c r="AN22" s="2897">
        <f t="shared" si="8"/>
        <v>1</v>
      </c>
      <c r="AO22" s="2898"/>
      <c r="AP22" s="2897">
        <f t="shared" si="9"/>
        <v>0</v>
      </c>
      <c r="AQ22" s="2898"/>
      <c r="AR22" s="2897">
        <f t="shared" si="10"/>
        <v>0</v>
      </c>
      <c r="AS22" s="3063"/>
      <c r="AT22" s="3057"/>
      <c r="AU22" s="3066"/>
      <c r="AV22" s="3067"/>
      <c r="AW22" s="3067"/>
      <c r="AX22" s="3067"/>
      <c r="AY22" s="3067"/>
      <c r="AZ22" s="3067"/>
      <c r="BA22" s="3067"/>
      <c r="BB22" s="3110"/>
      <c r="BC22" s="3110"/>
      <c r="BD22" s="3110"/>
      <c r="BE22" s="3110"/>
      <c r="BF22" s="3110"/>
      <c r="BG22" s="3110"/>
      <c r="BH22" s="3110"/>
      <c r="BI22" s="3110"/>
      <c r="BJ22" s="3110"/>
      <c r="BK22" s="3110"/>
      <c r="BL22" s="3110"/>
      <c r="BM22" s="3110"/>
      <c r="BN22" s="3110"/>
      <c r="BO22" s="3110"/>
      <c r="BP22" s="3110"/>
      <c r="BQ22" s="3110"/>
      <c r="BR22" s="3131"/>
      <c r="BV22"/>
      <c r="BW22"/>
      <c r="BX22"/>
      <c r="BY22"/>
    </row>
    <row r="23" customHeight="1" spans="1:77">
      <c r="A23" s="2739"/>
      <c r="B23" s="2745" t="s">
        <v>68</v>
      </c>
      <c r="C23" s="2746"/>
      <c r="D23" s="2747">
        <f>IF(ISTEXT(IFERROR(VLOOKUP(人物卡!F23,人物卡!BJ19:BR23,1,FALSE),IFERROR(VLOOKUP(人物卡!F23,人物卡!BB19:BC23,1,FALSE),0))),"★",INDEX(本职技能!$A$2:$IE$75,MATCH(人物卡!F23,本职技能!$A$2:$A$74,0),MATCH(附表!B58,本职技能!$A$1:$IE$1,0)))</f>
        <v>0</v>
      </c>
      <c r="E23" s="2800"/>
      <c r="F23" s="2804" t="s">
        <v>84</v>
      </c>
      <c r="G23" s="2804"/>
      <c r="H23" s="2805"/>
      <c r="I23" s="2805"/>
      <c r="J23" s="2838">
        <f>IF(ISBLANK(AU27),5,IF(H23=AU27,BA27,5))</f>
        <v>5</v>
      </c>
      <c r="K23" s="2838"/>
      <c r="L23" s="2839"/>
      <c r="M23" s="2839"/>
      <c r="N23" s="2839"/>
      <c r="O23" s="2839"/>
      <c r="P23" s="2839"/>
      <c r="Q23" s="2839"/>
      <c r="R23" s="2896">
        <f>P23+N23+L23+J23</f>
        <v>5</v>
      </c>
      <c r="S23" s="2896"/>
      <c r="T23" s="2838">
        <f t="shared" si="6"/>
        <v>2</v>
      </c>
      <c r="U23" s="2838"/>
      <c r="V23" s="2838">
        <f t="shared" si="7"/>
        <v>1</v>
      </c>
      <c r="W23" s="2838"/>
      <c r="X23" s="2801" t="s">
        <v>68</v>
      </c>
      <c r="Y23" s="2801"/>
      <c r="Z23" s="2747">
        <f>IF(ISTEXT(IFERROR(VLOOKUP(人物卡!AB23,人物卡!BJ19:BR23,1,FALSE),IFERROR(VLOOKUP(人物卡!AB23,人物卡!BB19:BC23,1,FALSE),0))),"★",INDEX(本职技能!$A$2:$IE$75,MATCH(人物卡!AB23,本职技能!$A$2:$A$74,0),MATCH(附表!B58,本职技能!$A$1:$IE$1,0)))</f>
        <v>0</v>
      </c>
      <c r="AA23" s="2800"/>
      <c r="AB23" s="2801" t="s">
        <v>85</v>
      </c>
      <c r="AC23" s="2801"/>
      <c r="AD23" s="2801"/>
      <c r="AE23" s="2801"/>
      <c r="AF23" s="2838">
        <v>10</v>
      </c>
      <c r="AG23" s="2838"/>
      <c r="AH23" s="2839"/>
      <c r="AI23" s="2839"/>
      <c r="AJ23" s="2839"/>
      <c r="AK23" s="2839"/>
      <c r="AL23" s="3012"/>
      <c r="AM23" s="3012"/>
      <c r="AN23" s="2896">
        <f t="shared" si="8"/>
        <v>10</v>
      </c>
      <c r="AO23" s="2896"/>
      <c r="AP23" s="2896">
        <f t="shared" si="9"/>
        <v>5</v>
      </c>
      <c r="AQ23" s="2896"/>
      <c r="AR23" s="2896">
        <f t="shared" si="10"/>
        <v>2</v>
      </c>
      <c r="AS23" s="3060"/>
      <c r="AT23" s="3057"/>
      <c r="AU23" s="3068" t="s">
        <v>86</v>
      </c>
      <c r="AV23" s="3069"/>
      <c r="AW23" s="3069"/>
      <c r="AX23" s="3069"/>
      <c r="AY23" s="3069"/>
      <c r="AZ23" s="3069"/>
      <c r="BA23" s="3069"/>
      <c r="BB23" s="3111"/>
      <c r="BC23" s="3069"/>
      <c r="BD23" s="3069"/>
      <c r="BE23" s="3069"/>
      <c r="BF23" s="3069"/>
      <c r="BG23" s="3069"/>
      <c r="BH23" s="3069"/>
      <c r="BI23" s="3069"/>
      <c r="BJ23" s="3111"/>
      <c r="BK23" s="3069"/>
      <c r="BL23" s="3069"/>
      <c r="BM23" s="3069"/>
      <c r="BN23" s="3069"/>
      <c r="BO23" s="3069"/>
      <c r="BP23" s="3069"/>
      <c r="BQ23" s="3069"/>
      <c r="BR23" s="3132"/>
      <c r="BV23"/>
      <c r="BW23"/>
      <c r="BX23"/>
      <c r="BY23"/>
    </row>
    <row r="24" customHeight="1" spans="1:77">
      <c r="A24" s="2739"/>
      <c r="B24" s="2748" t="s">
        <v>68</v>
      </c>
      <c r="C24" s="2749"/>
      <c r="D24" s="2747" t="str">
        <f>IF(ISTEXT(IFERROR(VLOOKUP(人物卡!F24,人物卡!BJ19:BR23,1,FALSE),IFERROR(VLOOKUP(人物卡!F24,人物卡!BB19:BC23,1,FALSE),0))),"★",INDEX(本职技能!$A$2:$IE$75,MATCH(人物卡!F24,本职技能!$A$2:$A$74,0),MATCH(附表!B58,本职技能!$A$1:$IE$1,0)))</f>
        <v>☯</v>
      </c>
      <c r="E24" s="2800"/>
      <c r="F24" s="2802" t="s">
        <v>87</v>
      </c>
      <c r="G24" s="2803"/>
      <c r="H24" s="2803"/>
      <c r="I24" s="2803"/>
      <c r="J24" s="2840">
        <v>15</v>
      </c>
      <c r="K24" s="2841"/>
      <c r="L24" s="2842"/>
      <c r="M24" s="2865"/>
      <c r="N24" s="2842">
        <v>15</v>
      </c>
      <c r="O24" s="2865"/>
      <c r="P24" s="2842">
        <v>40</v>
      </c>
      <c r="Q24" s="2865"/>
      <c r="R24" s="2897">
        <f t="shared" ref="R24:R35" si="11">SUM(J24:P24)</f>
        <v>70</v>
      </c>
      <c r="S24" s="2898"/>
      <c r="T24" s="2840">
        <f t="shared" si="6"/>
        <v>35</v>
      </c>
      <c r="U24" s="2841"/>
      <c r="V24" s="2840">
        <f t="shared" si="7"/>
        <v>14</v>
      </c>
      <c r="W24" s="2841"/>
      <c r="X24" s="2802" t="s">
        <v>68</v>
      </c>
      <c r="Y24" s="2803"/>
      <c r="Z24" s="2747">
        <f>IF(ISTEXT(IFERROR(VLOOKUP(人物卡!AB24,人物卡!BJ19:BR23,1,FALSE),IFERROR(VLOOKUP(人物卡!AB24,人物卡!BB19:BC23,1,FALSE),0))),"★",INDEX(本职技能!$A$2:$IE$75,MATCH(人物卡!AB24,本职技能!$A$2:$A$74,0),MATCH(附表!B58,本职技能!$A$1:$IE$1,0)))</f>
        <v>0</v>
      </c>
      <c r="AA24" s="2800"/>
      <c r="AB24" s="2802" t="s">
        <v>88</v>
      </c>
      <c r="AC24" s="2803"/>
      <c r="AD24" s="2803"/>
      <c r="AE24" s="2803"/>
      <c r="AF24" s="2840">
        <v>10</v>
      </c>
      <c r="AG24" s="2841"/>
      <c r="AH24" s="2842"/>
      <c r="AI24" s="2865"/>
      <c r="AJ24" s="2842"/>
      <c r="AK24" s="2865"/>
      <c r="AL24" s="3013"/>
      <c r="AM24" s="3014"/>
      <c r="AN24" s="2897">
        <f t="shared" si="8"/>
        <v>10</v>
      </c>
      <c r="AO24" s="2898"/>
      <c r="AP24" s="2897">
        <f t="shared" si="9"/>
        <v>5</v>
      </c>
      <c r="AQ24" s="2898"/>
      <c r="AR24" s="2897">
        <f t="shared" si="10"/>
        <v>2</v>
      </c>
      <c r="AS24" s="3063"/>
      <c r="AT24" s="3057"/>
      <c r="AU24" s="3070" t="s">
        <v>89</v>
      </c>
      <c r="AV24" s="3071"/>
      <c r="AW24" s="3071"/>
      <c r="AX24" s="3071"/>
      <c r="AY24" s="3071"/>
      <c r="AZ24" s="3071"/>
      <c r="BA24" s="3071"/>
      <c r="BB24" s="3071"/>
      <c r="BC24" s="3071"/>
      <c r="BD24" s="3071"/>
      <c r="BE24" s="3071"/>
      <c r="BF24" s="3071"/>
      <c r="BG24" s="3071"/>
      <c r="BH24" s="3071"/>
      <c r="BI24" s="3071"/>
      <c r="BJ24" s="3071"/>
      <c r="BK24" s="3071"/>
      <c r="BL24" s="3071"/>
      <c r="BM24" s="3071"/>
      <c r="BN24" s="3071"/>
      <c r="BO24" s="3071"/>
      <c r="BP24" s="3071"/>
      <c r="BQ24" s="3071"/>
      <c r="BR24" s="3133"/>
      <c r="BV24"/>
      <c r="BW24"/>
      <c r="BX24"/>
      <c r="BY24"/>
    </row>
    <row r="25" customHeight="1" spans="1:77">
      <c r="A25" s="2739"/>
      <c r="B25" s="2745" t="s">
        <v>68</v>
      </c>
      <c r="C25" s="2746"/>
      <c r="D25" s="2747">
        <f>IF(ISTEXT(IFERROR(VLOOKUP(人物卡!F25,人物卡!BJ19:BR23,1,FALSE),IFERROR(VLOOKUP(人物卡!F25,人物卡!BB19:BC23,1,FALSE),0))),"★",INDEX(本职技能!$A$2:$IE$75,MATCH(人物卡!F25,本职技能!$A$2:$A$74,0),MATCH(附表!B58,本职技能!$A$1:$IE$1,0)))</f>
        <v>0</v>
      </c>
      <c r="E25" s="2800"/>
      <c r="F25" s="2801" t="s">
        <v>90</v>
      </c>
      <c r="G25" s="2801"/>
      <c r="H25" s="2801"/>
      <c r="I25" s="2801"/>
      <c r="J25" s="2838">
        <v>20</v>
      </c>
      <c r="K25" s="2838"/>
      <c r="L25" s="2839"/>
      <c r="M25" s="2839"/>
      <c r="N25" s="2839"/>
      <c r="O25" s="2839"/>
      <c r="P25" s="2839"/>
      <c r="Q25" s="2839"/>
      <c r="R25" s="2896">
        <f t="shared" si="11"/>
        <v>20</v>
      </c>
      <c r="S25" s="2896"/>
      <c r="T25" s="2838">
        <f t="shared" si="6"/>
        <v>10</v>
      </c>
      <c r="U25" s="2838"/>
      <c r="V25" s="2838">
        <f t="shared" si="7"/>
        <v>4</v>
      </c>
      <c r="W25" s="2838"/>
      <c r="X25" s="2801" t="s">
        <v>68</v>
      </c>
      <c r="Y25" s="2801"/>
      <c r="Z25" s="2747">
        <f>IF(ISTEXT(IFERROR(VLOOKUP(人物卡!AB25,人物卡!BJ19:BR23,1,FALSE),IFERROR(VLOOKUP(人物卡!AB25,人物卡!BB19:BC23,1,FALSE),0))),"★",INDEX(本职技能!$A$2:$IE$75,MATCH(人物卡!AB25,本职技能!$A$2:$A$74,0),MATCH(附表!B58,本职技能!$A$1:$IE$1,0)))</f>
        <v>0</v>
      </c>
      <c r="AA25" s="2800"/>
      <c r="AB25" s="2801" t="s">
        <v>91</v>
      </c>
      <c r="AC25" s="2801"/>
      <c r="AD25" s="2801"/>
      <c r="AE25" s="2801"/>
      <c r="AF25" s="2838">
        <v>5</v>
      </c>
      <c r="AG25" s="2838"/>
      <c r="AH25" s="2839"/>
      <c r="AI25" s="2839"/>
      <c r="AJ25" s="2839"/>
      <c r="AK25" s="2839"/>
      <c r="AL25" s="3012"/>
      <c r="AM25" s="3012"/>
      <c r="AN25" s="2896">
        <f t="shared" si="8"/>
        <v>5</v>
      </c>
      <c r="AO25" s="2896"/>
      <c r="AP25" s="2896">
        <f t="shared" si="9"/>
        <v>2</v>
      </c>
      <c r="AQ25" s="2896"/>
      <c r="AR25" s="2896">
        <f t="shared" si="10"/>
        <v>1</v>
      </c>
      <c r="AS25" s="3060"/>
      <c r="AT25" s="3057"/>
      <c r="AU25" s="3072" t="s">
        <v>92</v>
      </c>
      <c r="AV25" s="3073"/>
      <c r="AW25" s="3073"/>
      <c r="AX25" s="3073"/>
      <c r="AY25" s="3073"/>
      <c r="AZ25" s="3073"/>
      <c r="BA25" s="3073"/>
      <c r="BB25" s="3073"/>
      <c r="BC25" s="3112" t="s">
        <v>93</v>
      </c>
      <c r="BD25" s="3112"/>
      <c r="BE25" s="3112"/>
      <c r="BF25" s="3112"/>
      <c r="BG25" s="3112"/>
      <c r="BH25" s="3112"/>
      <c r="BI25" s="3112"/>
      <c r="BJ25" s="3112"/>
      <c r="BK25" s="3120" t="s">
        <v>94</v>
      </c>
      <c r="BL25" s="3120"/>
      <c r="BM25" s="3120"/>
      <c r="BN25" s="3120"/>
      <c r="BO25" s="3120"/>
      <c r="BP25" s="3120"/>
      <c r="BQ25" s="3120"/>
      <c r="BR25" s="3134"/>
      <c r="BV25"/>
      <c r="BW25"/>
      <c r="BX25"/>
      <c r="BY25"/>
    </row>
    <row r="26" customHeight="1" spans="1:77">
      <c r="A26" s="2739"/>
      <c r="B26" s="2748" t="s">
        <v>68</v>
      </c>
      <c r="C26" s="2749"/>
      <c r="D26" s="2747">
        <f>IF(ISTEXT(IFERROR(VLOOKUP(人物卡!F26,人物卡!BJ19:BR23,1,FALSE),IFERROR(VLOOKUP(人物卡!F26,人物卡!BB19:BC23,1,FALSE),0))),"★",INDEX(本职技能!$A$2:$IE$75,MATCH(人物卡!F26,本职技能!$A$2:$A$74,0),MATCH(附表!B58,本职技能!$A$1:$IE$1,0)))</f>
        <v>0</v>
      </c>
      <c r="E26" s="2800"/>
      <c r="F26" s="2802" t="s">
        <v>95</v>
      </c>
      <c r="G26" s="2803"/>
      <c r="H26" s="2803"/>
      <c r="I26" s="2803"/>
      <c r="J26" s="2840">
        <v>5</v>
      </c>
      <c r="K26" s="2841"/>
      <c r="L26" s="2842"/>
      <c r="M26" s="2865"/>
      <c r="N26" s="2842"/>
      <c r="O26" s="2865"/>
      <c r="P26" s="2842"/>
      <c r="Q26" s="2865"/>
      <c r="R26" s="2897">
        <f t="shared" si="11"/>
        <v>5</v>
      </c>
      <c r="S26" s="2898"/>
      <c r="T26" s="2840">
        <f t="shared" si="6"/>
        <v>2</v>
      </c>
      <c r="U26" s="2841"/>
      <c r="V26" s="2840">
        <f t="shared" si="7"/>
        <v>1</v>
      </c>
      <c r="W26" s="2841"/>
      <c r="X26" s="2802" t="s">
        <v>68</v>
      </c>
      <c r="Y26" s="2803"/>
      <c r="Z26" s="2747">
        <f>IF(ISTEXT(IFERROR(VLOOKUP(人物卡!AB26,人物卡!BJ19:BR23,1,FALSE),IFERROR(VLOOKUP(人物卡!AB26,人物卡!BB19:BC23,1,FALSE),0))),"★",INDEX(本职技能!$A$2:$IE$75,MATCH(人物卡!AB26,本职技能!$A$2:$A$74,0),MATCH(附表!B58,本职技能!$A$1:$IE$1,0)))</f>
        <v>0</v>
      </c>
      <c r="AA26" s="2800"/>
      <c r="AB26" s="2802" t="s">
        <v>96</v>
      </c>
      <c r="AC26" s="2803"/>
      <c r="AD26" s="2803"/>
      <c r="AE26" s="2803"/>
      <c r="AF26" s="2840">
        <v>1</v>
      </c>
      <c r="AG26" s="2841"/>
      <c r="AH26" s="2842"/>
      <c r="AI26" s="2865"/>
      <c r="AJ26" s="2842"/>
      <c r="AK26" s="2865"/>
      <c r="AL26" s="3013"/>
      <c r="AM26" s="3014"/>
      <c r="AN26" s="2897">
        <f t="shared" si="8"/>
        <v>1</v>
      </c>
      <c r="AO26" s="2898"/>
      <c r="AP26" s="2897">
        <f t="shared" si="9"/>
        <v>0</v>
      </c>
      <c r="AQ26" s="2898"/>
      <c r="AR26" s="2897">
        <f t="shared" si="10"/>
        <v>0</v>
      </c>
      <c r="AS26" s="3063"/>
      <c r="AT26" s="3057"/>
      <c r="AU26" s="3074" t="s">
        <v>63</v>
      </c>
      <c r="AV26" s="3075"/>
      <c r="AW26" s="3075"/>
      <c r="AX26" s="3075"/>
      <c r="AY26" s="3075"/>
      <c r="AZ26" s="3075"/>
      <c r="BA26" s="3113" t="s">
        <v>97</v>
      </c>
      <c r="BB26" s="3113"/>
      <c r="BC26" s="3114" t="s">
        <v>98</v>
      </c>
      <c r="BD26" s="3114"/>
      <c r="BE26" s="3114"/>
      <c r="BF26" s="3114"/>
      <c r="BG26" s="3114"/>
      <c r="BH26" s="3114"/>
      <c r="BI26" s="3114"/>
      <c r="BJ26" s="3114"/>
      <c r="BK26" s="3121" t="s">
        <v>99</v>
      </c>
      <c r="BL26" s="3121"/>
      <c r="BM26" s="3121"/>
      <c r="BN26" s="3121"/>
      <c r="BO26" s="3121"/>
      <c r="BP26" s="3121"/>
      <c r="BQ26" s="3121"/>
      <c r="BR26" s="3135"/>
      <c r="BV26"/>
      <c r="BW26"/>
      <c r="BX26"/>
      <c r="BY26"/>
    </row>
    <row r="27" customHeight="1" spans="1:77">
      <c r="A27" s="2739"/>
      <c r="B27" s="2750" t="s">
        <v>100</v>
      </c>
      <c r="C27" s="2751"/>
      <c r="D27" s="2747" t="s">
        <v>101</v>
      </c>
      <c r="E27" s="2800"/>
      <c r="F27" s="2801" t="s">
        <v>102</v>
      </c>
      <c r="G27" s="2801"/>
      <c r="H27" s="2801"/>
      <c r="I27" s="2801"/>
      <c r="J27" s="2838">
        <v>0</v>
      </c>
      <c r="K27" s="2838"/>
      <c r="L27" s="2839"/>
      <c r="M27" s="2839"/>
      <c r="N27" s="2839">
        <v>20</v>
      </c>
      <c r="O27" s="2839"/>
      <c r="P27" s="2839"/>
      <c r="Q27" s="2839"/>
      <c r="R27" s="2896">
        <f t="shared" si="11"/>
        <v>20</v>
      </c>
      <c r="S27" s="2896"/>
      <c r="T27" s="2838">
        <f t="shared" si="6"/>
        <v>10</v>
      </c>
      <c r="U27" s="2838"/>
      <c r="V27" s="2838">
        <f t="shared" si="7"/>
        <v>4</v>
      </c>
      <c r="W27" s="2838"/>
      <c r="X27" s="2801" t="s">
        <v>68</v>
      </c>
      <c r="Y27" s="2801"/>
      <c r="Z27" s="2747" t="str">
        <f>IF(ISTEXT(IFERROR(VLOOKUP(人物卡!AB27,人物卡!BJ19:BR23,1,FALSE),IFERROR(VLOOKUP(人物卡!AB27,人物卡!BB19:BC23,1,FALSE),0))),"★",INDEX(本职技能!$A$2:$IE$75,MATCH(人物卡!AB27,本职技能!$A$2:$A$74,0),MATCH(附表!B58,本职技能!$A$1:$IE$1,0)))</f>
        <v>☯</v>
      </c>
      <c r="AA27" s="2800"/>
      <c r="AB27" s="2801" t="s">
        <v>103</v>
      </c>
      <c r="AC27" s="2801"/>
      <c r="AD27" s="2801"/>
      <c r="AE27" s="2801"/>
      <c r="AF27" s="2838">
        <v>10</v>
      </c>
      <c r="AG27" s="2838"/>
      <c r="AH27" s="2839"/>
      <c r="AI27" s="2839"/>
      <c r="AJ27" s="2839"/>
      <c r="AK27" s="2839"/>
      <c r="AL27" s="3012"/>
      <c r="AM27" s="3012"/>
      <c r="AN27" s="2896">
        <f t="shared" si="8"/>
        <v>10</v>
      </c>
      <c r="AO27" s="2896"/>
      <c r="AP27" s="2896">
        <f t="shared" si="9"/>
        <v>5</v>
      </c>
      <c r="AQ27" s="2896"/>
      <c r="AR27" s="2896">
        <f t="shared" si="10"/>
        <v>2</v>
      </c>
      <c r="AS27" s="3060"/>
      <c r="AT27" s="3057"/>
      <c r="AU27" s="3076"/>
      <c r="AV27" s="3077"/>
      <c r="AW27" s="3077"/>
      <c r="AX27" s="3077"/>
      <c r="AY27" s="3077"/>
      <c r="AZ27" s="3077"/>
      <c r="BA27" s="3115"/>
      <c r="BB27" s="3115"/>
      <c r="BC27" s="3077"/>
      <c r="BD27" s="3077"/>
      <c r="BE27" s="3077"/>
      <c r="BF27" s="3077"/>
      <c r="BG27" s="3077"/>
      <c r="BH27" s="3077"/>
      <c r="BI27" s="3077"/>
      <c r="BJ27" s="3077"/>
      <c r="BK27" s="3115"/>
      <c r="BL27" s="3115"/>
      <c r="BM27" s="3115"/>
      <c r="BN27" s="3115"/>
      <c r="BO27" s="3115"/>
      <c r="BP27" s="3115"/>
      <c r="BQ27" s="3115"/>
      <c r="BR27" s="3136"/>
      <c r="BV27"/>
      <c r="BW27"/>
      <c r="BX27"/>
      <c r="BY27"/>
    </row>
    <row r="28" customHeight="1" spans="1:77">
      <c r="A28" s="2739"/>
      <c r="B28" s="2752" t="s">
        <v>100</v>
      </c>
      <c r="C28" s="2753"/>
      <c r="D28" s="2747">
        <f>IF(ISTEXT(IFERROR(VLOOKUP(F28,人物卡!BJ19:BR23,1,FALSE),IFERROR(VLOOKUP(F28,人物卡!BB19:BC23,1,FALSE),0))),"★",INDEX(本职技能!$A$2:$IE$75,MATCH(F28,本职技能!$A$2:$A$74,0),MATCH(附表!B58,本职技能!$A$1:$IE$1,0)))</f>
        <v>0</v>
      </c>
      <c r="E28" s="2800"/>
      <c r="F28" s="2802" t="s">
        <v>104</v>
      </c>
      <c r="G28" s="2803"/>
      <c r="H28" s="2803"/>
      <c r="I28" s="2803"/>
      <c r="J28" s="2840">
        <v>0</v>
      </c>
      <c r="K28" s="2841"/>
      <c r="L28" s="2842"/>
      <c r="M28" s="2865"/>
      <c r="N28" s="2842" t="s">
        <v>100</v>
      </c>
      <c r="O28" s="2865"/>
      <c r="P28" s="2842" t="s">
        <v>100</v>
      </c>
      <c r="Q28" s="2865"/>
      <c r="R28" s="2897">
        <f t="shared" si="11"/>
        <v>0</v>
      </c>
      <c r="S28" s="2898"/>
      <c r="T28" s="2840">
        <f t="shared" si="6"/>
        <v>0</v>
      </c>
      <c r="U28" s="2841"/>
      <c r="V28" s="2840">
        <f t="shared" si="7"/>
        <v>0</v>
      </c>
      <c r="W28" s="2841"/>
      <c r="X28" s="2802" t="s">
        <v>68</v>
      </c>
      <c r="Y28" s="2803"/>
      <c r="Z28" s="2747">
        <f>IF(ISTEXT(IFERROR(VLOOKUP(人物卡!AB28,人物卡!BJ19:BR23,1,FALSE),IFERROR(VLOOKUP(人物卡!AB28,人物卡!BB19:BC23,1,FALSE),0))),"★",INDEX(本职技能!$A$2:$IE$75,MATCH(人物卡!AB28,本职技能!$A$2:$A$74,0),MATCH(附表!B58,本职技能!$A$1:$IE$1,0)))</f>
        <v>0</v>
      </c>
      <c r="AA28" s="2800"/>
      <c r="AB28" s="2806" t="s">
        <v>105</v>
      </c>
      <c r="AC28" s="2807"/>
      <c r="AD28" s="2971"/>
      <c r="AE28" s="2972"/>
      <c r="AF28" s="2840">
        <f>IF(ISBLANK(AU27),1,IF(AD28=AU27,BA27,1))</f>
        <v>1</v>
      </c>
      <c r="AG28" s="2841"/>
      <c r="AH28" s="2842"/>
      <c r="AI28" s="2865"/>
      <c r="AJ28" s="2842"/>
      <c r="AK28" s="2865"/>
      <c r="AL28" s="3013"/>
      <c r="AM28" s="3014"/>
      <c r="AN28" s="2897">
        <f t="shared" si="8"/>
        <v>1</v>
      </c>
      <c r="AO28" s="2898"/>
      <c r="AP28" s="2897">
        <f t="shared" si="9"/>
        <v>0</v>
      </c>
      <c r="AQ28" s="2898"/>
      <c r="AR28" s="2897">
        <f t="shared" si="10"/>
        <v>0</v>
      </c>
      <c r="AS28" s="3063"/>
      <c r="AT28" s="3057"/>
      <c r="AU28" s="3078" t="s">
        <v>106</v>
      </c>
      <c r="AV28" s="3079"/>
      <c r="AW28" s="3079"/>
      <c r="AX28" s="3079"/>
      <c r="AY28" s="3079"/>
      <c r="AZ28" s="3079"/>
      <c r="BA28" s="3079"/>
      <c r="BB28" s="3079"/>
      <c r="BC28" s="3114" t="s">
        <v>107</v>
      </c>
      <c r="BD28" s="3114"/>
      <c r="BE28" s="3114"/>
      <c r="BF28" s="3114"/>
      <c r="BG28" s="3114" t="s">
        <v>108</v>
      </c>
      <c r="BH28" s="3114"/>
      <c r="BI28" s="3114"/>
      <c r="BJ28" s="3114"/>
      <c r="BK28" s="3122" t="s">
        <v>109</v>
      </c>
      <c r="BL28" s="3122"/>
      <c r="BM28" s="3122"/>
      <c r="BN28" s="3122"/>
      <c r="BO28" s="3122" t="s">
        <v>110</v>
      </c>
      <c r="BP28" s="3122"/>
      <c r="BQ28" s="3122"/>
      <c r="BR28" s="3137"/>
      <c r="BV28"/>
      <c r="BW28"/>
      <c r="BX28"/>
      <c r="BY28"/>
    </row>
    <row r="29" customHeight="1" spans="1:77">
      <c r="A29" s="2739"/>
      <c r="B29" s="2745" t="s">
        <v>68</v>
      </c>
      <c r="C29" s="2746"/>
      <c r="D29" s="2747">
        <f>IF(ISTEXT(IFERROR(VLOOKUP(人物卡!F29,人物卡!BJ19:BR23,1,FALSE),IFERROR(VLOOKUP(人物卡!F29,人物卡!BB19:BC23,1,FALSE),0))),"★",INDEX(本职技能!$A$2:$IE$75,MATCH(人物卡!F29,本职技能!$A$2:$A$74,0),MATCH(附表!B58,本职技能!$A$1:$IE$1,0)))</f>
        <v>0</v>
      </c>
      <c r="E29" s="2800"/>
      <c r="F29" s="2801" t="s">
        <v>111</v>
      </c>
      <c r="G29" s="2801"/>
      <c r="H29" s="2801"/>
      <c r="I29" s="2801"/>
      <c r="J29" s="2838">
        <v>5</v>
      </c>
      <c r="K29" s="2838"/>
      <c r="L29" s="2839"/>
      <c r="M29" s="2839"/>
      <c r="N29" s="2839"/>
      <c r="O29" s="2839"/>
      <c r="P29" s="2839"/>
      <c r="Q29" s="2839"/>
      <c r="R29" s="2896">
        <f t="shared" si="11"/>
        <v>5</v>
      </c>
      <c r="S29" s="2896"/>
      <c r="T29" s="2838">
        <f t="shared" si="6"/>
        <v>2</v>
      </c>
      <c r="U29" s="2838"/>
      <c r="V29" s="2838">
        <f t="shared" si="7"/>
        <v>1</v>
      </c>
      <c r="W29" s="2838"/>
      <c r="X29" s="2801" t="s">
        <v>68</v>
      </c>
      <c r="Y29" s="2801"/>
      <c r="Z29" s="2747">
        <f>IF(ISTEXT(IFERROR(VLOOKUP(人物卡!AB29,人物卡!BJ19:BR23,1,FALSE),IFERROR(VLOOKUP(人物卡!AB29,人物卡!BB19:BC23,1,FALSE),0))),"★",INDEX(本职技能!$A$2:$IE$75,MATCH(人物卡!AB29,本职技能!$A$2:$A$74,0),MATCH(附表!B58,本职技能!$A$1:$IE$1,0)))</f>
        <v>0</v>
      </c>
      <c r="AA29" s="2800"/>
      <c r="AB29" s="2801" t="s">
        <v>112</v>
      </c>
      <c r="AC29" s="2801"/>
      <c r="AD29" s="2801"/>
      <c r="AE29" s="2801"/>
      <c r="AF29" s="2838">
        <v>1</v>
      </c>
      <c r="AG29" s="2838"/>
      <c r="AH29" s="2839"/>
      <c r="AI29" s="2839"/>
      <c r="AJ29" s="2839"/>
      <c r="AK29" s="2839"/>
      <c r="AL29" s="3012"/>
      <c r="AM29" s="3012"/>
      <c r="AN29" s="2896">
        <f t="shared" si="8"/>
        <v>1</v>
      </c>
      <c r="AO29" s="2896"/>
      <c r="AP29" s="2896">
        <f t="shared" si="9"/>
        <v>0</v>
      </c>
      <c r="AQ29" s="2896"/>
      <c r="AR29" s="2896">
        <f t="shared" si="10"/>
        <v>0</v>
      </c>
      <c r="AS29" s="3060"/>
      <c r="AT29" s="3057"/>
      <c r="AU29" s="3080"/>
      <c r="AV29" s="3081"/>
      <c r="AW29" s="3081"/>
      <c r="AX29" s="3081"/>
      <c r="AY29" s="3081"/>
      <c r="AZ29" s="3081"/>
      <c r="BA29" s="3081"/>
      <c r="BB29" s="3081"/>
      <c r="BC29" s="3077"/>
      <c r="BD29" s="3077"/>
      <c r="BE29" s="3077"/>
      <c r="BF29" s="3077"/>
      <c r="BG29" s="3115"/>
      <c r="BH29" s="3115"/>
      <c r="BI29" s="3115"/>
      <c r="BJ29" s="3115"/>
      <c r="BK29" s="3081"/>
      <c r="BL29" s="3081"/>
      <c r="BM29" s="3081"/>
      <c r="BN29" s="3081"/>
      <c r="BO29" s="3081"/>
      <c r="BP29" s="3081"/>
      <c r="BQ29" s="3081"/>
      <c r="BR29" s="3138"/>
      <c r="BV29"/>
      <c r="BW29"/>
      <c r="BX29"/>
      <c r="BY29"/>
    </row>
    <row r="30" customHeight="1" spans="1:77">
      <c r="A30" s="2739"/>
      <c r="B30" s="2748" t="s">
        <v>68</v>
      </c>
      <c r="C30" s="2749"/>
      <c r="D30" s="2747">
        <f>IF(ISTEXT(IFERROR(VLOOKUP(人物卡!F30,人物卡!BJ19:BR23,1,FALSE),IFERROR(VLOOKUP(人物卡!F30,人物卡!BB19:BC23,1,FALSE),0))),"★",INDEX(本职技能!$A$2:$IE$75,MATCH(人物卡!F30,本职技能!$A$2:$A$74,0),MATCH(附表!B58,本职技能!$A$1:$IE$1,0)))</f>
        <v>0</v>
      </c>
      <c r="E30" s="2800"/>
      <c r="F30" s="2802" t="s">
        <v>113</v>
      </c>
      <c r="G30" s="2803"/>
      <c r="H30" s="2803"/>
      <c r="I30" s="2803"/>
      <c r="J30" s="2840">
        <f>INT(DEX/2)</f>
        <v>35</v>
      </c>
      <c r="K30" s="2841"/>
      <c r="L30" s="2842"/>
      <c r="M30" s="2865"/>
      <c r="N30" s="2842"/>
      <c r="O30" s="2865"/>
      <c r="P30" s="2842">
        <v>25</v>
      </c>
      <c r="Q30" s="2865"/>
      <c r="R30" s="2897">
        <f t="shared" si="11"/>
        <v>60</v>
      </c>
      <c r="S30" s="2898"/>
      <c r="T30" s="2840">
        <f t="shared" si="6"/>
        <v>30</v>
      </c>
      <c r="U30" s="2841"/>
      <c r="V30" s="2840">
        <f t="shared" si="7"/>
        <v>12</v>
      </c>
      <c r="W30" s="2841"/>
      <c r="X30" s="2802" t="s">
        <v>68</v>
      </c>
      <c r="Y30" s="2803"/>
      <c r="Z30" s="2747">
        <f>IF(ISTEXT(IFERROR(VLOOKUP(人物卡!AB30,人物卡!BJ19:BR23,1,FALSE),IFERROR(VLOOKUP(人物卡!AB30,人物卡!BB19:BC23,1,FALSE),0))),"★",INDEX(本职技能!$A$2:$IE$75,MATCH(人物卡!AB30,本职技能!$A$2:$A$74,0),MATCH(附表!B58,本职技能!$A$1:$IE$1,0)))</f>
        <v>0</v>
      </c>
      <c r="AA30" s="2800"/>
      <c r="AB30" s="2802" t="s">
        <v>114</v>
      </c>
      <c r="AC30" s="2803"/>
      <c r="AD30" s="2803"/>
      <c r="AE30" s="2803"/>
      <c r="AF30" s="2840">
        <v>10</v>
      </c>
      <c r="AG30" s="2841"/>
      <c r="AH30" s="2842"/>
      <c r="AI30" s="2865"/>
      <c r="AJ30" s="2842"/>
      <c r="AK30" s="2865"/>
      <c r="AL30" s="3013">
        <v>50</v>
      </c>
      <c r="AM30" s="3014"/>
      <c r="AN30" s="2897">
        <f t="shared" si="8"/>
        <v>60</v>
      </c>
      <c r="AO30" s="2898"/>
      <c r="AP30" s="2897">
        <f t="shared" si="9"/>
        <v>30</v>
      </c>
      <c r="AQ30" s="2898"/>
      <c r="AR30" s="2897">
        <f t="shared" si="10"/>
        <v>12</v>
      </c>
      <c r="AS30" s="3063"/>
      <c r="AT30" s="3057"/>
      <c r="AU30" s="3080"/>
      <c r="AV30" s="3081"/>
      <c r="AW30" s="3081"/>
      <c r="AX30" s="3081"/>
      <c r="AY30" s="3081"/>
      <c r="AZ30" s="3081"/>
      <c r="BA30" s="3081"/>
      <c r="BB30" s="3081"/>
      <c r="BC30" s="3116" t="s">
        <v>115</v>
      </c>
      <c r="BD30" s="3116"/>
      <c r="BE30" s="3116"/>
      <c r="BF30" s="3116"/>
      <c r="BG30" s="3116"/>
      <c r="BH30" s="3116"/>
      <c r="BI30" s="3116"/>
      <c r="BJ30" s="3116"/>
      <c r="BK30" s="3081"/>
      <c r="BL30" s="3081"/>
      <c r="BM30" s="3081"/>
      <c r="BN30" s="3081"/>
      <c r="BO30" s="3081"/>
      <c r="BP30" s="3081"/>
      <c r="BQ30" s="3081"/>
      <c r="BR30" s="3138"/>
      <c r="BV30"/>
      <c r="BW30"/>
      <c r="BX30"/>
      <c r="BY30"/>
    </row>
    <row r="31" customHeight="1" spans="1:77">
      <c r="A31" s="2739"/>
      <c r="B31" s="2745" t="s">
        <v>68</v>
      </c>
      <c r="C31" s="2746"/>
      <c r="D31" s="2747">
        <f>IF(ISTEXT(IFERROR(VLOOKUP(人物卡!F31,人物卡!BJ19:BR23,1,FALSE),IFERROR(VLOOKUP(人物卡!F31,人物卡!BB19:BC23,1,FALSE),0))),"★",INDEX(本职技能!$A$2:$IE$75,MATCH(人物卡!F31,本职技能!$A$2:$A$74,0),MATCH(附表!B58,本职技能!$A$1:$IE$1,0)))</f>
        <v>0</v>
      </c>
      <c r="E31" s="2800"/>
      <c r="F31" s="2801" t="s">
        <v>116</v>
      </c>
      <c r="G31" s="2801"/>
      <c r="H31" s="2801"/>
      <c r="I31" s="2801"/>
      <c r="J31" s="2838">
        <v>20</v>
      </c>
      <c r="K31" s="2838"/>
      <c r="L31" s="2839"/>
      <c r="M31" s="2839"/>
      <c r="N31" s="2839"/>
      <c r="O31" s="2839"/>
      <c r="P31" s="2839"/>
      <c r="Q31" s="2839"/>
      <c r="R31" s="2896">
        <f t="shared" si="11"/>
        <v>20</v>
      </c>
      <c r="S31" s="2896"/>
      <c r="T31" s="2838">
        <f t="shared" si="6"/>
        <v>10</v>
      </c>
      <c r="U31" s="2838"/>
      <c r="V31" s="2838">
        <f t="shared" si="7"/>
        <v>4</v>
      </c>
      <c r="W31" s="2838"/>
      <c r="X31" s="2801" t="s">
        <v>68</v>
      </c>
      <c r="Y31" s="2801"/>
      <c r="Z31" s="2747">
        <f>IF(ISTEXT(IFERROR(VLOOKUP(人物卡!AB31,人物卡!BJ19:BR23,1,FALSE),IFERROR(VLOOKUP(人物卡!AB31,人物卡!BB19:BC23,1,FALSE),0))),"★",INDEX(本职技能!$A$2:$IE$75,MATCH(人物卡!AB31,本职技能!$A$2:$A$74,0),MATCH(附表!B58,本职技能!$A$1:$IE$1,0)))</f>
        <v>0</v>
      </c>
      <c r="AA31" s="2800"/>
      <c r="AB31" s="2801" t="s">
        <v>117</v>
      </c>
      <c r="AC31" s="2801"/>
      <c r="AD31" s="2801"/>
      <c r="AE31" s="2801"/>
      <c r="AF31" s="2838">
        <v>5</v>
      </c>
      <c r="AG31" s="2838"/>
      <c r="AH31" s="2839"/>
      <c r="AI31" s="2839"/>
      <c r="AJ31" s="2839"/>
      <c r="AK31" s="2839"/>
      <c r="AL31" s="3012"/>
      <c r="AM31" s="3012"/>
      <c r="AN31" s="2896">
        <f t="shared" si="8"/>
        <v>5</v>
      </c>
      <c r="AO31" s="2896"/>
      <c r="AP31" s="2896">
        <f t="shared" si="9"/>
        <v>2</v>
      </c>
      <c r="AQ31" s="2896"/>
      <c r="AR31" s="2896">
        <f t="shared" si="10"/>
        <v>1</v>
      </c>
      <c r="AS31" s="3060"/>
      <c r="AT31" s="3057"/>
      <c r="AU31" s="3080"/>
      <c r="AV31" s="3081"/>
      <c r="AW31" s="3081"/>
      <c r="AX31" s="3081"/>
      <c r="AY31" s="3081"/>
      <c r="AZ31" s="3081"/>
      <c r="BA31" s="3081"/>
      <c r="BB31" s="3081"/>
      <c r="BC31" s="3117"/>
      <c r="BD31" s="3117"/>
      <c r="BE31" s="3117"/>
      <c r="BF31" s="3117"/>
      <c r="BG31" s="3117"/>
      <c r="BH31" s="3117"/>
      <c r="BI31" s="3117"/>
      <c r="BJ31" s="3117"/>
      <c r="BK31" s="3081"/>
      <c r="BL31" s="3081"/>
      <c r="BM31" s="3081"/>
      <c r="BN31" s="3081"/>
      <c r="BO31" s="3081"/>
      <c r="BP31" s="3081"/>
      <c r="BQ31" s="3081"/>
      <c r="BR31" s="3138"/>
      <c r="BV31"/>
      <c r="BW31"/>
      <c r="BX31"/>
      <c r="BY31"/>
    </row>
    <row r="32" customHeight="1" spans="1:77">
      <c r="A32" s="2739"/>
      <c r="B32" s="2748" t="s">
        <v>68</v>
      </c>
      <c r="C32" s="2749"/>
      <c r="D32" s="2747">
        <f>IF(ISTEXT(IFERROR(VLOOKUP(人物卡!F32,人物卡!BJ19:BR23,1,FALSE),IFERROR(VLOOKUP(人物卡!F32,人物卡!BB19:BC23,1,FALSE),0))),"★",INDEX(本职技能!$A$2:$IE$75,MATCH(人物卡!F32,本职技能!$A$2:$A$74,0),MATCH(附表!B58,本职技能!$A$1:$IE$1,0)))</f>
        <v>0</v>
      </c>
      <c r="E32" s="2800"/>
      <c r="F32" s="2802" t="s">
        <v>118</v>
      </c>
      <c r="G32" s="2803"/>
      <c r="H32" s="2803"/>
      <c r="I32" s="2803"/>
      <c r="J32" s="2840">
        <v>10</v>
      </c>
      <c r="K32" s="2841"/>
      <c r="L32" s="2842"/>
      <c r="M32" s="2865"/>
      <c r="N32" s="2842"/>
      <c r="O32" s="2865"/>
      <c r="P32" s="2842"/>
      <c r="Q32" s="2865"/>
      <c r="R32" s="2897">
        <f t="shared" si="11"/>
        <v>10</v>
      </c>
      <c r="S32" s="2898"/>
      <c r="T32" s="2840">
        <f t="shared" si="6"/>
        <v>5</v>
      </c>
      <c r="U32" s="2841"/>
      <c r="V32" s="2840">
        <f t="shared" si="7"/>
        <v>2</v>
      </c>
      <c r="W32" s="2841"/>
      <c r="X32" s="2802" t="s">
        <v>68</v>
      </c>
      <c r="Y32" s="2803"/>
      <c r="Z32" s="2747">
        <f>IF(ISTEXT(IFERROR(VLOOKUP(人物卡!AB32,人物卡!BJ19:BR23,1,FALSE),IFERROR(VLOOKUP(人物卡!AB32,人物卡!BB19:BC23,1,FALSE),0))),"★",INDEX(本职技能!$A$2:$IE$75,MATCH(人物卡!AB32,本职技能!$A$2:$A$74,0),MATCH(附表!B58,本职技能!$A$1:$IE$1,0)))</f>
        <v>0</v>
      </c>
      <c r="AA32" s="2800"/>
      <c r="AB32" s="2806" t="s">
        <v>119</v>
      </c>
      <c r="AC32" s="2807"/>
      <c r="AD32" s="2971"/>
      <c r="AE32" s="2972"/>
      <c r="AF32" s="2840">
        <f>IF(ISBLANK(AU27),IF(AD32="数学",10,1),IF(AD32=AU27,BA27,1))</f>
        <v>1</v>
      </c>
      <c r="AG32" s="2841"/>
      <c r="AH32" s="2842"/>
      <c r="AI32" s="2865"/>
      <c r="AJ32" s="2842"/>
      <c r="AK32" s="2865"/>
      <c r="AL32" s="3013"/>
      <c r="AM32" s="3014"/>
      <c r="AN32" s="2897">
        <f>AF32+AH32+AL32+AJ32</f>
        <v>1</v>
      </c>
      <c r="AO32" s="2898"/>
      <c r="AP32" s="2897">
        <f t="shared" si="9"/>
        <v>0</v>
      </c>
      <c r="AQ32" s="2898"/>
      <c r="AR32" s="2897">
        <f t="shared" si="10"/>
        <v>0</v>
      </c>
      <c r="AS32" s="3063"/>
      <c r="AT32" s="3057"/>
      <c r="AU32" s="3080"/>
      <c r="AV32" s="3081"/>
      <c r="AW32" s="3081"/>
      <c r="AX32" s="3081"/>
      <c r="AY32" s="3081"/>
      <c r="AZ32" s="3081"/>
      <c r="BA32" s="3081"/>
      <c r="BB32" s="3081"/>
      <c r="BC32" s="3117"/>
      <c r="BD32" s="3117"/>
      <c r="BE32" s="3117"/>
      <c r="BF32" s="3117"/>
      <c r="BG32" s="3117"/>
      <c r="BH32" s="3117"/>
      <c r="BI32" s="3117"/>
      <c r="BJ32" s="3117"/>
      <c r="BK32" s="3081"/>
      <c r="BL32" s="3081"/>
      <c r="BM32" s="3081"/>
      <c r="BN32" s="3081"/>
      <c r="BO32" s="3081"/>
      <c r="BP32" s="3081"/>
      <c r="BQ32" s="3081"/>
      <c r="BR32" s="3138"/>
      <c r="BV32"/>
      <c r="BW32"/>
      <c r="BX32"/>
      <c r="BY32"/>
    </row>
    <row r="33" customHeight="1" spans="1:77">
      <c r="A33" s="2739"/>
      <c r="B33" s="2745" t="s">
        <v>68</v>
      </c>
      <c r="C33" s="2746"/>
      <c r="D33" s="2747">
        <f>IF(ISTEXT(IFERROR(VLOOKUP(人物卡!F33,人物卡!BJ19:BR23,1,FALSE),IFERROR(VLOOKUP(人物卡!F33,人物卡!BB19:BC23,1,FALSE),0))),"★",INDEX(本职技能!$A$2:$IE$75,MATCH(人物卡!F33,本职技能!$A$2:$A$74,0),MATCH(附表!B58,本职技能!$A$1:$IE$1,0)))</f>
        <v>0</v>
      </c>
      <c r="E33" s="2800"/>
      <c r="F33" s="2801" t="s">
        <v>120</v>
      </c>
      <c r="G33" s="2801"/>
      <c r="H33" s="2801"/>
      <c r="I33" s="2801"/>
      <c r="J33" s="2838">
        <v>1</v>
      </c>
      <c r="K33" s="2838"/>
      <c r="L33" s="2839"/>
      <c r="M33" s="2839"/>
      <c r="N33" s="2839"/>
      <c r="O33" s="2839"/>
      <c r="P33" s="2839"/>
      <c r="Q33" s="2839"/>
      <c r="R33" s="2896">
        <f t="shared" si="11"/>
        <v>1</v>
      </c>
      <c r="S33" s="2896"/>
      <c r="T33" s="2838">
        <f t="shared" si="6"/>
        <v>0</v>
      </c>
      <c r="U33" s="2838"/>
      <c r="V33" s="2838">
        <f t="shared" si="7"/>
        <v>0</v>
      </c>
      <c r="W33" s="2838"/>
      <c r="X33" s="2801" t="s">
        <v>68</v>
      </c>
      <c r="Y33" s="2801"/>
      <c r="Z33" s="2747">
        <f>IF(ISTEXT(IFERROR(VLOOKUP(人物卡!AB33,人物卡!BJ19:BR23,1,FALSE),IFERROR(VLOOKUP(人物卡!AB33,人物卡!BB19:BC23,1,FALSE),0))),"★",INDEX(本职技能!$A$2:$IE$75,MATCH(人物卡!AB33,本职技能!$A$2:$A$74,0),MATCH(附表!B58,本职技能!$A$1:$IE$1,0)))</f>
        <v>0</v>
      </c>
      <c r="AA33" s="2800"/>
      <c r="AB33" s="2804" t="s">
        <v>121</v>
      </c>
      <c r="AC33" s="2804"/>
      <c r="AD33" s="2973"/>
      <c r="AE33" s="2973"/>
      <c r="AF33" s="2838">
        <f>IF(ISBLANK(AU27),IF(AD33="数学",10,1),IF(AD33=AU27,BA27,1))</f>
        <v>1</v>
      </c>
      <c r="AG33" s="2838"/>
      <c r="AH33" s="2839"/>
      <c r="AI33" s="2839"/>
      <c r="AJ33" s="2839"/>
      <c r="AK33" s="2839"/>
      <c r="AL33" s="3012"/>
      <c r="AM33" s="3012"/>
      <c r="AN33" s="2896">
        <f>AL33+AJ33+AF33+AH33</f>
        <v>1</v>
      </c>
      <c r="AO33" s="2896"/>
      <c r="AP33" s="2896">
        <f t="shared" si="9"/>
        <v>0</v>
      </c>
      <c r="AQ33" s="2896"/>
      <c r="AR33" s="2896">
        <f t="shared" si="10"/>
        <v>0</v>
      </c>
      <c r="AS33" s="3060"/>
      <c r="AT33" s="3057"/>
      <c r="AU33" s="3080"/>
      <c r="AV33" s="3081"/>
      <c r="AW33" s="3081"/>
      <c r="AX33" s="3081"/>
      <c r="AY33" s="3081"/>
      <c r="AZ33" s="3081"/>
      <c r="BA33" s="3081"/>
      <c r="BB33" s="3081"/>
      <c r="BC33" s="3117"/>
      <c r="BD33" s="3117"/>
      <c r="BE33" s="3117"/>
      <c r="BF33" s="3117"/>
      <c r="BG33" s="3117"/>
      <c r="BH33" s="3117"/>
      <c r="BI33" s="3117"/>
      <c r="BJ33" s="3117"/>
      <c r="BK33" s="3081"/>
      <c r="BL33" s="3081"/>
      <c r="BM33" s="3081"/>
      <c r="BN33" s="3081"/>
      <c r="BO33" s="3081"/>
      <c r="BP33" s="3081"/>
      <c r="BQ33" s="3081"/>
      <c r="BR33" s="3138"/>
      <c r="BV33"/>
      <c r="BW33"/>
      <c r="BX33"/>
      <c r="BY33"/>
    </row>
    <row r="34" customHeight="1" spans="1:77">
      <c r="A34" s="2739"/>
      <c r="B34" s="2748" t="s">
        <v>68</v>
      </c>
      <c r="C34" s="2749"/>
      <c r="D34" s="2747" t="str">
        <f>IF(ISTEXT(IFERROR(VLOOKUP(人物卡!F34,人物卡!BJ19:BR23,1,FALSE),IFERROR(VLOOKUP(人物卡!F34,人物卡!BB19:BC23,1,FALSE),0))),"★",INDEX(本职技能!$A$2:$IE$75,MATCH(人物卡!F34,本职技能!$A$2:$A$74,0),MATCH(附表!B58,本职技能!$A$1:$IE$1,0)))</f>
        <v>☯</v>
      </c>
      <c r="E34" s="2800"/>
      <c r="F34" s="2802" t="s">
        <v>122</v>
      </c>
      <c r="G34" s="2803"/>
      <c r="H34" s="2803"/>
      <c r="I34" s="2803"/>
      <c r="J34" s="2840">
        <v>5</v>
      </c>
      <c r="K34" s="2841"/>
      <c r="L34" s="2842"/>
      <c r="M34" s="2865"/>
      <c r="N34" s="2842">
        <v>65</v>
      </c>
      <c r="O34" s="2865"/>
      <c r="P34" s="2842"/>
      <c r="Q34" s="2865"/>
      <c r="R34" s="2897">
        <f t="shared" si="11"/>
        <v>70</v>
      </c>
      <c r="S34" s="2898"/>
      <c r="T34" s="2840">
        <f t="shared" si="6"/>
        <v>35</v>
      </c>
      <c r="U34" s="2841"/>
      <c r="V34" s="2840">
        <f t="shared" si="7"/>
        <v>14</v>
      </c>
      <c r="W34" s="2841"/>
      <c r="X34" s="2802" t="s">
        <v>68</v>
      </c>
      <c r="Y34" s="2803"/>
      <c r="Z34" s="2747">
        <f>IF(ISTEXT(IFERROR(VLOOKUP(人物卡!AB34,人物卡!BJ19:BR23,1,FALSE),IFERROR(VLOOKUP(人物卡!AB34,人物卡!BB19:BC23,1,FALSE),0))),"★",INDEX(本职技能!$A$2:$IE$75,MATCH(人物卡!AB34,本职技能!$A$2:$A$74,0),MATCH(附表!B58,本职技能!$A$1:$IE$1,0)))</f>
        <v>0</v>
      </c>
      <c r="AA34" s="2800"/>
      <c r="AB34" s="2806" t="s">
        <v>123</v>
      </c>
      <c r="AC34" s="2807"/>
      <c r="AD34" s="2971"/>
      <c r="AE34" s="2972"/>
      <c r="AF34" s="2840">
        <f>IF(ISBLANK(AU27),IF(AD34="数学",10,1),IF(AD34=AU27,BA27,1))</f>
        <v>1</v>
      </c>
      <c r="AG34" s="2841"/>
      <c r="AH34" s="2842"/>
      <c r="AI34" s="2865"/>
      <c r="AJ34" s="2842"/>
      <c r="AK34" s="2865"/>
      <c r="AL34" s="3013"/>
      <c r="AM34" s="3014"/>
      <c r="AN34" s="2897">
        <f>AF34+AH34+AJ34+AL34</f>
        <v>1</v>
      </c>
      <c r="AO34" s="2898"/>
      <c r="AP34" s="2897">
        <f t="shared" si="9"/>
        <v>0</v>
      </c>
      <c r="AQ34" s="2898"/>
      <c r="AR34" s="2897">
        <f t="shared" si="10"/>
        <v>0</v>
      </c>
      <c r="AS34" s="3063"/>
      <c r="AT34" s="3057"/>
      <c r="AU34" s="3080"/>
      <c r="AV34" s="3081"/>
      <c r="AW34" s="3081"/>
      <c r="AX34" s="3081"/>
      <c r="AY34" s="3081"/>
      <c r="AZ34" s="3081"/>
      <c r="BA34" s="3081"/>
      <c r="BB34" s="3081"/>
      <c r="BC34" s="3116" t="s">
        <v>124</v>
      </c>
      <c r="BD34" s="3116"/>
      <c r="BE34" s="3116"/>
      <c r="BF34" s="3116"/>
      <c r="BG34" s="3116"/>
      <c r="BH34" s="3116"/>
      <c r="BI34" s="3116"/>
      <c r="BJ34" s="3116"/>
      <c r="BK34" s="3081"/>
      <c r="BL34" s="3081"/>
      <c r="BM34" s="3081"/>
      <c r="BN34" s="3081"/>
      <c r="BO34" s="3081"/>
      <c r="BP34" s="3081"/>
      <c r="BQ34" s="3081"/>
      <c r="BR34" s="3138"/>
      <c r="BV34"/>
      <c r="BW34"/>
      <c r="BX34"/>
      <c r="BY34"/>
    </row>
    <row r="35" customHeight="1" spans="1:77">
      <c r="A35" s="2739"/>
      <c r="B35" s="2745" t="s">
        <v>68</v>
      </c>
      <c r="C35" s="2746"/>
      <c r="D35" s="2747">
        <f>IF(ISTEXT(IFERROR(VLOOKUP(人物卡!F35,人物卡!BJ19:BR23,1,FALSE),IFERROR(VLOOKUP(人物卡!F35,人物卡!BB19:BC23,1,FALSE),0))),"★",INDEX(本职技能!$A$2:$IE$75,MATCH(人物卡!F35,本职技能!$A$2:$A$74,0),MATCH(附表!B58,本职技能!$A$1:$IE$1,0)))</f>
        <v>0</v>
      </c>
      <c r="E35" s="2800"/>
      <c r="F35" s="2804" t="s">
        <v>125</v>
      </c>
      <c r="G35" s="2804"/>
      <c r="H35" s="2809" t="s">
        <v>126</v>
      </c>
      <c r="I35" s="2809"/>
      <c r="J35" s="2838">
        <v>25</v>
      </c>
      <c r="K35" s="2838"/>
      <c r="L35" s="2839"/>
      <c r="M35" s="2839"/>
      <c r="N35" s="2839"/>
      <c r="O35" s="2839"/>
      <c r="P35" s="2839"/>
      <c r="Q35" s="2839"/>
      <c r="R35" s="2896">
        <f t="shared" si="11"/>
        <v>25</v>
      </c>
      <c r="S35" s="2896"/>
      <c r="T35" s="2838">
        <f t="shared" si="6"/>
        <v>12</v>
      </c>
      <c r="U35" s="2838"/>
      <c r="V35" s="2838">
        <f t="shared" si="7"/>
        <v>5</v>
      </c>
      <c r="W35" s="2838"/>
      <c r="X35" s="2801" t="s">
        <v>68</v>
      </c>
      <c r="Y35" s="2801"/>
      <c r="Z35" s="2747">
        <f>IF(ISTEXT(IFERROR(VLOOKUP(人物卡!AB35,人物卡!BJ19:BR23,1,FALSE),IFERROR(VLOOKUP(人物卡!AB35,人物卡!BB19:BC23,1,FALSE),0))),"★",INDEX(本职技能!$A$2:$IE$75,MATCH(人物卡!AB35,本职技能!$A$2:$A$74,0),MATCH(附表!B58,本职技能!$A$1:$IE$1,0)))</f>
        <v>0</v>
      </c>
      <c r="AA35" s="2800"/>
      <c r="AB35" s="2801" t="s">
        <v>127</v>
      </c>
      <c r="AC35" s="2801"/>
      <c r="AD35" s="2801"/>
      <c r="AE35" s="2801"/>
      <c r="AF35" s="2838">
        <v>10</v>
      </c>
      <c r="AG35" s="2838"/>
      <c r="AH35" s="2839"/>
      <c r="AI35" s="2839"/>
      <c r="AJ35" s="2839"/>
      <c r="AK35" s="2839"/>
      <c r="AL35" s="3012"/>
      <c r="AM35" s="3012"/>
      <c r="AN35" s="2896">
        <f t="shared" ref="AN35:AN50" si="12">SUM(AF35:AL35)</f>
        <v>10</v>
      </c>
      <c r="AO35" s="2896"/>
      <c r="AP35" s="2896">
        <f t="shared" si="9"/>
        <v>5</v>
      </c>
      <c r="AQ35" s="2896"/>
      <c r="AR35" s="2896">
        <f t="shared" si="10"/>
        <v>2</v>
      </c>
      <c r="AS35" s="3060"/>
      <c r="AT35" s="3057"/>
      <c r="AU35" s="3080"/>
      <c r="AV35" s="3081"/>
      <c r="AW35" s="3081"/>
      <c r="AX35" s="3081"/>
      <c r="AY35" s="3081"/>
      <c r="AZ35" s="3081"/>
      <c r="BA35" s="3081"/>
      <c r="BB35" s="3081"/>
      <c r="BC35" s="3118"/>
      <c r="BD35" s="3118"/>
      <c r="BE35" s="3118"/>
      <c r="BF35" s="3118"/>
      <c r="BG35" s="3118"/>
      <c r="BH35" s="3118"/>
      <c r="BI35" s="3118"/>
      <c r="BJ35" s="3118"/>
      <c r="BK35" s="3081"/>
      <c r="BL35" s="3081"/>
      <c r="BM35" s="3081"/>
      <c r="BN35" s="3081"/>
      <c r="BO35" s="3081"/>
      <c r="BP35" s="3081"/>
      <c r="BQ35" s="3081"/>
      <c r="BR35" s="3138"/>
      <c r="BV35"/>
      <c r="BW35"/>
      <c r="BX35"/>
      <c r="BY35"/>
    </row>
    <row r="36" customHeight="1" spans="1:77">
      <c r="A36" s="2739"/>
      <c r="B36" s="2748" t="s">
        <v>68</v>
      </c>
      <c r="C36" s="2749"/>
      <c r="D36" s="2747">
        <f>IF(ISTEXT(IFERROR(VLOOKUP(人物卡!F36,人物卡!BJ19:BR23,1,FALSE),IFERROR(VLOOKUP(人物卡!F36,人物卡!BB19:BC23,1,FALSE),0))),"★",INDEX(本职技能!$A$2:$IE$75,MATCH(人物卡!F36,本职技能!$A$2:$A$74,0),MATCH(附表!B58,本职技能!$A$1:$IE$1,0)))</f>
        <v>0</v>
      </c>
      <c r="E36" s="2800"/>
      <c r="F36" s="2806" t="s">
        <v>128</v>
      </c>
      <c r="G36" s="2807"/>
      <c r="H36" s="2810"/>
      <c r="I36" s="2844"/>
      <c r="J36" s="2840">
        <f>附表!C11</f>
        <v>0</v>
      </c>
      <c r="K36" s="2841"/>
      <c r="L36" s="2842"/>
      <c r="M36" s="2865"/>
      <c r="N36" s="2842"/>
      <c r="O36" s="2865"/>
      <c r="P36" s="2842"/>
      <c r="Q36" s="2865"/>
      <c r="R36" s="2897">
        <f>J36+L36+N36+P36</f>
        <v>0</v>
      </c>
      <c r="S36" s="2898"/>
      <c r="T36" s="2840">
        <f t="shared" si="6"/>
        <v>0</v>
      </c>
      <c r="U36" s="2841"/>
      <c r="V36" s="2840">
        <f t="shared" si="7"/>
        <v>0</v>
      </c>
      <c r="W36" s="2841"/>
      <c r="X36" s="2802" t="s">
        <v>68</v>
      </c>
      <c r="Y36" s="2803"/>
      <c r="Z36" s="2747" t="str">
        <f>IF(ISTEXT(IFERROR(VLOOKUP(人物卡!AB36,人物卡!BJ19:BR23,1,FALSE),IFERROR(VLOOKUP(人物卡!AB36,人物卡!BB19:BC23,1,FALSE),0))),"★",INDEX(本职技能!$A$2:$IE$75,MATCH(人物卡!AB36,本职技能!$A$2:$A$74,0),MATCH(附表!B58,本职技能!$A$1:$IE$1,0)))</f>
        <v>★</v>
      </c>
      <c r="AA36" s="2800"/>
      <c r="AB36" s="2802" t="s">
        <v>129</v>
      </c>
      <c r="AC36" s="2803"/>
      <c r="AD36" s="2803"/>
      <c r="AE36" s="2803"/>
      <c r="AF36" s="2840">
        <v>25</v>
      </c>
      <c r="AG36" s="2841"/>
      <c r="AH36" s="2842"/>
      <c r="AI36" s="2865"/>
      <c r="AJ36" s="2842">
        <v>55</v>
      </c>
      <c r="AK36" s="2865"/>
      <c r="AL36" s="3013"/>
      <c r="AM36" s="3014"/>
      <c r="AN36" s="2897">
        <f t="shared" si="12"/>
        <v>80</v>
      </c>
      <c r="AO36" s="2898"/>
      <c r="AP36" s="2897">
        <f t="shared" si="9"/>
        <v>40</v>
      </c>
      <c r="AQ36" s="2898"/>
      <c r="AR36" s="2897">
        <f t="shared" si="10"/>
        <v>16</v>
      </c>
      <c r="AS36" s="3063"/>
      <c r="AT36" s="3057"/>
      <c r="AU36" s="3082" t="s">
        <v>130</v>
      </c>
      <c r="AV36" s="3083"/>
      <c r="AW36" s="3083"/>
      <c r="AX36" s="3083"/>
      <c r="AY36" s="3083"/>
      <c r="AZ36" s="3083"/>
      <c r="BA36" s="3083"/>
      <c r="BB36" s="3083"/>
      <c r="BC36" s="3118"/>
      <c r="BD36" s="3118"/>
      <c r="BE36" s="3118"/>
      <c r="BF36" s="3118"/>
      <c r="BG36" s="3118"/>
      <c r="BH36" s="3118"/>
      <c r="BI36" s="3118"/>
      <c r="BJ36" s="3118"/>
      <c r="BK36" s="3123" t="s">
        <v>131</v>
      </c>
      <c r="BL36" s="3123"/>
      <c r="BM36" s="3123"/>
      <c r="BN36" s="3123"/>
      <c r="BO36" s="3123"/>
      <c r="BP36" s="3123"/>
      <c r="BQ36" s="3123"/>
      <c r="BR36" s="3139"/>
      <c r="BV36"/>
      <c r="BW36"/>
      <c r="BX36"/>
      <c r="BY36"/>
    </row>
    <row r="37" customHeight="1" spans="1:77">
      <c r="A37" s="2739"/>
      <c r="B37" s="2745" t="s">
        <v>68</v>
      </c>
      <c r="C37" s="2746"/>
      <c r="D37" s="2747">
        <f>IF(ISTEXT(IFERROR(VLOOKUP(F37,人物卡!BJ19:BR23,1,FALSE),IFERROR(VLOOKUP(F37,人物卡!BB19:BC23,1,FALSE),0))),"★",INDEX(本职技能!$A$2:$IE$75,MATCH(F37,本职技能!$A$2:$A$74,0),MATCH(附表!B58,本职技能!$A$1:$IE$1,0)))</f>
        <v>0</v>
      </c>
      <c r="E37" s="2800"/>
      <c r="F37" s="2804" t="s">
        <v>132</v>
      </c>
      <c r="G37" s="2804"/>
      <c r="H37" s="2809"/>
      <c r="I37" s="2809"/>
      <c r="J37" s="2838">
        <f>附表!C12</f>
        <v>0</v>
      </c>
      <c r="K37" s="2838"/>
      <c r="L37" s="2839"/>
      <c r="M37" s="2839"/>
      <c r="N37" s="2839"/>
      <c r="O37" s="2839"/>
      <c r="P37" s="2839"/>
      <c r="Q37" s="2839"/>
      <c r="R37" s="2896">
        <f>J37+L37+P37+N37</f>
        <v>0</v>
      </c>
      <c r="S37" s="2896"/>
      <c r="T37" s="2838">
        <f t="shared" si="6"/>
        <v>0</v>
      </c>
      <c r="U37" s="2838"/>
      <c r="V37" s="2838">
        <f t="shared" si="7"/>
        <v>0</v>
      </c>
      <c r="W37" s="2838"/>
      <c r="X37" s="2801" t="s">
        <v>68</v>
      </c>
      <c r="Y37" s="2801"/>
      <c r="Z37" s="2747">
        <f>IF(ISTEXT(IFERROR(VLOOKUP(人物卡!AB37,人物卡!BJ19:BR23,1,FALSE),IFERROR(VLOOKUP(人物卡!AB37,人物卡!BB19:BC23,1,FALSE),0))),"★",INDEX(本职技能!$A$2:$IE$75,MATCH(人物卡!AB37,本职技能!$A$2:$A$74,0),MATCH(附表!B58,本职技能!$A$1:$IE$1,0)))</f>
        <v>0</v>
      </c>
      <c r="AA37" s="2800"/>
      <c r="AB37" s="2944" t="s">
        <v>133</v>
      </c>
      <c r="AC37" s="2974"/>
      <c r="AD37" s="2974"/>
      <c r="AE37" s="2975"/>
      <c r="AF37" s="2838">
        <v>20</v>
      </c>
      <c r="AG37" s="2838"/>
      <c r="AH37" s="2839"/>
      <c r="AI37" s="2839"/>
      <c r="AJ37" s="2839"/>
      <c r="AK37" s="2839"/>
      <c r="AL37" s="3012">
        <v>40</v>
      </c>
      <c r="AM37" s="3012"/>
      <c r="AN37" s="2896">
        <f t="shared" si="12"/>
        <v>60</v>
      </c>
      <c r="AO37" s="2896"/>
      <c r="AP37" s="2896">
        <f t="shared" si="9"/>
        <v>30</v>
      </c>
      <c r="AQ37" s="2896"/>
      <c r="AR37" s="2896">
        <f t="shared" si="10"/>
        <v>12</v>
      </c>
      <c r="AS37" s="3060"/>
      <c r="AT37" s="3057"/>
      <c r="AU37" s="3078" t="s">
        <v>134</v>
      </c>
      <c r="AV37" s="3079"/>
      <c r="AW37" s="3079"/>
      <c r="AX37" s="3079"/>
      <c r="AY37" s="3079"/>
      <c r="AZ37" s="3079"/>
      <c r="BA37" s="3079"/>
      <c r="BB37" s="3079"/>
      <c r="BC37" s="3118"/>
      <c r="BD37" s="3118"/>
      <c r="BE37" s="3118"/>
      <c r="BF37" s="3118"/>
      <c r="BG37" s="3118"/>
      <c r="BH37" s="3118"/>
      <c r="BI37" s="3118"/>
      <c r="BJ37" s="3118"/>
      <c r="BK37" s="3122" t="s">
        <v>135</v>
      </c>
      <c r="BL37" s="3122"/>
      <c r="BM37" s="3122"/>
      <c r="BN37" s="3122"/>
      <c r="BO37" s="3124" t="s">
        <v>136</v>
      </c>
      <c r="BP37" s="3124"/>
      <c r="BQ37" s="3124"/>
      <c r="BR37" s="3140"/>
      <c r="BV37"/>
      <c r="BW37"/>
      <c r="BX37"/>
      <c r="BY37"/>
    </row>
    <row r="38" customHeight="1" spans="1:77">
      <c r="A38" s="2739"/>
      <c r="B38" s="2748" t="s">
        <v>68</v>
      </c>
      <c r="C38" s="2749"/>
      <c r="D38" s="2747">
        <f>IF(ISTEXT(IFERROR(VLOOKUP(F38,人物卡!BJ19:BR23,1,FALSE),IFERROR(VLOOKUP(F38,人物卡!BB19:BC23,1,FALSE),0))),"★",INDEX(本职技能!$A$2:$IE$75,MATCH(F38,本职技能!$A$2:$A$74,0),MATCH(附表!B58,本职技能!$A$1:$IE$1,0)))</f>
        <v>0</v>
      </c>
      <c r="E38" s="2800"/>
      <c r="F38" s="2806" t="s">
        <v>137</v>
      </c>
      <c r="G38" s="2807"/>
      <c r="H38" s="2810"/>
      <c r="I38" s="2844"/>
      <c r="J38" s="2840">
        <f>附表!C13</f>
        <v>0</v>
      </c>
      <c r="K38" s="2841"/>
      <c r="L38" s="2842"/>
      <c r="M38" s="2865"/>
      <c r="N38" s="2842"/>
      <c r="O38" s="2865"/>
      <c r="P38" s="2842"/>
      <c r="Q38" s="2865"/>
      <c r="R38" s="2897">
        <f>P38+N38+L38+J38</f>
        <v>0</v>
      </c>
      <c r="S38" s="2898"/>
      <c r="T38" s="2840">
        <f t="shared" si="6"/>
        <v>0</v>
      </c>
      <c r="U38" s="2841"/>
      <c r="V38" s="2840">
        <f t="shared" si="7"/>
        <v>0</v>
      </c>
      <c r="W38" s="2841"/>
      <c r="X38" s="2802" t="s">
        <v>68</v>
      </c>
      <c r="Y38" s="2803"/>
      <c r="Z38" s="2747">
        <f>IF(ISTEXT(IFERROR(VLOOKUP(人物卡!AB38,人物卡!BJ19:BR23,1,FALSE),IFERROR(VLOOKUP(人物卡!AB38,人物卡!BB19:BC23,1,FALSE),0))),"★",INDEX(本职技能!$A$2:$IE$75,MATCH(人物卡!AB38,本职技能!$A$2:$A$74,0),MATCH(附表!B58,本职技能!$A$1:$IE$1,0)))</f>
        <v>0</v>
      </c>
      <c r="AA38" s="2800"/>
      <c r="AB38" s="2806" t="s">
        <v>138</v>
      </c>
      <c r="AC38" s="2807"/>
      <c r="AD38" s="2971"/>
      <c r="AE38" s="2972"/>
      <c r="AF38" s="2840">
        <v>10</v>
      </c>
      <c r="AG38" s="2841"/>
      <c r="AH38" s="2842"/>
      <c r="AI38" s="2865"/>
      <c r="AJ38" s="2842"/>
      <c r="AK38" s="2865"/>
      <c r="AL38" s="3013"/>
      <c r="AM38" s="3014"/>
      <c r="AN38" s="2897">
        <f t="shared" si="12"/>
        <v>10</v>
      </c>
      <c r="AO38" s="2898"/>
      <c r="AP38" s="2897">
        <f t="shared" si="9"/>
        <v>5</v>
      </c>
      <c r="AQ38" s="2898"/>
      <c r="AR38" s="2897">
        <f t="shared" si="10"/>
        <v>2</v>
      </c>
      <c r="AS38" s="3063"/>
      <c r="AT38" s="3057"/>
      <c r="AU38" s="3084"/>
      <c r="AV38" s="3085"/>
      <c r="AW38" s="3085"/>
      <c r="AX38" s="3085"/>
      <c r="AY38" s="3085"/>
      <c r="AZ38" s="3085"/>
      <c r="BA38" s="3085"/>
      <c r="BB38" s="3085"/>
      <c r="BC38" s="3119"/>
      <c r="BD38" s="3119"/>
      <c r="BE38" s="3119"/>
      <c r="BF38" s="3119"/>
      <c r="BG38" s="3119"/>
      <c r="BH38" s="3119"/>
      <c r="BI38" s="3119"/>
      <c r="BJ38" s="3119"/>
      <c r="BK38" s="3085"/>
      <c r="BL38" s="3085"/>
      <c r="BM38" s="3085"/>
      <c r="BN38" s="3085"/>
      <c r="BO38" s="3085"/>
      <c r="BP38" s="3085"/>
      <c r="BQ38" s="3085"/>
      <c r="BR38" s="3141"/>
      <c r="BV38"/>
      <c r="BW38"/>
      <c r="BX38"/>
      <c r="BY38"/>
    </row>
    <row r="39" customHeight="1" spans="1:77">
      <c r="A39" s="2739"/>
      <c r="B39" s="2745" t="s">
        <v>68</v>
      </c>
      <c r="C39" s="2746"/>
      <c r="D39" s="2747">
        <f>IF(ISTEXT(IFERROR(VLOOKUP(人物卡!F39,人物卡!BJ19:BR23,1,FALSE),IFERROR(VLOOKUP(人物卡!F39,人物卡!BB19:BC23,1,FALSE),0))),"★",INDEX(本职技能!$A$2:$IE$75,MATCH(人物卡!F39,本职技能!$A$2:$A$74,0),MATCH(附表!B58,本职技能!$A$1:$IE$1,0)))</f>
        <v>0</v>
      </c>
      <c r="E39" s="2800"/>
      <c r="F39" s="2804" t="s">
        <v>139</v>
      </c>
      <c r="G39" s="2804"/>
      <c r="H39" s="2809" t="s">
        <v>140</v>
      </c>
      <c r="I39" s="2809"/>
      <c r="J39" s="2838">
        <v>20</v>
      </c>
      <c r="K39" s="2838"/>
      <c r="L39" s="2839"/>
      <c r="M39" s="2839"/>
      <c r="N39" s="2839"/>
      <c r="O39" s="2839"/>
      <c r="P39" s="2839"/>
      <c r="Q39" s="2839"/>
      <c r="R39" s="2896">
        <f>SUM(J39:P39)</f>
        <v>20</v>
      </c>
      <c r="S39" s="2896"/>
      <c r="T39" s="2838">
        <f t="shared" si="6"/>
        <v>10</v>
      </c>
      <c r="U39" s="2838"/>
      <c r="V39" s="2838">
        <f t="shared" si="7"/>
        <v>4</v>
      </c>
      <c r="W39" s="2838"/>
      <c r="X39" s="2801" t="s">
        <v>68</v>
      </c>
      <c r="Y39" s="2801"/>
      <c r="Z39" s="2747">
        <f>IF(ISTEXT(IFERROR(VLOOKUP(人物卡!AB39,人物卡!BJ19:BR23,1,FALSE),IFERROR(VLOOKUP(人物卡!AB39,人物卡!BB19:BC23,1,FALSE),0))),"★",INDEX(本职技能!$A$2:$IE$75,MATCH(人物卡!AB39,本职技能!$A$2:$A$74,0),MATCH(附表!B58,本职技能!$A$1:$IE$1,0)))</f>
        <v>0</v>
      </c>
      <c r="AA39" s="2800"/>
      <c r="AB39" s="2801" t="s">
        <v>141</v>
      </c>
      <c r="AC39" s="2801"/>
      <c r="AD39" s="2801"/>
      <c r="AE39" s="2801"/>
      <c r="AF39" s="2838">
        <v>20</v>
      </c>
      <c r="AG39" s="2838"/>
      <c r="AH39" s="2839"/>
      <c r="AI39" s="2839"/>
      <c r="AJ39" s="2839"/>
      <c r="AK39" s="2839"/>
      <c r="AL39" s="3012"/>
      <c r="AM39" s="3012"/>
      <c r="AN39" s="2896">
        <f t="shared" si="12"/>
        <v>20</v>
      </c>
      <c r="AO39" s="2896"/>
      <c r="AP39" s="2896">
        <f t="shared" si="9"/>
        <v>10</v>
      </c>
      <c r="AQ39" s="2896"/>
      <c r="AR39" s="2896">
        <f t="shared" si="10"/>
        <v>4</v>
      </c>
      <c r="AS39" s="3060"/>
      <c r="AT39" s="3057"/>
      <c r="AU39" s="3086" t="s">
        <v>142</v>
      </c>
      <c r="AV39" s="3087" t="str">
        <f>IF(M5=0," ",""&amp;LOOKUP(M5,职业列表!A2:A232,职业列表!L2:L232))</f>
        <v/>
      </c>
      <c r="AW39" s="3104"/>
      <c r="AX39" s="3104"/>
      <c r="AY39" s="3104"/>
      <c r="AZ39" s="3104"/>
      <c r="BA39" s="3104"/>
      <c r="BB39" s="3104"/>
      <c r="BC39" s="3104"/>
      <c r="BD39" s="3104"/>
      <c r="BE39" s="3104"/>
      <c r="BF39" s="3104"/>
      <c r="BG39" s="3104"/>
      <c r="BH39" s="3104"/>
      <c r="BI39" s="3104"/>
      <c r="BJ39" s="3104"/>
      <c r="BK39" s="3104"/>
      <c r="BL39" s="3104"/>
      <c r="BM39" s="3104"/>
      <c r="BN39" s="3104"/>
      <c r="BO39" s="3104"/>
      <c r="BP39" s="3104"/>
      <c r="BQ39" s="3104"/>
      <c r="BR39" s="3142"/>
      <c r="BV39"/>
      <c r="BW39"/>
      <c r="BX39"/>
      <c r="BY39"/>
    </row>
    <row r="40" customHeight="1" spans="1:77">
      <c r="A40" s="2739"/>
      <c r="B40" s="2748" t="s">
        <v>68</v>
      </c>
      <c r="C40" s="2749"/>
      <c r="D40" s="2747">
        <f>IF(ISTEXT(IFERROR(VLOOKUP(人物卡!F40,人物卡!BJ19:BR23,1,FALSE),IFERROR(VLOOKUP(人物卡!F40,人物卡!BB19:BC23,1,FALSE),0))),"★",INDEX(本职技能!$A$2:$IE$75,MATCH(人物卡!F40,本职技能!$A$2:$A$74,0),MATCH(附表!B58,本职技能!$A$1:$IE$1,0)))</f>
        <v>0</v>
      </c>
      <c r="E40" s="2800"/>
      <c r="F40" s="2806" t="s">
        <v>143</v>
      </c>
      <c r="G40" s="2807"/>
      <c r="H40" s="2810"/>
      <c r="I40" s="2844"/>
      <c r="J40" s="2840">
        <f>附表!E11</f>
        <v>0</v>
      </c>
      <c r="K40" s="2841"/>
      <c r="L40" s="2842"/>
      <c r="M40" s="2865"/>
      <c r="N40" s="2842"/>
      <c r="O40" s="2865"/>
      <c r="P40" s="2842"/>
      <c r="Q40" s="2865"/>
      <c r="R40" s="2897">
        <f>P40+N40+L40+J40</f>
        <v>0</v>
      </c>
      <c r="S40" s="2898"/>
      <c r="T40" s="2840">
        <f t="shared" si="6"/>
        <v>0</v>
      </c>
      <c r="U40" s="2841"/>
      <c r="V40" s="2840">
        <f t="shared" si="7"/>
        <v>0</v>
      </c>
      <c r="W40" s="2841"/>
      <c r="X40" s="2802" t="s">
        <v>68</v>
      </c>
      <c r="Y40" s="2803"/>
      <c r="Z40" s="2747">
        <f>IF(ISTEXT(IFERROR(VLOOKUP(人物卡!AB40,人物卡!BJ19:BR23,1,FALSE),IFERROR(VLOOKUP(人物卡!AB40,人物卡!BB19:BC23,1,FALSE),0))),"★",INDEX(本职技能!$A$2:$IE$75,MATCH(人物卡!AB40,本职技能!$A$2:$A$74,0),MATCH(附表!B58,本职技能!$A$1:$IE$1,0)))</f>
        <v>0</v>
      </c>
      <c r="AA40" s="2800"/>
      <c r="AB40" s="2802" t="s">
        <v>144</v>
      </c>
      <c r="AC40" s="2803"/>
      <c r="AD40" s="2803"/>
      <c r="AE40" s="2803"/>
      <c r="AF40" s="2840">
        <v>20</v>
      </c>
      <c r="AG40" s="2841"/>
      <c r="AH40" s="2842"/>
      <c r="AI40" s="2865"/>
      <c r="AJ40" s="2842"/>
      <c r="AK40" s="2865"/>
      <c r="AL40" s="3013"/>
      <c r="AM40" s="3014"/>
      <c r="AN40" s="2897">
        <f t="shared" si="12"/>
        <v>20</v>
      </c>
      <c r="AO40" s="2898"/>
      <c r="AP40" s="2897">
        <f t="shared" si="9"/>
        <v>10</v>
      </c>
      <c r="AQ40" s="2898"/>
      <c r="AR40" s="2897">
        <f t="shared" si="10"/>
        <v>4</v>
      </c>
      <c r="AS40" s="3063"/>
      <c r="AT40" s="3057"/>
      <c r="AU40" s="3088"/>
      <c r="AV40" s="3089"/>
      <c r="AW40" s="3089"/>
      <c r="AX40" s="3089"/>
      <c r="AY40" s="3089"/>
      <c r="AZ40" s="3089"/>
      <c r="BA40" s="3089"/>
      <c r="BB40" s="3089"/>
      <c r="BC40" s="3089"/>
      <c r="BD40" s="3089"/>
      <c r="BE40" s="3089"/>
      <c r="BF40" s="3089"/>
      <c r="BG40" s="3089"/>
      <c r="BH40" s="3089"/>
      <c r="BI40" s="3089"/>
      <c r="BJ40" s="3089"/>
      <c r="BK40" s="3089"/>
      <c r="BL40" s="3089"/>
      <c r="BM40" s="3089"/>
      <c r="BN40" s="3089"/>
      <c r="BO40" s="3089"/>
      <c r="BP40" s="3089"/>
      <c r="BQ40" s="3089"/>
      <c r="BR40" s="3143"/>
      <c r="BV40"/>
      <c r="BW40"/>
      <c r="BX40"/>
      <c r="BY40"/>
    </row>
    <row r="41" customHeight="1" spans="1:77">
      <c r="A41" s="2739"/>
      <c r="B41" s="2745" t="s">
        <v>68</v>
      </c>
      <c r="C41" s="2746"/>
      <c r="D41" s="2747">
        <f>IF(ISTEXT(IFERROR(VLOOKUP(F41,人物卡!BJ19:BR23,1,FALSE),IFERROR(VLOOKUP(F41,人物卡!BB19:BC23,1,FALSE),0))),"★",INDEX(本职技能!$A$2:$IE$75,MATCH(F41,本职技能!$A$2:$A$74,0),MATCH(附表!B58,本职技能!$A$1:$IE$1,0)))</f>
        <v>0</v>
      </c>
      <c r="E41" s="2800"/>
      <c r="F41" s="2804" t="s">
        <v>145</v>
      </c>
      <c r="G41" s="2804"/>
      <c r="H41" s="2809"/>
      <c r="I41" s="2809"/>
      <c r="J41" s="2838">
        <f>附表!E12</f>
        <v>0</v>
      </c>
      <c r="K41" s="2838"/>
      <c r="L41" s="2839"/>
      <c r="M41" s="2839"/>
      <c r="N41" s="2839"/>
      <c r="O41" s="2839"/>
      <c r="P41" s="2839"/>
      <c r="Q41" s="2839"/>
      <c r="R41" s="2896">
        <f>P41+N41+L41+J41</f>
        <v>0</v>
      </c>
      <c r="S41" s="2896"/>
      <c r="T41" s="2838">
        <f t="shared" si="6"/>
        <v>0</v>
      </c>
      <c r="U41" s="2838"/>
      <c r="V41" s="2838">
        <f t="shared" si="7"/>
        <v>0</v>
      </c>
      <c r="W41" s="2838"/>
      <c r="X41" s="2801" t="s">
        <v>68</v>
      </c>
      <c r="Y41" s="2801"/>
      <c r="Z41" s="2747">
        <f>IF(ISTEXT(IFERROR(VLOOKUP(人物卡!AB41,人物卡!BJ19:BR23,1,FALSE),IFERROR(VLOOKUP(人物卡!AB41,人物卡!BB19:BC23,1,FALSE),0))),"★",INDEX(本职技能!$A$2:$IE$75,MATCH(人物卡!AB41,本职技能!$A$2:$A$74,0),MATCH(附表!B58,本职技能!$A$1:$IE$1,0)))</f>
        <v>0</v>
      </c>
      <c r="AA41" s="2800"/>
      <c r="AB41" s="2801" t="s">
        <v>146</v>
      </c>
      <c r="AC41" s="2801"/>
      <c r="AD41" s="2801"/>
      <c r="AE41" s="2801"/>
      <c r="AF41" s="2838">
        <v>10</v>
      </c>
      <c r="AG41" s="2838"/>
      <c r="AH41" s="2839"/>
      <c r="AI41" s="2839"/>
      <c r="AJ41" s="2839"/>
      <c r="AK41" s="2839"/>
      <c r="AL41" s="3012"/>
      <c r="AM41" s="3012"/>
      <c r="AN41" s="2896">
        <f t="shared" si="12"/>
        <v>10</v>
      </c>
      <c r="AO41" s="2896"/>
      <c r="AP41" s="2896">
        <f t="shared" si="9"/>
        <v>5</v>
      </c>
      <c r="AQ41" s="2896"/>
      <c r="AR41" s="2896">
        <f t="shared" si="10"/>
        <v>2</v>
      </c>
      <c r="AS41" s="3060"/>
      <c r="AT41" s="3057"/>
      <c r="AU41" s="3088"/>
      <c r="AV41" s="3089"/>
      <c r="AW41" s="3089"/>
      <c r="AX41" s="3089"/>
      <c r="AY41" s="3089"/>
      <c r="AZ41" s="3089"/>
      <c r="BA41" s="3089"/>
      <c r="BB41" s="3089"/>
      <c r="BC41" s="3089"/>
      <c r="BD41" s="3089"/>
      <c r="BE41" s="3089"/>
      <c r="BF41" s="3089"/>
      <c r="BG41" s="3089"/>
      <c r="BH41" s="3089"/>
      <c r="BI41" s="3089"/>
      <c r="BJ41" s="3089"/>
      <c r="BK41" s="3089"/>
      <c r="BL41" s="3089"/>
      <c r="BM41" s="3089"/>
      <c r="BN41" s="3089"/>
      <c r="BO41" s="3089"/>
      <c r="BP41" s="3089"/>
      <c r="BQ41" s="3089"/>
      <c r="BR41" s="3143"/>
      <c r="BV41"/>
      <c r="BW41"/>
      <c r="BX41"/>
      <c r="BY41"/>
    </row>
    <row r="42" customHeight="1" spans="1:77">
      <c r="A42" s="2739"/>
      <c r="B42" s="2748" t="s">
        <v>68</v>
      </c>
      <c r="C42" s="2749"/>
      <c r="D42" s="2747">
        <f>IF(ISTEXT(IFERROR(VLOOKUP(F42,人物卡!BJ19:BR23,1,FALSE),IFERROR(VLOOKUP(F42,人物卡!BB19:BC23,1,FALSE),0))),"★",INDEX(本职技能!$A$2:$IE$75,MATCH(F42,本职技能!$A$2:$A$74,0),MATCH(附表!B58,本职技能!$A$1:$IE$1,0)))</f>
        <v>0</v>
      </c>
      <c r="E42" s="2800"/>
      <c r="F42" s="2806" t="s">
        <v>147</v>
      </c>
      <c r="G42" s="2807"/>
      <c r="H42" s="2810"/>
      <c r="I42" s="2844"/>
      <c r="J42" s="2840">
        <f>附表!E13</f>
        <v>0</v>
      </c>
      <c r="K42" s="2841"/>
      <c r="L42" s="2842"/>
      <c r="M42" s="2865"/>
      <c r="N42" s="2842"/>
      <c r="O42" s="2865"/>
      <c r="P42" s="2842"/>
      <c r="Q42" s="2865"/>
      <c r="R42" s="2897">
        <f>P42+N42+L42+J42</f>
        <v>0</v>
      </c>
      <c r="S42" s="2898"/>
      <c r="T42" s="2840">
        <f t="shared" si="6"/>
        <v>0</v>
      </c>
      <c r="U42" s="2841"/>
      <c r="V42" s="2840">
        <f t="shared" si="7"/>
        <v>0</v>
      </c>
      <c r="W42" s="2841"/>
      <c r="X42" s="2802" t="s">
        <v>68</v>
      </c>
      <c r="Y42" s="2803"/>
      <c r="Z42" s="2747">
        <f>IF(ISTEXT(IFERROR(VLOOKUP(人物卡!AB42,人物卡!BJ19:BR23,1,FALSE),IFERROR(VLOOKUP(人物卡!AB42,人物卡!BB19:BC23,1,FALSE),0))),"★",INDEX(本职技能!$A$2:$IE$75,MATCH(人物卡!AB42,本职技能!$A$2:$A$74,0),MATCH(附表!B58,本职技能!$A$1:$IE$1,0)))</f>
        <v>0</v>
      </c>
      <c r="AA42" s="2800"/>
      <c r="AB42" s="2945" t="s">
        <v>148</v>
      </c>
      <c r="AC42" s="2976"/>
      <c r="AD42" s="2976"/>
      <c r="AE42" s="2976"/>
      <c r="AF42" s="2840">
        <v>5</v>
      </c>
      <c r="AG42" s="2841"/>
      <c r="AH42" s="2842"/>
      <c r="AI42" s="2865"/>
      <c r="AJ42" s="2842"/>
      <c r="AK42" s="2865"/>
      <c r="AL42" s="3013"/>
      <c r="AM42" s="3014"/>
      <c r="AN42" s="2897">
        <f t="shared" si="12"/>
        <v>5</v>
      </c>
      <c r="AO42" s="2898"/>
      <c r="AP42" s="2897">
        <f t="shared" si="9"/>
        <v>2</v>
      </c>
      <c r="AQ42" s="2898"/>
      <c r="AR42" s="2897">
        <f t="shared" si="10"/>
        <v>1</v>
      </c>
      <c r="AS42" s="3063"/>
      <c r="AT42" s="3057"/>
      <c r="AU42" s="3088"/>
      <c r="AV42" s="3089"/>
      <c r="AW42" s="3089"/>
      <c r="AX42" s="3089"/>
      <c r="AY42" s="3089"/>
      <c r="AZ42" s="3089"/>
      <c r="BA42" s="3089"/>
      <c r="BB42" s="3089"/>
      <c r="BC42" s="3089"/>
      <c r="BD42" s="3089"/>
      <c r="BE42" s="3089"/>
      <c r="BF42" s="3089"/>
      <c r="BG42" s="3089"/>
      <c r="BH42" s="3089"/>
      <c r="BI42" s="3089"/>
      <c r="BJ42" s="3089"/>
      <c r="BK42" s="3089"/>
      <c r="BL42" s="3089"/>
      <c r="BM42" s="3089"/>
      <c r="BN42" s="3089"/>
      <c r="BO42" s="3089"/>
      <c r="BP42" s="3089"/>
      <c r="BQ42" s="3089"/>
      <c r="BR42" s="3143"/>
      <c r="BV42"/>
      <c r="BW42"/>
      <c r="BX42"/>
      <c r="BY42"/>
    </row>
    <row r="43" customHeight="1" spans="1:77">
      <c r="A43" s="2739"/>
      <c r="B43" s="2745" t="s">
        <v>68</v>
      </c>
      <c r="C43" s="2746"/>
      <c r="D43" s="2747">
        <f>IF(ISTEXT(IFERROR(VLOOKUP(人物卡!F43,人物卡!BJ19:BR23,1,FALSE),IFERROR(VLOOKUP(人物卡!F43,人物卡!BB19:BC23,1,FALSE),0))),"★",INDEX(本职技能!$A$2:$IE$75,MATCH(人物卡!F43,本职技能!$A$2:$A$74,0),MATCH(附表!B58,本职技能!$A$1:$IE$1,0)))</f>
        <v>0</v>
      </c>
      <c r="E43" s="2800"/>
      <c r="F43" s="2801" t="s">
        <v>149</v>
      </c>
      <c r="G43" s="2801"/>
      <c r="H43" s="2801"/>
      <c r="I43" s="2801"/>
      <c r="J43" s="2845">
        <v>30</v>
      </c>
      <c r="K43" s="2845"/>
      <c r="L43" s="2839"/>
      <c r="M43" s="2839"/>
      <c r="N43" s="2839"/>
      <c r="O43" s="2839"/>
      <c r="P43" s="2839"/>
      <c r="Q43" s="2839"/>
      <c r="R43" s="2896">
        <f t="shared" ref="R43:R50" si="13">SUM(J43:P43)</f>
        <v>30</v>
      </c>
      <c r="S43" s="2896"/>
      <c r="T43" s="2838">
        <f t="shared" si="6"/>
        <v>15</v>
      </c>
      <c r="U43" s="2838"/>
      <c r="V43" s="2838">
        <f t="shared" si="7"/>
        <v>6</v>
      </c>
      <c r="W43" s="2838"/>
      <c r="X43" s="2801" t="s">
        <v>68</v>
      </c>
      <c r="Y43" s="2801"/>
      <c r="Z43" s="2747">
        <f>IF(ISTEXT(IFERROR(VLOOKUP(人物卡!AB43,人物卡!BJ19:BR23,1,FALSE),IFERROR(VLOOKUP(人物卡!AB43,人物卡!BB19:BC23,1,FALSE),0))),"★",INDEX(本职技能!$A$2:$IE$75,MATCH(人物卡!AB43,本职技能!$A$2:$A$74,0),MATCH(附表!B58,本职技能!$A$1:$IE$1,0)))</f>
        <v>0</v>
      </c>
      <c r="AA43" s="2800"/>
      <c r="AB43" s="2946" t="s">
        <v>150</v>
      </c>
      <c r="AC43" s="2946"/>
      <c r="AD43" s="2946"/>
      <c r="AE43" s="2946"/>
      <c r="AF43" s="2838">
        <v>1</v>
      </c>
      <c r="AG43" s="2838"/>
      <c r="AH43" s="2839"/>
      <c r="AI43" s="2839"/>
      <c r="AJ43" s="2839"/>
      <c r="AK43" s="2839"/>
      <c r="AL43" s="3012"/>
      <c r="AM43" s="3012"/>
      <c r="AN43" s="2896">
        <f t="shared" si="12"/>
        <v>1</v>
      </c>
      <c r="AO43" s="2896"/>
      <c r="AP43" s="2896">
        <f t="shared" si="9"/>
        <v>0</v>
      </c>
      <c r="AQ43" s="2896"/>
      <c r="AR43" s="2896">
        <f t="shared" si="10"/>
        <v>0</v>
      </c>
      <c r="AS43" s="3060"/>
      <c r="AT43" s="3057"/>
      <c r="AU43" s="3088"/>
      <c r="AV43" s="3089"/>
      <c r="AW43" s="3089"/>
      <c r="AX43" s="3089"/>
      <c r="AY43" s="3089"/>
      <c r="AZ43" s="3089"/>
      <c r="BA43" s="3089"/>
      <c r="BB43" s="3089"/>
      <c r="BC43" s="3089"/>
      <c r="BD43" s="3089"/>
      <c r="BE43" s="3089"/>
      <c r="BF43" s="3089"/>
      <c r="BG43" s="3089"/>
      <c r="BH43" s="3089"/>
      <c r="BI43" s="3089"/>
      <c r="BJ43" s="3089"/>
      <c r="BK43" s="3089"/>
      <c r="BL43" s="3089"/>
      <c r="BM43" s="3089"/>
      <c r="BN43" s="3089"/>
      <c r="BO43" s="3089"/>
      <c r="BP43" s="3089"/>
      <c r="BQ43" s="3089"/>
      <c r="BR43" s="3143"/>
      <c r="BV43"/>
      <c r="BW43"/>
      <c r="BX43"/>
      <c r="BY43"/>
    </row>
    <row r="44" customHeight="1" spans="1:77">
      <c r="A44" s="2739"/>
      <c r="B44" s="2748" t="s">
        <v>68</v>
      </c>
      <c r="C44" s="2749"/>
      <c r="D44" s="2747">
        <f>IF(ISTEXT(IFERROR(VLOOKUP(人物卡!F44,人物卡!BJ19:BR23,1,FALSE),IFERROR(VLOOKUP(人物卡!F44,人物卡!BB19:BC23,1,FALSE),0))),"★",INDEX(本职技能!$A$2:$IE$75,MATCH(人物卡!F44,本职技能!$A$2:$A$74,0),MATCH(附表!B58,本职技能!$A$1:$IE$1,0)))</f>
        <v>0</v>
      </c>
      <c r="E44" s="2800"/>
      <c r="F44" s="2802" t="s">
        <v>151</v>
      </c>
      <c r="G44" s="2803"/>
      <c r="H44" s="2803"/>
      <c r="I44" s="2803"/>
      <c r="J44" s="2840">
        <v>5</v>
      </c>
      <c r="K44" s="2841"/>
      <c r="L44" s="2842"/>
      <c r="M44" s="2865"/>
      <c r="N44" s="2842"/>
      <c r="O44" s="2865"/>
      <c r="P44" s="2842"/>
      <c r="Q44" s="2865"/>
      <c r="R44" s="2897">
        <f t="shared" si="13"/>
        <v>5</v>
      </c>
      <c r="S44" s="2898"/>
      <c r="T44" s="2840">
        <f t="shared" si="6"/>
        <v>2</v>
      </c>
      <c r="U44" s="2841"/>
      <c r="V44" s="2840">
        <f t="shared" si="7"/>
        <v>1</v>
      </c>
      <c r="W44" s="2841"/>
      <c r="X44" s="2802" t="s">
        <v>68</v>
      </c>
      <c r="Y44" s="2803"/>
      <c r="Z44" s="2747">
        <f>IF(ISTEXT(IFERROR(VLOOKUP(人物卡!AB44,人物卡!BJ19:BR23,1,FALSE),IFERROR(VLOOKUP(人物卡!AB44,人物卡!BB19:BC23,1,FALSE),0))),"★",INDEX(本职技能!$A$2:$IE$75,MATCH(人物卡!AB44,本职技能!$A$2:$A$74,0),MATCH(附表!B58,本职技能!$A$1:$IE$1,0)))</f>
        <v>0</v>
      </c>
      <c r="AA44" s="2800"/>
      <c r="AB44" s="2945" t="s">
        <v>152</v>
      </c>
      <c r="AC44" s="2976"/>
      <c r="AD44" s="2976"/>
      <c r="AE44" s="2976"/>
      <c r="AF44" s="2840">
        <v>1</v>
      </c>
      <c r="AG44" s="2841"/>
      <c r="AH44" s="2842"/>
      <c r="AI44" s="2865"/>
      <c r="AJ44" s="2842"/>
      <c r="AK44" s="2865"/>
      <c r="AL44" s="3013"/>
      <c r="AM44" s="3014"/>
      <c r="AN44" s="2897">
        <f t="shared" si="12"/>
        <v>1</v>
      </c>
      <c r="AO44" s="2898"/>
      <c r="AP44" s="2897">
        <f t="shared" si="9"/>
        <v>0</v>
      </c>
      <c r="AQ44" s="2898"/>
      <c r="AR44" s="2897">
        <f t="shared" si="10"/>
        <v>0</v>
      </c>
      <c r="AS44" s="3063"/>
      <c r="AT44" s="3057"/>
      <c r="AU44" s="3090" t="s">
        <v>153</v>
      </c>
      <c r="AV44" s="3091"/>
      <c r="AW44" s="3091"/>
      <c r="AX44" s="3091"/>
      <c r="AY44" s="3091"/>
      <c r="AZ44" s="3091"/>
      <c r="BA44" s="3091"/>
      <c r="BB44" s="3091"/>
      <c r="BC44" s="3091"/>
      <c r="BD44" s="3091"/>
      <c r="BE44" s="3091"/>
      <c r="BF44" s="3091"/>
      <c r="BG44" s="3091"/>
      <c r="BH44" s="3091"/>
      <c r="BI44" s="3091"/>
      <c r="BJ44" s="3091"/>
      <c r="BK44" s="3091"/>
      <c r="BL44" s="3091"/>
      <c r="BM44" s="3091"/>
      <c r="BN44" s="3091"/>
      <c r="BO44" s="3091"/>
      <c r="BP44" s="3091"/>
      <c r="BQ44" s="3091"/>
      <c r="BR44" s="3144"/>
      <c r="BV44"/>
      <c r="BW44"/>
      <c r="BX44"/>
      <c r="BY44"/>
    </row>
    <row r="45" customHeight="1" spans="1:77">
      <c r="A45" s="2739"/>
      <c r="B45" s="2745" t="s">
        <v>68</v>
      </c>
      <c r="C45" s="2746"/>
      <c r="D45" s="2747" t="str">
        <f>IF(ISTEXT(IFERROR(VLOOKUP(人物卡!F45,人物卡!BJ19:BR23,1,FALSE),IFERROR(VLOOKUP(人物卡!F45,人物卡!BB19:BC23,1,FALSE),0))),"★",INDEX(本职技能!$A$2:$IE$75,MATCH(人物卡!F45,本职技能!$A$2:$A$74,0),MATCH(附表!B58,本职技能!$A$1:$IE$1,0)))</f>
        <v>☯</v>
      </c>
      <c r="E45" s="2800"/>
      <c r="F45" s="2801" t="s">
        <v>154</v>
      </c>
      <c r="G45" s="2801"/>
      <c r="H45" s="2801"/>
      <c r="I45" s="2801"/>
      <c r="J45" s="2838">
        <v>15</v>
      </c>
      <c r="K45" s="2838"/>
      <c r="L45" s="2839"/>
      <c r="M45" s="2839"/>
      <c r="N45" s="2839"/>
      <c r="O45" s="2839"/>
      <c r="P45" s="2839"/>
      <c r="Q45" s="2839"/>
      <c r="R45" s="2896">
        <f t="shared" si="13"/>
        <v>15</v>
      </c>
      <c r="S45" s="2896"/>
      <c r="T45" s="2838">
        <f t="shared" si="6"/>
        <v>7</v>
      </c>
      <c r="U45" s="2838"/>
      <c r="V45" s="2838">
        <f t="shared" si="7"/>
        <v>3</v>
      </c>
      <c r="W45" s="2838"/>
      <c r="X45" s="2801" t="s">
        <v>68</v>
      </c>
      <c r="Y45" s="2801"/>
      <c r="Z45" s="2747">
        <f>IF(ISTEXT(IFERROR(VLOOKUP(人物卡!AB45,人物卡!BJ19:BR23,1,FALSE),IFERROR(VLOOKUP(人物卡!AB45,人物卡!BB19:BC23,1,FALSE),0))),"★",INDEX(本职技能!$A$2:$IE$75,MATCH(人物卡!AB45,本职技能!$A$2:$A$74,0),MATCH(附表!B58,本职技能!$A$1:$IE$1,0)))</f>
        <v>0</v>
      </c>
      <c r="AA45" s="2800"/>
      <c r="AB45" s="2946" t="s">
        <v>155</v>
      </c>
      <c r="AC45" s="2946"/>
      <c r="AD45" s="2946"/>
      <c r="AE45" s="2946"/>
      <c r="AF45" s="2838">
        <v>1</v>
      </c>
      <c r="AG45" s="2838"/>
      <c r="AH45" s="2839"/>
      <c r="AI45" s="2839"/>
      <c r="AJ45" s="2839"/>
      <c r="AK45" s="2839"/>
      <c r="AL45" s="3012"/>
      <c r="AM45" s="3012"/>
      <c r="AN45" s="2896">
        <f t="shared" si="12"/>
        <v>1</v>
      </c>
      <c r="AO45" s="2896"/>
      <c r="AP45" s="2896">
        <f t="shared" si="9"/>
        <v>0</v>
      </c>
      <c r="AQ45" s="2896"/>
      <c r="AR45" s="2896">
        <f t="shared" si="10"/>
        <v>0</v>
      </c>
      <c r="AS45" s="3060"/>
      <c r="AT45" s="3057"/>
      <c r="AU45" s="3092" t="str">
        <f>IF(M5=0," ",""&amp;LOOKUP(M5,职业列表!A2:A232,职业列表!N2:N232))</f>
        <v>《克苏鲁煤气灯》1980s职业，使用前请征得KP同意。</v>
      </c>
      <c r="AV45" s="3093"/>
      <c r="AW45" s="3093"/>
      <c r="AX45" s="3093"/>
      <c r="AY45" s="3093"/>
      <c r="AZ45" s="3093"/>
      <c r="BA45" s="3093"/>
      <c r="BB45" s="3093"/>
      <c r="BC45" s="3093"/>
      <c r="BD45" s="3093"/>
      <c r="BE45" s="3093"/>
      <c r="BF45" s="3093"/>
      <c r="BG45" s="3093"/>
      <c r="BH45" s="3093"/>
      <c r="BI45" s="3093"/>
      <c r="BJ45" s="3093"/>
      <c r="BK45" s="3093"/>
      <c r="BL45" s="3093"/>
      <c r="BM45" s="3093"/>
      <c r="BN45" s="3093"/>
      <c r="BO45" s="3093"/>
      <c r="BP45" s="3093"/>
      <c r="BQ45" s="3093"/>
      <c r="BR45" s="3145"/>
      <c r="BV45"/>
      <c r="BW45"/>
      <c r="BX45"/>
      <c r="BY45"/>
    </row>
    <row r="46" customHeight="1" spans="1:77">
      <c r="A46" s="2739"/>
      <c r="B46" s="2748" t="s">
        <v>68</v>
      </c>
      <c r="C46" s="2749"/>
      <c r="D46" s="2747">
        <f>IF(ISTEXT(IFERROR(VLOOKUP(人物卡!F46,人物卡!BJ19:BR23,1,FALSE),IFERROR(VLOOKUP(人物卡!F46,人物卡!BB19:BC23,1,FALSE),0))),"★",INDEX(本职技能!$A$2:$IE$75,MATCH(人物卡!F46,本职技能!$A$2:$A$74,0),MATCH(附表!B58,本职技能!$A$1:$IE$1,0)))</f>
        <v>0</v>
      </c>
      <c r="E46" s="2800"/>
      <c r="F46" s="2802" t="s">
        <v>156</v>
      </c>
      <c r="G46" s="2803"/>
      <c r="H46" s="2803"/>
      <c r="I46" s="2803"/>
      <c r="J46" s="2840">
        <v>20</v>
      </c>
      <c r="K46" s="2841"/>
      <c r="L46" s="2842"/>
      <c r="M46" s="2865"/>
      <c r="N46" s="2842"/>
      <c r="O46" s="2865"/>
      <c r="P46" s="2842"/>
      <c r="Q46" s="2865"/>
      <c r="R46" s="2897">
        <f t="shared" si="13"/>
        <v>20</v>
      </c>
      <c r="S46" s="2898"/>
      <c r="T46" s="2840">
        <f t="shared" si="6"/>
        <v>10</v>
      </c>
      <c r="U46" s="2841"/>
      <c r="V46" s="2840">
        <f t="shared" si="7"/>
        <v>4</v>
      </c>
      <c r="W46" s="2841"/>
      <c r="X46" s="2802" t="s">
        <v>68</v>
      </c>
      <c r="Y46" s="2803"/>
      <c r="Z46" s="2747">
        <f>IF(ISTEXT(IFERROR(VLOOKUP(人物卡!AB46,人物卡!BJ19:BR23,1,FALSE),IFERROR(VLOOKUP(人物卡!AB46,人物卡!BB19:BC23,1,FALSE),0))),"★",INDEX(本职技能!$A$2:$IE$75,MATCH(人物卡!AB46,本职技能!$A$2:$A$74,0),MATCH(附表!B58,本职技能!$A$1:$IE$1,0)))</f>
        <v>0</v>
      </c>
      <c r="AA46" s="2800"/>
      <c r="AB46" s="2945" t="s">
        <v>157</v>
      </c>
      <c r="AC46" s="2976"/>
      <c r="AD46" s="2976"/>
      <c r="AE46" s="2976"/>
      <c r="AF46" s="2840">
        <v>1</v>
      </c>
      <c r="AG46" s="2841"/>
      <c r="AH46" s="2842"/>
      <c r="AI46" s="2865"/>
      <c r="AJ46" s="2842"/>
      <c r="AK46" s="2865"/>
      <c r="AL46" s="3013"/>
      <c r="AM46" s="3014"/>
      <c r="AN46" s="2897">
        <f t="shared" si="12"/>
        <v>1</v>
      </c>
      <c r="AO46" s="2898"/>
      <c r="AP46" s="2897">
        <f t="shared" si="9"/>
        <v>0</v>
      </c>
      <c r="AQ46" s="2898"/>
      <c r="AR46" s="2897">
        <f t="shared" si="10"/>
        <v>0</v>
      </c>
      <c r="AS46" s="3063"/>
      <c r="AT46" s="3057"/>
      <c r="AU46" s="3094"/>
      <c r="AV46" s="3093"/>
      <c r="AW46" s="3093"/>
      <c r="AX46" s="3093"/>
      <c r="AY46" s="3093"/>
      <c r="AZ46" s="3093"/>
      <c r="BA46" s="3093"/>
      <c r="BB46" s="3093"/>
      <c r="BC46" s="3093"/>
      <c r="BD46" s="3093"/>
      <c r="BE46" s="3093"/>
      <c r="BF46" s="3093"/>
      <c r="BG46" s="3093"/>
      <c r="BH46" s="3093"/>
      <c r="BI46" s="3093"/>
      <c r="BJ46" s="3093"/>
      <c r="BK46" s="3093"/>
      <c r="BL46" s="3093"/>
      <c r="BM46" s="3093"/>
      <c r="BN46" s="3093"/>
      <c r="BO46" s="3093"/>
      <c r="BP46" s="3093"/>
      <c r="BQ46" s="3093"/>
      <c r="BR46" s="3145"/>
      <c r="BV46"/>
      <c r="BW46"/>
      <c r="BX46"/>
      <c r="BY46"/>
    </row>
    <row r="47" customHeight="1" spans="1:77">
      <c r="A47" s="2739"/>
      <c r="B47" s="2745" t="s">
        <v>68</v>
      </c>
      <c r="C47" s="2746"/>
      <c r="D47" s="2747">
        <f>IF(ISTEXT(IFERROR(VLOOKUP(人物卡!F47,人物卡!BJ19:BR23,1,FALSE),IFERROR(VLOOKUP(人物卡!F47,人物卡!BB19:BC23,1,FALSE),0))),"★",INDEX(本职技能!$A$2:$IE$75,MATCH(人物卡!F47,本职技能!$A$2:$A$74,0),MATCH(附表!B58,本职技能!$A$1:$IE$1,0)))</f>
        <v>0</v>
      </c>
      <c r="E47" s="2800"/>
      <c r="F47" s="2804" t="s">
        <v>158</v>
      </c>
      <c r="G47" s="2804"/>
      <c r="H47" s="2809"/>
      <c r="I47" s="2809"/>
      <c r="J47" s="2838">
        <v>1</v>
      </c>
      <c r="K47" s="2838"/>
      <c r="L47" s="2839"/>
      <c r="M47" s="2839"/>
      <c r="N47" s="2839"/>
      <c r="O47" s="2839"/>
      <c r="P47" s="2839"/>
      <c r="Q47" s="2839"/>
      <c r="R47" s="2896">
        <f t="shared" si="13"/>
        <v>1</v>
      </c>
      <c r="S47" s="2896"/>
      <c r="T47" s="2838">
        <f t="shared" si="6"/>
        <v>0</v>
      </c>
      <c r="U47" s="2838"/>
      <c r="V47" s="2838">
        <f t="shared" si="7"/>
        <v>0</v>
      </c>
      <c r="W47" s="2838"/>
      <c r="X47" s="2801" t="s">
        <v>68</v>
      </c>
      <c r="Y47" s="2801"/>
      <c r="Z47" s="2747">
        <f>IF(ISTEXT(IFERROR(VLOOKUP(人物卡!AB47,人物卡!BJ19:BR23,1,FALSE),IFERROR(VLOOKUP(人物卡!AB47,人物卡!BB19:BC23,1,FALSE),0))),"★",INDEX(本职技能!$A$2:$IE$75,MATCH(人物卡!AB47,本职技能!$A$2:$A$74,0),MATCH(附表!B58,本职技能!$A$1:$IE$1,0)))</f>
        <v>0</v>
      </c>
      <c r="AA47" s="2800"/>
      <c r="AB47" s="2946" t="s">
        <v>159</v>
      </c>
      <c r="AC47" s="2946"/>
      <c r="AD47" s="2946"/>
      <c r="AE47" s="2946"/>
      <c r="AF47" s="2838">
        <v>1</v>
      </c>
      <c r="AG47" s="2838"/>
      <c r="AH47" s="2839"/>
      <c r="AI47" s="2839"/>
      <c r="AJ47" s="2839"/>
      <c r="AK47" s="2839"/>
      <c r="AL47" s="3012"/>
      <c r="AM47" s="3012"/>
      <c r="AN47" s="2896">
        <f t="shared" si="12"/>
        <v>1</v>
      </c>
      <c r="AO47" s="2896"/>
      <c r="AP47" s="2896">
        <f t="shared" si="9"/>
        <v>0</v>
      </c>
      <c r="AQ47" s="2896"/>
      <c r="AR47" s="2896">
        <f t="shared" si="10"/>
        <v>0</v>
      </c>
      <c r="AS47" s="3060"/>
      <c r="AT47" s="3057"/>
      <c r="AU47" s="3094"/>
      <c r="AV47" s="3093"/>
      <c r="AW47" s="3093"/>
      <c r="AX47" s="3093"/>
      <c r="AY47" s="3093"/>
      <c r="AZ47" s="3093"/>
      <c r="BA47" s="3093"/>
      <c r="BB47" s="3093"/>
      <c r="BC47" s="3093"/>
      <c r="BD47" s="3093"/>
      <c r="BE47" s="3093"/>
      <c r="BF47" s="3093"/>
      <c r="BG47" s="3093"/>
      <c r="BH47" s="3093"/>
      <c r="BI47" s="3093"/>
      <c r="BJ47" s="3093"/>
      <c r="BK47" s="3093"/>
      <c r="BL47" s="3093"/>
      <c r="BM47" s="3093"/>
      <c r="BN47" s="3093"/>
      <c r="BO47" s="3093"/>
      <c r="BP47" s="3093"/>
      <c r="BQ47" s="3093"/>
      <c r="BR47" s="3145"/>
      <c r="BV47"/>
      <c r="BW47"/>
      <c r="BX47"/>
      <c r="BY47"/>
    </row>
    <row r="48" customHeight="1" spans="1:77">
      <c r="A48" s="2739"/>
      <c r="B48" s="2748" t="s">
        <v>68</v>
      </c>
      <c r="C48" s="2749"/>
      <c r="D48" s="2747">
        <f>IF(ISTEXT(IFERROR(VLOOKUP(人物卡!F48,人物卡!BJ19:BR23,1,FALSE),IFERROR(VLOOKUP(人物卡!F48,人物卡!BB19:BC23,1,FALSE),0))),"★",INDEX(本职技能!$A$2:$IE$75,MATCH(人物卡!F48,本职技能!$A$2:$A$74,0),MATCH(附表!B58,本职技能!$A$1:$IE$1,0)))</f>
        <v>0</v>
      </c>
      <c r="E48" s="2800"/>
      <c r="F48" s="2806" t="s">
        <v>160</v>
      </c>
      <c r="G48" s="2807"/>
      <c r="H48" s="2810"/>
      <c r="I48" s="2844"/>
      <c r="J48" s="2840">
        <v>1</v>
      </c>
      <c r="K48" s="2841"/>
      <c r="L48" s="2842"/>
      <c r="M48" s="2865"/>
      <c r="N48" s="2842"/>
      <c r="O48" s="2865"/>
      <c r="P48" s="2842"/>
      <c r="Q48" s="2865"/>
      <c r="R48" s="2897">
        <f t="shared" si="13"/>
        <v>1</v>
      </c>
      <c r="S48" s="2898"/>
      <c r="T48" s="2840">
        <f t="shared" si="6"/>
        <v>0</v>
      </c>
      <c r="U48" s="2841"/>
      <c r="V48" s="2840">
        <f t="shared" si="7"/>
        <v>0</v>
      </c>
      <c r="W48" s="2841"/>
      <c r="X48" s="2802" t="s">
        <v>68</v>
      </c>
      <c r="Y48" s="2803"/>
      <c r="Z48" s="2747">
        <f>IF(ISTEXT(IFERROR(VLOOKUP(人物卡!AB48,人物卡!BJ19:BR23,1,FALSE),IFERROR(VLOOKUP(人物卡!AB48,人物卡!BB19:BC23,1,FALSE),0))),"★",INDEX(本职技能!$A$2:$IE$75,MATCH(人物卡!AB48,本职技能!$A$2:$A$74,0),MATCH(附表!B58,本职技能!$A$1:$IE$1,0)))</f>
        <v>0</v>
      </c>
      <c r="AA48" s="2800"/>
      <c r="AB48" s="2947" t="s">
        <v>161</v>
      </c>
      <c r="AC48" s="2977"/>
      <c r="AD48" s="2978"/>
      <c r="AE48" s="2979"/>
      <c r="AF48" s="2840">
        <v>1</v>
      </c>
      <c r="AG48" s="2841"/>
      <c r="AH48" s="2842"/>
      <c r="AI48" s="2865"/>
      <c r="AJ48" s="2842"/>
      <c r="AK48" s="2865"/>
      <c r="AL48" s="3013"/>
      <c r="AM48" s="3014"/>
      <c r="AN48" s="2897">
        <f t="shared" si="12"/>
        <v>1</v>
      </c>
      <c r="AO48" s="2898"/>
      <c r="AP48" s="2897">
        <f t="shared" si="9"/>
        <v>0</v>
      </c>
      <c r="AQ48" s="2898"/>
      <c r="AR48" s="2897">
        <f t="shared" si="10"/>
        <v>0</v>
      </c>
      <c r="AS48" s="3063"/>
      <c r="AT48" s="3057"/>
      <c r="AU48" s="3094"/>
      <c r="AV48" s="3093"/>
      <c r="AW48" s="3093"/>
      <c r="AX48" s="3093"/>
      <c r="AY48" s="3093"/>
      <c r="AZ48" s="3093"/>
      <c r="BA48" s="3093"/>
      <c r="BB48" s="3093"/>
      <c r="BC48" s="3093"/>
      <c r="BD48" s="3093"/>
      <c r="BE48" s="3093"/>
      <c r="BF48" s="3093"/>
      <c r="BG48" s="3093"/>
      <c r="BH48" s="3093"/>
      <c r="BI48" s="3093"/>
      <c r="BJ48" s="3093"/>
      <c r="BK48" s="3093"/>
      <c r="BL48" s="3093"/>
      <c r="BM48" s="3093"/>
      <c r="BN48" s="3093"/>
      <c r="BO48" s="3093"/>
      <c r="BP48" s="3093"/>
      <c r="BQ48" s="3093"/>
      <c r="BR48" s="3145"/>
      <c r="BV48"/>
      <c r="BW48"/>
      <c r="BX48"/>
      <c r="BY48"/>
    </row>
    <row r="49" customHeight="1" spans="1:77">
      <c r="A49" s="2739"/>
      <c r="B49" s="2745" t="s">
        <v>68</v>
      </c>
      <c r="C49" s="2746"/>
      <c r="D49" s="2747">
        <f>IF(ISTEXT(IFERROR(VLOOKUP(F49,人物卡!BJ19:BR23,1,FALSE),IFERROR(VLOOKUP(F49,人物卡!BB19:BC23,1,FALSE),0))),"★",INDEX(本职技能!$A$2:$IE$75,MATCH(F49,本职技能!$A$2:$A$74,0),MATCH(附表!B58,本职技能!$A$1:$IE$1,0)))</f>
        <v>0</v>
      </c>
      <c r="E49" s="2800"/>
      <c r="F49" s="2804" t="s">
        <v>162</v>
      </c>
      <c r="G49" s="2804"/>
      <c r="H49" s="2809"/>
      <c r="I49" s="2809"/>
      <c r="J49" s="2838">
        <v>1</v>
      </c>
      <c r="K49" s="2838"/>
      <c r="L49" s="2839"/>
      <c r="M49" s="2839"/>
      <c r="N49" s="2839"/>
      <c r="O49" s="2839"/>
      <c r="P49" s="2839"/>
      <c r="Q49" s="2839"/>
      <c r="R49" s="2896">
        <f t="shared" si="13"/>
        <v>1</v>
      </c>
      <c r="S49" s="2896"/>
      <c r="T49" s="2838">
        <f t="shared" si="6"/>
        <v>0</v>
      </c>
      <c r="U49" s="2838"/>
      <c r="V49" s="2838">
        <f t="shared" si="7"/>
        <v>0</v>
      </c>
      <c r="W49" s="2838"/>
      <c r="X49" s="2801" t="s">
        <v>68</v>
      </c>
      <c r="Y49" s="2801"/>
      <c r="Z49" s="2747">
        <f>IF(ISTEXT(IFERROR(VLOOKUP(AB49,人物卡!BJ19:BR23,1,FALSE),IFERROR(VLOOKUP(AB49,人物卡!BB19:BC23,1,FALSE),0))),"★",INDEX(本职技能!$A$2:$IE$75,MATCH(AB49,本职技能!$A$2:$A$74,0),MATCH(附表!B58,本职技能!$A$1:$IE$1,0)))</f>
        <v>0</v>
      </c>
      <c r="AA49" s="2800"/>
      <c r="AB49" s="2948" t="s">
        <v>163</v>
      </c>
      <c r="AC49" s="2948"/>
      <c r="AD49" s="2948"/>
      <c r="AE49" s="2948"/>
      <c r="AF49" s="2839"/>
      <c r="AG49" s="2839"/>
      <c r="AH49" s="2839"/>
      <c r="AI49" s="2839"/>
      <c r="AJ49" s="2839"/>
      <c r="AK49" s="2839"/>
      <c r="AL49" s="3012"/>
      <c r="AM49" s="3012"/>
      <c r="AN49" s="2896">
        <f t="shared" si="12"/>
        <v>0</v>
      </c>
      <c r="AO49" s="2896"/>
      <c r="AP49" s="2896">
        <f t="shared" si="9"/>
        <v>0</v>
      </c>
      <c r="AQ49" s="2896"/>
      <c r="AR49" s="2896">
        <f t="shared" si="10"/>
        <v>0</v>
      </c>
      <c r="AS49" s="3060"/>
      <c r="AT49" s="3057"/>
      <c r="AU49" s="3094"/>
      <c r="AV49" s="3093"/>
      <c r="AW49" s="3093"/>
      <c r="AX49" s="3093"/>
      <c r="AY49" s="3093"/>
      <c r="AZ49" s="3093"/>
      <c r="BA49" s="3093"/>
      <c r="BB49" s="3093"/>
      <c r="BC49" s="3093"/>
      <c r="BD49" s="3093"/>
      <c r="BE49" s="3093"/>
      <c r="BF49" s="3093"/>
      <c r="BG49" s="3093"/>
      <c r="BH49" s="3093"/>
      <c r="BI49" s="3093"/>
      <c r="BJ49" s="3093"/>
      <c r="BK49" s="3093"/>
      <c r="BL49" s="3093"/>
      <c r="BM49" s="3093"/>
      <c r="BN49" s="3093"/>
      <c r="BO49" s="3093"/>
      <c r="BP49" s="3093"/>
      <c r="BQ49" s="3093"/>
      <c r="BR49" s="3145"/>
      <c r="BV49"/>
      <c r="BW49"/>
      <c r="BX49"/>
      <c r="BY49"/>
    </row>
    <row r="50" customHeight="1" spans="1:77">
      <c r="A50" s="2739"/>
      <c r="B50" s="2754" t="s">
        <v>68</v>
      </c>
      <c r="C50" s="2755"/>
      <c r="D50" s="2756">
        <f>IF(ISTEXT(IFERROR(VLOOKUP(人物卡!F50,人物卡!BJ19:BR23,1,FALSE),IFERROR(VLOOKUP(人物卡!F50,人物卡!BB19:BC23,1,FALSE),0))),"★",INDEX(本职技能!$A$2:$IE$75,MATCH(人物卡!F50,本职技能!$A$2:$A$74,0),MATCH(附表!B58,本职技能!$A$1:$IE$1,0)))</f>
        <v>0</v>
      </c>
      <c r="E50" s="2811"/>
      <c r="F50" s="2812" t="s">
        <v>164</v>
      </c>
      <c r="G50" s="2813"/>
      <c r="H50" s="2814"/>
      <c r="I50" s="2846"/>
      <c r="J50" s="2847">
        <f>AG5</f>
        <v>55</v>
      </c>
      <c r="K50" s="2848"/>
      <c r="L50" s="2849"/>
      <c r="M50" s="2866"/>
      <c r="N50" s="2849"/>
      <c r="O50" s="2866"/>
      <c r="P50" s="2849"/>
      <c r="Q50" s="2866"/>
      <c r="R50" s="2899">
        <f t="shared" si="13"/>
        <v>55</v>
      </c>
      <c r="S50" s="2900"/>
      <c r="T50" s="2847">
        <f t="shared" si="6"/>
        <v>27</v>
      </c>
      <c r="U50" s="2848"/>
      <c r="V50" s="2847">
        <f t="shared" si="7"/>
        <v>11</v>
      </c>
      <c r="W50" s="2848"/>
      <c r="X50" s="2917" t="s">
        <v>68</v>
      </c>
      <c r="Y50" s="2949"/>
      <c r="Z50" s="2756">
        <f>IF(ISTEXT(IFERROR(VLOOKUP(AB50,人物卡!BJ19:BR23,1,FALSE),IFERROR(VLOOKUP(AB50,人物卡!BB19:BC23,1,FALSE),0))),"★",INDEX(本职技能!$A$2:$IE$75,MATCH(AB50,本职技能!$A$2:$A$74,0),MATCH(附表!B58,本职技能!$A$1:$IE$1,0)))</f>
        <v>0</v>
      </c>
      <c r="AA50" s="2811"/>
      <c r="AB50" s="2950"/>
      <c r="AC50" s="2980"/>
      <c r="AD50" s="2980"/>
      <c r="AE50" s="2980"/>
      <c r="AF50" s="2849"/>
      <c r="AG50" s="2866"/>
      <c r="AH50" s="2849"/>
      <c r="AI50" s="2866"/>
      <c r="AJ50" s="2849"/>
      <c r="AK50" s="2866"/>
      <c r="AL50" s="3015"/>
      <c r="AM50" s="3016"/>
      <c r="AN50" s="2899">
        <f t="shared" si="12"/>
        <v>0</v>
      </c>
      <c r="AO50" s="2900"/>
      <c r="AP50" s="2899">
        <f t="shared" si="9"/>
        <v>0</v>
      </c>
      <c r="AQ50" s="2900"/>
      <c r="AR50" s="2899">
        <f t="shared" si="10"/>
        <v>0</v>
      </c>
      <c r="AS50" s="3095"/>
      <c r="AT50" s="3057"/>
      <c r="AU50" s="3094"/>
      <c r="AV50" s="3093"/>
      <c r="AW50" s="3093"/>
      <c r="AX50" s="3093"/>
      <c r="AY50" s="3093"/>
      <c r="AZ50" s="3093"/>
      <c r="BA50" s="3093"/>
      <c r="BB50" s="3093"/>
      <c r="BC50" s="3093"/>
      <c r="BD50" s="3093"/>
      <c r="BE50" s="3093"/>
      <c r="BF50" s="3093"/>
      <c r="BG50" s="3093"/>
      <c r="BH50" s="3093"/>
      <c r="BI50" s="3093"/>
      <c r="BJ50" s="3093"/>
      <c r="BK50" s="3093"/>
      <c r="BL50" s="3093"/>
      <c r="BM50" s="3093"/>
      <c r="BN50" s="3093"/>
      <c r="BO50" s="3093"/>
      <c r="BP50" s="3093"/>
      <c r="BQ50" s="3093"/>
      <c r="BR50" s="3145"/>
      <c r="BV50"/>
      <c r="BW50"/>
      <c r="BX50"/>
      <c r="BY50"/>
    </row>
    <row r="51" customHeight="1" spans="1:70">
      <c r="A51" s="2717"/>
      <c r="B51" s="2757" t="str">
        <f>IF(M5=0,"","职业信誉范围："&amp;LOOKUP(M5,职业列表!A2:A232,职业列表!D2:D232)&amp;"-"&amp;LOOKUP(M5,职业列表!A2:A232,职业列表!E2:E232))</f>
        <v>职业信誉范围：9-40</v>
      </c>
      <c r="C51" s="2757"/>
      <c r="D51" s="2757"/>
      <c r="E51" s="2757"/>
      <c r="F51" s="2757"/>
      <c r="G51" s="2757"/>
      <c r="H51" s="2757" t="str">
        <f>IF(M5=0,"","本职属性："&amp;附表!J52&amp;" ")&amp;IF(M5=0,"",IF(AND(附表!J53-SUM(N17:O50,AJ17:AK50)=0,附表!L53-SUM(P17:Q50,AL17:AM50)=0,附表!L55+AL51-SUM(L17:M50,AH17:AI50)=0),"",("剩余职业点="&amp;附表!J53-SUM(N17:O50,AJ17:AK50))&amp;" 剩余兴趣点="&amp;附表!L53-SUM(P17:Q50,AL17:AM50)&amp;IF(E115=附表!B26,""," 剩余经历包点="&amp;IF(ISNUMBER(附表!D34),附表!D34-SUM(L17:M50,AH17:AI50),附表!D34))))</f>
        <v>本职属性：[教育×2＋外貌或敏捷×2] </v>
      </c>
      <c r="I51" s="2757"/>
      <c r="J51" s="2757"/>
      <c r="K51" s="2757"/>
      <c r="L51" s="2757"/>
      <c r="M51" s="2757"/>
      <c r="N51" s="2757"/>
      <c r="O51" s="2757"/>
      <c r="P51" s="2757"/>
      <c r="Q51" s="2757"/>
      <c r="R51" s="2757"/>
      <c r="S51" s="2757"/>
      <c r="T51" s="2757"/>
      <c r="U51" s="2757"/>
      <c r="V51" s="2757"/>
      <c r="W51" s="2757"/>
      <c r="X51" s="2757"/>
      <c r="Y51" s="2757"/>
      <c r="Z51" s="2757"/>
      <c r="AA51" s="2757"/>
      <c r="AB51" s="2757"/>
      <c r="AC51" s="2757"/>
      <c r="AD51" s="2757"/>
      <c r="AE51" s="2757"/>
      <c r="AF51" s="2757"/>
      <c r="AG51" s="2757"/>
      <c r="AH51" s="2757"/>
      <c r="AI51" s="2757"/>
      <c r="AJ51" s="3000"/>
      <c r="AK51" s="3000"/>
      <c r="AL51" s="3000"/>
      <c r="AM51" s="3000"/>
      <c r="AN51" s="2757"/>
      <c r="AO51" s="2757"/>
      <c r="AP51" s="2757"/>
      <c r="AQ51" s="2757"/>
      <c r="AR51" s="2757"/>
      <c r="AS51" s="2757"/>
      <c r="AT51" s="3096"/>
      <c r="AU51" s="3094"/>
      <c r="AV51" s="3093"/>
      <c r="AW51" s="3093"/>
      <c r="AX51" s="3093"/>
      <c r="AY51" s="3093"/>
      <c r="AZ51" s="3093"/>
      <c r="BA51" s="3093"/>
      <c r="BB51" s="3093"/>
      <c r="BC51" s="3093"/>
      <c r="BD51" s="3093"/>
      <c r="BE51" s="3093"/>
      <c r="BF51" s="3093"/>
      <c r="BG51" s="3093"/>
      <c r="BH51" s="3093"/>
      <c r="BI51" s="3093"/>
      <c r="BJ51" s="3093"/>
      <c r="BK51" s="3093"/>
      <c r="BL51" s="3093"/>
      <c r="BM51" s="3093"/>
      <c r="BN51" s="3093"/>
      <c r="BO51" s="3093"/>
      <c r="BP51" s="3093"/>
      <c r="BQ51" s="3093"/>
      <c r="BR51" s="3145"/>
    </row>
    <row r="52" customHeight="1" spans="1:70">
      <c r="A52" s="2717"/>
      <c r="B52" s="2758" t="s">
        <v>165</v>
      </c>
      <c r="C52" s="2759"/>
      <c r="D52" s="2759"/>
      <c r="E52" s="2759"/>
      <c r="F52" s="2759"/>
      <c r="G52" s="2759"/>
      <c r="H52" s="2759"/>
      <c r="I52" s="2759"/>
      <c r="J52" s="2759"/>
      <c r="K52" s="2759"/>
      <c r="L52" s="2759"/>
      <c r="M52" s="2759"/>
      <c r="N52" s="2759"/>
      <c r="O52" s="2759"/>
      <c r="P52" s="2759"/>
      <c r="Q52" s="2759"/>
      <c r="R52" s="2759"/>
      <c r="S52" s="2759"/>
      <c r="T52" s="2759"/>
      <c r="U52" s="2759"/>
      <c r="V52" s="2759"/>
      <c r="W52" s="2759"/>
      <c r="X52" s="2759"/>
      <c r="Y52" s="2759"/>
      <c r="Z52" s="2759"/>
      <c r="AA52" s="2759"/>
      <c r="AB52" s="2759"/>
      <c r="AC52" s="2759"/>
      <c r="AD52" s="2759"/>
      <c r="AE52" s="2759"/>
      <c r="AF52" s="2759"/>
      <c r="AG52" s="2759"/>
      <c r="AH52" s="2759"/>
      <c r="AI52" s="2759"/>
      <c r="AJ52" s="2759"/>
      <c r="AK52" s="3017"/>
      <c r="AL52" s="2717"/>
      <c r="AM52" s="2773" t="s">
        <v>166</v>
      </c>
      <c r="AN52" s="2774"/>
      <c r="AO52" s="2774"/>
      <c r="AP52" s="2774"/>
      <c r="AQ52" s="2774"/>
      <c r="AR52" s="2774"/>
      <c r="AS52" s="2918"/>
      <c r="AT52" s="2772"/>
      <c r="AU52" s="3094"/>
      <c r="AV52" s="3093"/>
      <c r="AW52" s="3093"/>
      <c r="AX52" s="3093"/>
      <c r="AY52" s="3093"/>
      <c r="AZ52" s="3093"/>
      <c r="BA52" s="3093"/>
      <c r="BB52" s="3093"/>
      <c r="BC52" s="3093"/>
      <c r="BD52" s="3093"/>
      <c r="BE52" s="3093"/>
      <c r="BF52" s="3093"/>
      <c r="BG52" s="3093"/>
      <c r="BH52" s="3093"/>
      <c r="BI52" s="3093"/>
      <c r="BJ52" s="3093"/>
      <c r="BK52" s="3093"/>
      <c r="BL52" s="3093"/>
      <c r="BM52" s="3093"/>
      <c r="BN52" s="3093"/>
      <c r="BO52" s="3093"/>
      <c r="BP52" s="3093"/>
      <c r="BQ52" s="3093"/>
      <c r="BR52" s="3145"/>
    </row>
    <row r="53" customHeight="1" spans="1:70">
      <c r="A53" s="2717"/>
      <c r="B53" s="2760" t="s">
        <v>167</v>
      </c>
      <c r="C53" s="2761"/>
      <c r="D53" s="2761"/>
      <c r="E53" s="2761"/>
      <c r="F53" s="2761"/>
      <c r="G53" s="2815" t="s">
        <v>168</v>
      </c>
      <c r="H53" s="2761"/>
      <c r="I53" s="2761"/>
      <c r="J53" s="2761"/>
      <c r="K53" s="2761"/>
      <c r="L53" s="2761"/>
      <c r="M53" s="2815" t="s">
        <v>169</v>
      </c>
      <c r="N53" s="2761"/>
      <c r="O53" s="2761"/>
      <c r="P53" s="2761"/>
      <c r="Q53" s="2815" t="s">
        <v>170</v>
      </c>
      <c r="R53" s="2761"/>
      <c r="S53" s="2761"/>
      <c r="T53" s="2761"/>
      <c r="U53" s="2761"/>
      <c r="V53" s="2761"/>
      <c r="W53" s="2815" t="s">
        <v>171</v>
      </c>
      <c r="X53" s="2761"/>
      <c r="Y53" s="2761"/>
      <c r="Z53" s="2761"/>
      <c r="AA53" s="2815" t="s">
        <v>172</v>
      </c>
      <c r="AB53" s="2761"/>
      <c r="AC53" s="2815" t="s">
        <v>173</v>
      </c>
      <c r="AD53" s="2761"/>
      <c r="AE53" s="2815" t="s">
        <v>174</v>
      </c>
      <c r="AF53" s="2761"/>
      <c r="AG53" s="2815" t="s">
        <v>175</v>
      </c>
      <c r="AH53" s="2761"/>
      <c r="AI53" s="2761"/>
      <c r="AJ53" s="2815" t="s">
        <v>176</v>
      </c>
      <c r="AK53" s="3018"/>
      <c r="AL53" s="2717"/>
      <c r="AM53" s="3019" t="s">
        <v>177</v>
      </c>
      <c r="AN53" s="3020"/>
      <c r="AO53" s="3020"/>
      <c r="AP53" s="3035" t="str">
        <f>附表!P9</f>
        <v>0</v>
      </c>
      <c r="AQ53" s="3035"/>
      <c r="AR53" s="3035"/>
      <c r="AS53" s="3097"/>
      <c r="AT53" s="2717"/>
      <c r="AU53" s="3094"/>
      <c r="AV53" s="3093"/>
      <c r="AW53" s="3093"/>
      <c r="AX53" s="3093"/>
      <c r="AY53" s="3093"/>
      <c r="AZ53" s="3093"/>
      <c r="BA53" s="3093"/>
      <c r="BB53" s="3093"/>
      <c r="BC53" s="3093"/>
      <c r="BD53" s="3093"/>
      <c r="BE53" s="3093"/>
      <c r="BF53" s="3093"/>
      <c r="BG53" s="3093"/>
      <c r="BH53" s="3093"/>
      <c r="BI53" s="3093"/>
      <c r="BJ53" s="3093"/>
      <c r="BK53" s="3093"/>
      <c r="BL53" s="3093"/>
      <c r="BM53" s="3093"/>
      <c r="BN53" s="3093"/>
      <c r="BO53" s="3093"/>
      <c r="BP53" s="3093"/>
      <c r="BQ53" s="3093"/>
      <c r="BR53" s="3145"/>
    </row>
    <row r="54" customHeight="1" spans="1:70">
      <c r="A54" s="2717"/>
      <c r="B54" s="2762" t="s">
        <v>178</v>
      </c>
      <c r="C54" s="2763"/>
      <c r="D54" s="2763"/>
      <c r="E54" s="2763"/>
      <c r="F54" s="2763"/>
      <c r="G54" s="2816" t="s">
        <v>179</v>
      </c>
      <c r="H54" s="2763"/>
      <c r="I54" s="2763"/>
      <c r="J54" s="2763"/>
      <c r="K54" s="2763"/>
      <c r="L54" s="2763"/>
      <c r="M54" s="2816" t="s">
        <v>126</v>
      </c>
      <c r="N54" s="2763"/>
      <c r="O54" s="2763"/>
      <c r="P54" s="2763"/>
      <c r="Q54" s="2901">
        <f>R35</f>
        <v>25</v>
      </c>
      <c r="R54" s="2902"/>
      <c r="S54" s="2816">
        <f>INT(Q54/2)</f>
        <v>12</v>
      </c>
      <c r="T54" s="2763"/>
      <c r="U54" s="2816">
        <f>INT(Q54/5)</f>
        <v>5</v>
      </c>
      <c r="V54" s="2763"/>
      <c r="W54" s="2816" t="s">
        <v>180</v>
      </c>
      <c r="X54" s="2763"/>
      <c r="Y54" s="2763"/>
      <c r="Z54" s="2763"/>
      <c r="AA54" s="2816" t="s">
        <v>100</v>
      </c>
      <c r="AB54" s="2763"/>
      <c r="AC54" s="2816" t="s">
        <v>181</v>
      </c>
      <c r="AD54" s="2763"/>
      <c r="AE54" s="2816">
        <v>1</v>
      </c>
      <c r="AF54" s="2763"/>
      <c r="AG54" s="2816" t="s">
        <v>100</v>
      </c>
      <c r="AH54" s="2763"/>
      <c r="AI54" s="2763"/>
      <c r="AJ54" s="2816" t="s">
        <v>100</v>
      </c>
      <c r="AK54" s="3021"/>
      <c r="AL54" s="2717"/>
      <c r="AM54" s="3019"/>
      <c r="AN54" s="3020"/>
      <c r="AO54" s="3020"/>
      <c r="AP54" s="3035"/>
      <c r="AQ54" s="3035"/>
      <c r="AR54" s="3035"/>
      <c r="AS54" s="3097"/>
      <c r="AT54" s="2717"/>
      <c r="AU54" s="3094"/>
      <c r="AV54" s="3093"/>
      <c r="AW54" s="3093"/>
      <c r="AX54" s="3093"/>
      <c r="AY54" s="3093"/>
      <c r="AZ54" s="3093"/>
      <c r="BA54" s="3093"/>
      <c r="BB54" s="3093"/>
      <c r="BC54" s="3093"/>
      <c r="BD54" s="3093"/>
      <c r="BE54" s="3093"/>
      <c r="BF54" s="3093"/>
      <c r="BG54" s="3093"/>
      <c r="BH54" s="3093"/>
      <c r="BI54" s="3093"/>
      <c r="BJ54" s="3093"/>
      <c r="BK54" s="3093"/>
      <c r="BL54" s="3093"/>
      <c r="BM54" s="3093"/>
      <c r="BN54" s="3093"/>
      <c r="BO54" s="3093"/>
      <c r="BP54" s="3093"/>
      <c r="BQ54" s="3093"/>
      <c r="BR54" s="3145"/>
    </row>
    <row r="55" customHeight="1" spans="1:70">
      <c r="A55" s="2717"/>
      <c r="B55" s="2764" t="s">
        <v>182</v>
      </c>
      <c r="C55" s="2765"/>
      <c r="D55" s="2765"/>
      <c r="E55" s="2765"/>
      <c r="F55" s="2765"/>
      <c r="G55" s="2765" t="s">
        <v>183</v>
      </c>
      <c r="H55" s="2765"/>
      <c r="I55" s="2765"/>
      <c r="J55" s="2765"/>
      <c r="K55" s="2765"/>
      <c r="L55" s="2765"/>
      <c r="M55" s="2867" t="str">
        <f>IF($G55=0,"←请选择类型",VLOOKUP($G55,武器列表!$B$2:$I$105,2,FALSE))</f>
        <v>斗殴</v>
      </c>
      <c r="N55" s="2867"/>
      <c r="O55" s="2867"/>
      <c r="P55" s="2867"/>
      <c r="Q55" s="2867">
        <f>附表!AV15</f>
        <v>25</v>
      </c>
      <c r="R55" s="2867"/>
      <c r="S55" s="2867">
        <f t="shared" ref="S55:S57" si="14">IF(Q55="","",INT(Q55/2))</f>
        <v>12</v>
      </c>
      <c r="T55" s="2867"/>
      <c r="U55" s="2867">
        <f t="shared" ref="U55:U57" si="15">IF(Q55="","",INT(Q55/5))</f>
        <v>5</v>
      </c>
      <c r="V55" s="2867"/>
      <c r="W55" s="2867" t="str">
        <f>IF($G55=0,"",VLOOKUP($G55,武器列表!$B$2:$I$105,3,FALSE))</f>
        <v>1D4+DB</v>
      </c>
      <c r="X55" s="2867"/>
      <c r="Y55" s="2867"/>
      <c r="Z55" s="2867"/>
      <c r="AA55" s="2867" t="str">
        <f>IF($G55=0,"",VLOOKUP($G55,武器列表!$B$2:$I$105,4,FALSE))</f>
        <v>接触</v>
      </c>
      <c r="AB55" s="2867"/>
      <c r="AC55" s="2867" t="str">
        <f>IF($G55=0,"",VLOOKUP($G55,武器列表!$B$2:$I$105,5,FALSE))</f>
        <v>√</v>
      </c>
      <c r="AD55" s="2867"/>
      <c r="AE55" s="2867" t="str">
        <f>IF($G55=0,"",VLOOKUP($G55,武器列表!$B$2:$I$105,6,FALSE))</f>
        <v>1</v>
      </c>
      <c r="AF55" s="2867"/>
      <c r="AG55" s="2867" t="str">
        <f>IF($G55=0,"",VLOOKUP($G55,武器列表!$B$2:$I$105,7,FALSE))</f>
        <v>——</v>
      </c>
      <c r="AH55" s="2867"/>
      <c r="AI55" s="2867"/>
      <c r="AJ55" s="2867" t="str">
        <f>IF($G55=0,"",VLOOKUP($G55,武器列表!$B$2:$I$105,8,FALSE))</f>
        <v>——</v>
      </c>
      <c r="AK55" s="3022"/>
      <c r="AL55" s="2717"/>
      <c r="AM55" s="3019"/>
      <c r="AN55" s="3020"/>
      <c r="AO55" s="3020"/>
      <c r="AP55" s="3035"/>
      <c r="AQ55" s="3035"/>
      <c r="AR55" s="3035"/>
      <c r="AS55" s="3097"/>
      <c r="AT55" s="2717"/>
      <c r="AU55" s="3094"/>
      <c r="AV55" s="3093"/>
      <c r="AW55" s="3093"/>
      <c r="AX55" s="3093"/>
      <c r="AY55" s="3093"/>
      <c r="AZ55" s="3093"/>
      <c r="BA55" s="3093"/>
      <c r="BB55" s="3093"/>
      <c r="BC55" s="3093"/>
      <c r="BD55" s="3093"/>
      <c r="BE55" s="3093"/>
      <c r="BF55" s="3093"/>
      <c r="BG55" s="3093"/>
      <c r="BH55" s="3093"/>
      <c r="BI55" s="3093"/>
      <c r="BJ55" s="3093"/>
      <c r="BK55" s="3093"/>
      <c r="BL55" s="3093"/>
      <c r="BM55" s="3093"/>
      <c r="BN55" s="3093"/>
      <c r="BO55" s="3093"/>
      <c r="BP55" s="3093"/>
      <c r="BQ55" s="3093"/>
      <c r="BR55" s="3145"/>
    </row>
    <row r="56" customHeight="1" spans="1:70">
      <c r="A56" s="2717"/>
      <c r="B56" s="2766"/>
      <c r="C56" s="2767"/>
      <c r="D56" s="2767"/>
      <c r="E56" s="2767"/>
      <c r="F56" s="2767"/>
      <c r="G56" s="2817"/>
      <c r="H56" s="2767"/>
      <c r="I56" s="2767"/>
      <c r="J56" s="2767"/>
      <c r="K56" s="2767"/>
      <c r="L56" s="2767"/>
      <c r="M56" s="2868" t="str">
        <f>IF($G56=0,IF(M55="←请选择类型","","←请选择类型"),VLOOKUP($G56,武器列表!$B$2:$I$105,2,FALSE))</f>
        <v>←请选择类型</v>
      </c>
      <c r="N56" s="2869"/>
      <c r="O56" s="2869"/>
      <c r="P56" s="2869"/>
      <c r="Q56" s="2868" t="str">
        <f>附表!AV16</f>
        <v/>
      </c>
      <c r="R56" s="2869"/>
      <c r="S56" s="2868" t="str">
        <f t="shared" si="14"/>
        <v/>
      </c>
      <c r="T56" s="2869"/>
      <c r="U56" s="2868" t="str">
        <f t="shared" si="15"/>
        <v/>
      </c>
      <c r="V56" s="2869"/>
      <c r="W56" s="2868" t="str">
        <f>IF($G56=0,"",VLOOKUP($G56,武器列表!$B$2:$I$105,3,FALSE))</f>
        <v/>
      </c>
      <c r="X56" s="2869"/>
      <c r="Y56" s="2869"/>
      <c r="Z56" s="2869"/>
      <c r="AA56" s="2868" t="str">
        <f>IF($G56=0,"",VLOOKUP($G56,武器列表!$B$2:$I$105,4,FALSE))</f>
        <v/>
      </c>
      <c r="AB56" s="2869"/>
      <c r="AC56" s="2868" t="str">
        <f>IF($G56=0,"",VLOOKUP($G56,武器列表!$B$2:$I$105,5,FALSE))</f>
        <v/>
      </c>
      <c r="AD56" s="2869"/>
      <c r="AE56" s="2868" t="str">
        <f>IF($G56=0,"",VLOOKUP($G56,武器列表!$B$2:$I$105,6,FALSE))</f>
        <v/>
      </c>
      <c r="AF56" s="2869"/>
      <c r="AG56" s="2868" t="str">
        <f>IF($G56=0,"",VLOOKUP($G56,武器列表!$B$2:$I$105,7,FALSE))</f>
        <v/>
      </c>
      <c r="AH56" s="2869"/>
      <c r="AI56" s="2869"/>
      <c r="AJ56" s="2868" t="str">
        <f>IF($G56=0,"",VLOOKUP($G56,武器列表!$B$2:$I$105,8,FALSE))</f>
        <v/>
      </c>
      <c r="AK56" s="3023"/>
      <c r="AL56" s="2717"/>
      <c r="AM56" s="2777" t="s">
        <v>184</v>
      </c>
      <c r="AN56" s="2778"/>
      <c r="AO56" s="2778"/>
      <c r="AP56" s="3036" t="str">
        <f>附表!P7</f>
        <v>0</v>
      </c>
      <c r="AQ56" s="3037"/>
      <c r="AR56" s="3037"/>
      <c r="AS56" s="3098"/>
      <c r="AT56" s="2717"/>
      <c r="AU56" s="3094"/>
      <c r="AV56" s="3093"/>
      <c r="AW56" s="3093"/>
      <c r="AX56" s="3093"/>
      <c r="AY56" s="3093"/>
      <c r="AZ56" s="3093"/>
      <c r="BA56" s="3093"/>
      <c r="BB56" s="3093"/>
      <c r="BC56" s="3093"/>
      <c r="BD56" s="3093"/>
      <c r="BE56" s="3093"/>
      <c r="BF56" s="3093"/>
      <c r="BG56" s="3093"/>
      <c r="BH56" s="3093"/>
      <c r="BI56" s="3093"/>
      <c r="BJ56" s="3093"/>
      <c r="BK56" s="3093"/>
      <c r="BL56" s="3093"/>
      <c r="BM56" s="3093"/>
      <c r="BN56" s="3093"/>
      <c r="BO56" s="3093"/>
      <c r="BP56" s="3093"/>
      <c r="BQ56" s="3093"/>
      <c r="BR56" s="3145"/>
    </row>
    <row r="57" customHeight="1" spans="1:70">
      <c r="A57" s="2717"/>
      <c r="B57" s="2768"/>
      <c r="C57" s="2769"/>
      <c r="D57" s="2769"/>
      <c r="E57" s="2769"/>
      <c r="F57" s="2769"/>
      <c r="G57" s="2769"/>
      <c r="H57" s="2769"/>
      <c r="I57" s="2769"/>
      <c r="J57" s="2769"/>
      <c r="K57" s="2769"/>
      <c r="L57" s="2769"/>
      <c r="M57" s="2870" t="str">
        <f>IF($G57=0,IF(OR(M55="←请选择类型",M56="←请选择类型"),"","←请选择类型"),VLOOKUP($G57,武器列表!$B$2:$I$105,2,FALSE))</f>
        <v/>
      </c>
      <c r="N57" s="2870"/>
      <c r="O57" s="2870"/>
      <c r="P57" s="2870"/>
      <c r="Q57" s="2870" t="str">
        <f>附表!AV17</f>
        <v/>
      </c>
      <c r="R57" s="2870"/>
      <c r="S57" s="2870" t="str">
        <f t="shared" si="14"/>
        <v/>
      </c>
      <c r="T57" s="2870"/>
      <c r="U57" s="2870" t="str">
        <f t="shared" si="15"/>
        <v/>
      </c>
      <c r="V57" s="2870"/>
      <c r="W57" s="2870" t="str">
        <f>IF($G57=0,"",VLOOKUP($G57,武器列表!$B$2:$I$105,3,FALSE))</f>
        <v/>
      </c>
      <c r="X57" s="2870"/>
      <c r="Y57" s="2870"/>
      <c r="Z57" s="2870"/>
      <c r="AA57" s="2870" t="str">
        <f>IF($G57=0,"",VLOOKUP($G57,武器列表!$B$2:$I$105,4,FALSE))</f>
        <v/>
      </c>
      <c r="AB57" s="2870"/>
      <c r="AC57" s="2870" t="str">
        <f>IF($G57=0,"",VLOOKUP($G57,武器列表!$B$2:$I$105,5,FALSE))</f>
        <v/>
      </c>
      <c r="AD57" s="2870"/>
      <c r="AE57" s="2870" t="str">
        <f>IF($G57=0,"",VLOOKUP($G57,武器列表!$B$2:$I$105,6,FALSE))</f>
        <v/>
      </c>
      <c r="AF57" s="2870"/>
      <c r="AG57" s="2870" t="str">
        <f>IF($G57=0,"",VLOOKUP($G57,武器列表!$B$2:$I$105,7,FALSE))</f>
        <v/>
      </c>
      <c r="AH57" s="2870"/>
      <c r="AI57" s="2870"/>
      <c r="AJ57" s="2870" t="str">
        <f>IF($G57=0,"",VLOOKUP($G57,武器列表!$B$2:$I$105,8,FALSE))</f>
        <v/>
      </c>
      <c r="AK57" s="3024"/>
      <c r="AL57" s="2717"/>
      <c r="AM57" s="3025"/>
      <c r="AN57" s="2778"/>
      <c r="AO57" s="2778"/>
      <c r="AP57" s="3037"/>
      <c r="AQ57" s="3037"/>
      <c r="AR57" s="3037"/>
      <c r="AS57" s="3098"/>
      <c r="AT57" s="2717"/>
      <c r="AU57" s="3094"/>
      <c r="AV57" s="3093"/>
      <c r="AW57" s="3093"/>
      <c r="AX57" s="3093"/>
      <c r="AY57" s="3093"/>
      <c r="AZ57" s="3093"/>
      <c r="BA57" s="3093"/>
      <c r="BB57" s="3093"/>
      <c r="BC57" s="3093"/>
      <c r="BD57" s="3093"/>
      <c r="BE57" s="3093"/>
      <c r="BF57" s="3093"/>
      <c r="BG57" s="3093"/>
      <c r="BH57" s="3093"/>
      <c r="BI57" s="3093"/>
      <c r="BJ57" s="3093"/>
      <c r="BK57" s="3093"/>
      <c r="BL57" s="3093"/>
      <c r="BM57" s="3093"/>
      <c r="BN57" s="3093"/>
      <c r="BO57" s="3093"/>
      <c r="BP57" s="3093"/>
      <c r="BQ57" s="3093"/>
      <c r="BR57" s="3145"/>
    </row>
    <row r="58" customHeight="1" spans="1:70">
      <c r="A58" s="2717"/>
      <c r="B58" s="2766"/>
      <c r="C58" s="2767"/>
      <c r="D58" s="2767"/>
      <c r="E58" s="2767"/>
      <c r="F58" s="2767"/>
      <c r="G58" s="2817"/>
      <c r="H58" s="2767"/>
      <c r="I58" s="2767"/>
      <c r="J58" s="2767"/>
      <c r="K58" s="2767"/>
      <c r="L58" s="2767"/>
      <c r="M58" s="2868"/>
      <c r="N58" s="2869"/>
      <c r="O58" s="2869"/>
      <c r="P58" s="2869"/>
      <c r="Q58" s="2868"/>
      <c r="R58" s="2869"/>
      <c r="S58" s="2903"/>
      <c r="T58" s="2904"/>
      <c r="U58" s="2903"/>
      <c r="V58" s="2904"/>
      <c r="W58" s="2868"/>
      <c r="X58" s="2869"/>
      <c r="Y58" s="2869"/>
      <c r="Z58" s="2869"/>
      <c r="AA58" s="2868"/>
      <c r="AB58" s="2869"/>
      <c r="AC58" s="2868"/>
      <c r="AD58" s="2869"/>
      <c r="AE58" s="2868"/>
      <c r="AF58" s="2869"/>
      <c r="AG58" s="2868"/>
      <c r="AH58" s="2869"/>
      <c r="AI58" s="2869"/>
      <c r="AJ58" s="2868"/>
      <c r="AK58" s="3023"/>
      <c r="AL58" s="2717"/>
      <c r="AM58" s="3019" t="s">
        <v>185</v>
      </c>
      <c r="AN58" s="3020"/>
      <c r="AO58" s="3020"/>
      <c r="AP58" s="3038">
        <f>R30</f>
        <v>60</v>
      </c>
      <c r="AQ58" s="3038"/>
      <c r="AR58" s="3038">
        <f>T30</f>
        <v>30</v>
      </c>
      <c r="AS58" s="3099"/>
      <c r="AT58" s="2717"/>
      <c r="AU58" s="3094"/>
      <c r="AV58" s="3093"/>
      <c r="AW58" s="3093"/>
      <c r="AX58" s="3093"/>
      <c r="AY58" s="3093"/>
      <c r="AZ58" s="3093"/>
      <c r="BA58" s="3093"/>
      <c r="BB58" s="3093"/>
      <c r="BC58" s="3093"/>
      <c r="BD58" s="3093"/>
      <c r="BE58" s="3093"/>
      <c r="BF58" s="3093"/>
      <c r="BG58" s="3093"/>
      <c r="BH58" s="3093"/>
      <c r="BI58" s="3093"/>
      <c r="BJ58" s="3093"/>
      <c r="BK58" s="3093"/>
      <c r="BL58" s="3093"/>
      <c r="BM58" s="3093"/>
      <c r="BN58" s="3093"/>
      <c r="BO58" s="3093"/>
      <c r="BP58" s="3093"/>
      <c r="BQ58" s="3093"/>
      <c r="BR58" s="3145"/>
    </row>
    <row r="59" customHeight="1" spans="1:70">
      <c r="A59" s="2717"/>
      <c r="B59" s="2770"/>
      <c r="C59" s="2771"/>
      <c r="D59" s="2771"/>
      <c r="E59" s="2771"/>
      <c r="F59" s="2771"/>
      <c r="G59" s="2771"/>
      <c r="H59" s="2771"/>
      <c r="I59" s="2771"/>
      <c r="J59" s="2771"/>
      <c r="K59" s="2771"/>
      <c r="L59" s="2771"/>
      <c r="M59" s="2871"/>
      <c r="N59" s="2871"/>
      <c r="O59" s="2871"/>
      <c r="P59" s="2871"/>
      <c r="Q59" s="2871"/>
      <c r="R59" s="2871"/>
      <c r="S59" s="2905"/>
      <c r="T59" s="2905"/>
      <c r="U59" s="2905"/>
      <c r="V59" s="2905"/>
      <c r="W59" s="2871"/>
      <c r="X59" s="2871"/>
      <c r="Y59" s="2871"/>
      <c r="Z59" s="2871"/>
      <c r="AA59" s="2871"/>
      <c r="AB59" s="2871"/>
      <c r="AC59" s="2871"/>
      <c r="AD59" s="2871"/>
      <c r="AE59" s="2871"/>
      <c r="AF59" s="2871"/>
      <c r="AG59" s="2871"/>
      <c r="AH59" s="2871"/>
      <c r="AI59" s="2871"/>
      <c r="AJ59" s="2871"/>
      <c r="AK59" s="3026"/>
      <c r="AL59" s="2717"/>
      <c r="AM59" s="3027"/>
      <c r="AN59" s="3028"/>
      <c r="AO59" s="3028"/>
      <c r="AP59" s="3039"/>
      <c r="AQ59" s="3039"/>
      <c r="AR59" s="3039">
        <f>V30</f>
        <v>12</v>
      </c>
      <c r="AS59" s="3100"/>
      <c r="AT59" s="2717"/>
      <c r="AU59" s="3094"/>
      <c r="AV59" s="3093"/>
      <c r="AW59" s="3093"/>
      <c r="AX59" s="3093"/>
      <c r="AY59" s="3093"/>
      <c r="AZ59" s="3093"/>
      <c r="BA59" s="3093"/>
      <c r="BB59" s="3093"/>
      <c r="BC59" s="3093"/>
      <c r="BD59" s="3093"/>
      <c r="BE59" s="3093"/>
      <c r="BF59" s="3093"/>
      <c r="BG59" s="3093"/>
      <c r="BH59" s="3093"/>
      <c r="BI59" s="3093"/>
      <c r="BJ59" s="3093"/>
      <c r="BK59" s="3093"/>
      <c r="BL59" s="3093"/>
      <c r="BM59" s="3093"/>
      <c r="BN59" s="3093"/>
      <c r="BO59" s="3093"/>
      <c r="BP59" s="3093"/>
      <c r="BQ59" s="3093"/>
      <c r="BR59" s="3145"/>
    </row>
    <row r="60" customHeight="1" spans="1:70">
      <c r="A60" s="2717"/>
      <c r="B60" s="2772"/>
      <c r="C60" s="2772"/>
      <c r="D60" s="2772"/>
      <c r="E60" s="2772"/>
      <c r="F60" s="2772"/>
      <c r="G60" s="2772"/>
      <c r="H60" s="2772"/>
      <c r="I60" s="2772"/>
      <c r="J60" s="2772"/>
      <c r="K60" s="2772"/>
      <c r="L60" s="2772"/>
      <c r="M60" s="2772"/>
      <c r="N60" s="2772"/>
      <c r="O60" s="2772"/>
      <c r="P60" s="2772"/>
      <c r="Q60" s="2772"/>
      <c r="R60" s="2772"/>
      <c r="S60" s="2717"/>
      <c r="T60" s="2717"/>
      <c r="U60" s="2717"/>
      <c r="V60" s="2717"/>
      <c r="W60" s="2717"/>
      <c r="X60" s="2717"/>
      <c r="Y60" s="2717"/>
      <c r="Z60" s="2717"/>
      <c r="AA60" s="2717"/>
      <c r="AB60" s="2717"/>
      <c r="AC60" s="2717"/>
      <c r="AD60" s="2717"/>
      <c r="AE60" s="2717"/>
      <c r="AF60" s="2717"/>
      <c r="AG60" s="2717"/>
      <c r="AH60" s="3001"/>
      <c r="AI60" s="2717"/>
      <c r="AJ60" s="2717"/>
      <c r="AK60" s="2717"/>
      <c r="AL60" s="2717"/>
      <c r="AM60" s="2717"/>
      <c r="AN60" s="2717"/>
      <c r="AO60" s="2717"/>
      <c r="AP60" s="2717"/>
      <c r="AQ60" s="2717"/>
      <c r="AR60" s="2717"/>
      <c r="AS60" s="2717"/>
      <c r="AT60" s="2717"/>
      <c r="AU60" s="3094"/>
      <c r="AV60" s="3093"/>
      <c r="AW60" s="3093"/>
      <c r="AX60" s="3093"/>
      <c r="AY60" s="3093"/>
      <c r="AZ60" s="3093"/>
      <c r="BA60" s="3093"/>
      <c r="BB60" s="3093"/>
      <c r="BC60" s="3093"/>
      <c r="BD60" s="3093"/>
      <c r="BE60" s="3093"/>
      <c r="BF60" s="3093"/>
      <c r="BG60" s="3093"/>
      <c r="BH60" s="3093"/>
      <c r="BI60" s="3093"/>
      <c r="BJ60" s="3093"/>
      <c r="BK60" s="3093"/>
      <c r="BL60" s="3093"/>
      <c r="BM60" s="3093"/>
      <c r="BN60" s="3093"/>
      <c r="BO60" s="3093"/>
      <c r="BP60" s="3093"/>
      <c r="BQ60" s="3093"/>
      <c r="BR60" s="3145"/>
    </row>
    <row r="61" customHeight="1" spans="1:70">
      <c r="A61" s="2717"/>
      <c r="B61" s="2773" t="s">
        <v>186</v>
      </c>
      <c r="C61" s="2774"/>
      <c r="D61" s="2774"/>
      <c r="E61" s="2774"/>
      <c r="F61" s="2774"/>
      <c r="G61" s="2774"/>
      <c r="H61" s="2774"/>
      <c r="I61" s="2774"/>
      <c r="J61" s="2774"/>
      <c r="K61" s="2774"/>
      <c r="L61" s="2774"/>
      <c r="M61" s="2774"/>
      <c r="N61" s="2774"/>
      <c r="O61" s="2774"/>
      <c r="P61" s="2774"/>
      <c r="Q61" s="2774"/>
      <c r="R61" s="2774"/>
      <c r="S61" s="2774"/>
      <c r="T61" s="2774"/>
      <c r="U61" s="2918"/>
      <c r="V61" s="2717"/>
      <c r="W61" s="2773" t="s">
        <v>187</v>
      </c>
      <c r="X61" s="2774"/>
      <c r="Y61" s="2774"/>
      <c r="Z61" s="2774"/>
      <c r="AA61" s="2774"/>
      <c r="AB61" s="2774"/>
      <c r="AC61" s="2774"/>
      <c r="AD61" s="2774"/>
      <c r="AE61" s="2774"/>
      <c r="AF61" s="2774"/>
      <c r="AG61" s="2774"/>
      <c r="AH61" s="2774"/>
      <c r="AI61" s="2774"/>
      <c r="AJ61" s="2774"/>
      <c r="AK61" s="2774"/>
      <c r="AL61" s="2774"/>
      <c r="AM61" s="2774"/>
      <c r="AN61" s="2774"/>
      <c r="AO61" s="2774"/>
      <c r="AP61" s="2774"/>
      <c r="AQ61" s="2774"/>
      <c r="AR61" s="2774"/>
      <c r="AS61" s="2918"/>
      <c r="AT61" s="2717"/>
      <c r="AU61" s="3094"/>
      <c r="AV61" s="3093"/>
      <c r="AW61" s="3093"/>
      <c r="AX61" s="3093"/>
      <c r="AY61" s="3093"/>
      <c r="AZ61" s="3093"/>
      <c r="BA61" s="3093"/>
      <c r="BB61" s="3093"/>
      <c r="BC61" s="3093"/>
      <c r="BD61" s="3093"/>
      <c r="BE61" s="3093"/>
      <c r="BF61" s="3093"/>
      <c r="BG61" s="3093"/>
      <c r="BH61" s="3093"/>
      <c r="BI61" s="3093"/>
      <c r="BJ61" s="3093"/>
      <c r="BK61" s="3093"/>
      <c r="BL61" s="3093"/>
      <c r="BM61" s="3093"/>
      <c r="BN61" s="3093"/>
      <c r="BO61" s="3093"/>
      <c r="BP61" s="3093"/>
      <c r="BQ61" s="3093"/>
      <c r="BR61" s="3145"/>
    </row>
    <row r="62" customHeight="1" spans="1:70">
      <c r="A62" s="2717"/>
      <c r="B62" s="2775" t="s">
        <v>102</v>
      </c>
      <c r="C62" s="2776"/>
      <c r="D62" s="2776"/>
      <c r="E62" s="2776"/>
      <c r="F62" s="2818" t="s">
        <v>188</v>
      </c>
      <c r="G62" s="2776"/>
      <c r="H62" s="2776"/>
      <c r="I62" s="2818" t="s">
        <v>189</v>
      </c>
      <c r="J62" s="2776"/>
      <c r="K62" s="2776"/>
      <c r="L62" s="2818" t="s">
        <v>190</v>
      </c>
      <c r="M62" s="2776"/>
      <c r="N62" s="2776"/>
      <c r="O62" s="2818" t="s">
        <v>191</v>
      </c>
      <c r="P62" s="2776"/>
      <c r="Q62" s="2776"/>
      <c r="R62" s="2776"/>
      <c r="S62" s="2818" t="s">
        <v>192</v>
      </c>
      <c r="T62" s="2776"/>
      <c r="U62" s="2919"/>
      <c r="V62" s="2717"/>
      <c r="W62" s="2920" t="s">
        <v>193</v>
      </c>
      <c r="X62" s="2921"/>
      <c r="Y62" s="2921"/>
      <c r="Z62" s="2921"/>
      <c r="AA62" s="2850" t="s">
        <v>194</v>
      </c>
      <c r="AB62" s="2851"/>
      <c r="AC62" s="2851"/>
      <c r="AD62" s="2851"/>
      <c r="AE62" s="2851"/>
      <c r="AF62" s="2851"/>
      <c r="AG62" s="2851"/>
      <c r="AH62" s="2851"/>
      <c r="AI62" s="2851"/>
      <c r="AJ62" s="2851"/>
      <c r="AK62" s="2851"/>
      <c r="AL62" s="2851"/>
      <c r="AM62" s="2851"/>
      <c r="AN62" s="2851"/>
      <c r="AO62" s="2851"/>
      <c r="AP62" s="2851"/>
      <c r="AQ62" s="2851"/>
      <c r="AR62" s="3036" t="s">
        <v>195</v>
      </c>
      <c r="AS62" s="3098"/>
      <c r="AT62" s="2717"/>
      <c r="AU62" s="3094"/>
      <c r="AV62" s="3093"/>
      <c r="AW62" s="3093"/>
      <c r="AX62" s="3093"/>
      <c r="AY62" s="3093"/>
      <c r="AZ62" s="3093"/>
      <c r="BA62" s="3093"/>
      <c r="BB62" s="3093"/>
      <c r="BC62" s="3093"/>
      <c r="BD62" s="3093"/>
      <c r="BE62" s="3093"/>
      <c r="BF62" s="3093"/>
      <c r="BG62" s="3093"/>
      <c r="BH62" s="3093"/>
      <c r="BI62" s="3093"/>
      <c r="BJ62" s="3093"/>
      <c r="BK62" s="3093"/>
      <c r="BL62" s="3093"/>
      <c r="BM62" s="3093"/>
      <c r="BN62" s="3093"/>
      <c r="BO62" s="3093"/>
      <c r="BP62" s="3093"/>
      <c r="BQ62" s="3093"/>
      <c r="BR62" s="3145"/>
    </row>
    <row r="63" customHeight="1" spans="1:70">
      <c r="A63" s="2717"/>
      <c r="B63" s="2777" t="str">
        <f>附表!Z223</f>
        <v>20%/10%/4%</v>
      </c>
      <c r="C63" s="2778"/>
      <c r="D63" s="2778"/>
      <c r="E63" s="2778"/>
      <c r="F63" s="2819" t="str">
        <f>附表!Z225</f>
        <v>标准</v>
      </c>
      <c r="G63" s="2778"/>
      <c r="H63" s="2778"/>
      <c r="I63" s="2850">
        <f>附表!AE240</f>
        <v>10</v>
      </c>
      <c r="J63" s="2851"/>
      <c r="K63" s="2851"/>
      <c r="L63" s="2850" t="str">
        <f>附表!AG240</f>
        <v>没有</v>
      </c>
      <c r="M63" s="2851"/>
      <c r="N63" s="2851"/>
      <c r="O63" s="2850">
        <f>附表!AF240</f>
        <v>10</v>
      </c>
      <c r="P63" s="2851"/>
      <c r="Q63" s="2851"/>
      <c r="R63" s="2851"/>
      <c r="S63" s="2850" t="s">
        <v>196</v>
      </c>
      <c r="T63" s="2851"/>
      <c r="U63" s="2922"/>
      <c r="V63" s="2717"/>
      <c r="W63" s="2923"/>
      <c r="X63" s="2921"/>
      <c r="Y63" s="2921"/>
      <c r="Z63" s="2921"/>
      <c r="AA63" s="2851"/>
      <c r="AB63" s="2851"/>
      <c r="AC63" s="2851"/>
      <c r="AD63" s="2851"/>
      <c r="AE63" s="2851"/>
      <c r="AF63" s="2851"/>
      <c r="AG63" s="2851"/>
      <c r="AH63" s="2851"/>
      <c r="AI63" s="2851"/>
      <c r="AJ63" s="2851"/>
      <c r="AK63" s="2851"/>
      <c r="AL63" s="2851"/>
      <c r="AM63" s="2851"/>
      <c r="AN63" s="2851"/>
      <c r="AO63" s="2851"/>
      <c r="AP63" s="2851"/>
      <c r="AQ63" s="2851"/>
      <c r="AR63" s="3037"/>
      <c r="AS63" s="3098"/>
      <c r="AT63" s="2717"/>
      <c r="AU63" s="3090" t="str">
        <f>IF(附表!AE22="仅显示1890~2012","时代介绍仅显示1890~2012这段时间","时代介绍")</f>
        <v>时代介绍</v>
      </c>
      <c r="AV63" s="3091"/>
      <c r="AW63" s="3091"/>
      <c r="AX63" s="3091"/>
      <c r="AY63" s="3091"/>
      <c r="AZ63" s="3091"/>
      <c r="BA63" s="3091"/>
      <c r="BB63" s="3091"/>
      <c r="BC63" s="3091"/>
      <c r="BD63" s="3091"/>
      <c r="BE63" s="3091"/>
      <c r="BF63" s="3091"/>
      <c r="BG63" s="3091"/>
      <c r="BH63" s="3091"/>
      <c r="BI63" s="3091"/>
      <c r="BJ63" s="3091"/>
      <c r="BK63" s="3091"/>
      <c r="BL63" s="3091"/>
      <c r="BM63" s="3091"/>
      <c r="BN63" s="3091"/>
      <c r="BO63" s="3091"/>
      <c r="BP63" s="3091"/>
      <c r="BQ63" s="3091"/>
      <c r="BR63" s="3144"/>
    </row>
    <row r="64" customHeight="1" spans="1:70">
      <c r="A64" s="2717"/>
      <c r="B64" s="2779" t="str">
        <f>IF(R27&lt;=0,"连贫穷都够不上的人才能够叫做身无分文。住所：大概只有睡大街。旅行：步行，扒车或逃票上火车轮船。",IF(R27&lt;=9,"刚好买得起最廉价的屋顶，每天能够吃到一餐廉价食物住所：最最最廉价的出租屋或睡袋旅馆。旅行：最便宜的公众运输方式。反正只要赶便宜就对了，与之相伴的是不可靠。",IF(R27&lt;=49,"舒适的生活水平，一日三餐，偶尔下馆子。住所：普通的家或公寓，并关租赁还是自购。外出住普通的旅馆。旅行：会使用普通的旅行方式，不会用最高级。在现代来看，大概会有一辆自己的小车。",IF(R27&lt;=89,"小康级别已经可以享受奢侈品的舒适了。住所：真材实料的住地，也许会有一些仆人（管家，主妇，清洁工，园丁，等等）。乡下估计还有小别墅。会住昂贵的宾馆。旅行：头等舱。会买高档车或同等的交通工具。",IF(R27&lt;=98,"富裕级别就是享受超级奢侈品的时候了。住所：豪华住所和有着大量仆人的庭院。乡下和别处有着别墅是定番。住总统套房。旅行：头等舱。现代社会估摸还会有很多豪车。",IF(R27&gt;=99,"与富裕差不多，但钱已经只是一个代号了。你将是世纪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C64" s="2780"/>
      <c r="D64" s="2780"/>
      <c r="E64" s="2780"/>
      <c r="F64" s="2780"/>
      <c r="G64" s="2780"/>
      <c r="H64" s="2780"/>
      <c r="I64" s="2780"/>
      <c r="J64" s="2780"/>
      <c r="K64" s="2780"/>
      <c r="L64" s="2852" t="s">
        <v>197</v>
      </c>
      <c r="M64" s="2852"/>
      <c r="N64" s="2852"/>
      <c r="O64" s="2852"/>
      <c r="P64" s="2852"/>
      <c r="Q64" s="2852"/>
      <c r="R64" s="2852"/>
      <c r="S64" s="2852"/>
      <c r="T64" s="2852"/>
      <c r="U64" s="2924"/>
      <c r="V64" s="2717"/>
      <c r="W64" s="2925" t="s">
        <v>198</v>
      </c>
      <c r="X64" s="2926"/>
      <c r="Y64" s="2926"/>
      <c r="Z64" s="2926"/>
      <c r="AA64" s="2951" t="s">
        <v>199</v>
      </c>
      <c r="AB64" s="2951"/>
      <c r="AC64" s="2951"/>
      <c r="AD64" s="2951"/>
      <c r="AE64" s="2951"/>
      <c r="AF64" s="2951"/>
      <c r="AG64" s="2951"/>
      <c r="AH64" s="2951"/>
      <c r="AI64" s="2951"/>
      <c r="AJ64" s="2951"/>
      <c r="AK64" s="2951"/>
      <c r="AL64" s="2951"/>
      <c r="AM64" s="2951"/>
      <c r="AN64" s="2951"/>
      <c r="AO64" s="2951"/>
      <c r="AP64" s="2951"/>
      <c r="AQ64" s="2951"/>
      <c r="AR64" s="3040" t="s">
        <v>200</v>
      </c>
      <c r="AS64" s="3101"/>
      <c r="AT64" s="2717"/>
      <c r="AU64" s="3102" t="s">
        <v>201</v>
      </c>
      <c r="AV64" s="3103"/>
      <c r="AW64" s="3103"/>
      <c r="AX64" s="3103"/>
      <c r="AY64" s="3103"/>
      <c r="AZ64" s="3105" t="s">
        <v>202</v>
      </c>
      <c r="BA64" s="3103"/>
      <c r="BB64" s="3103"/>
      <c r="BC64" s="3103"/>
      <c r="BD64" s="3103"/>
      <c r="BE64" s="3103"/>
      <c r="BF64" s="3105" t="s">
        <v>203</v>
      </c>
      <c r="BG64" s="3103"/>
      <c r="BH64" s="3103"/>
      <c r="BI64" s="3103"/>
      <c r="BJ64" s="3103"/>
      <c r="BK64" s="3103"/>
      <c r="BL64" s="3105" t="s">
        <v>201</v>
      </c>
      <c r="BM64" s="3103"/>
      <c r="BN64" s="3103"/>
      <c r="BO64" s="3103"/>
      <c r="BP64" s="3103"/>
      <c r="BQ64" s="3103"/>
      <c r="BR64" s="3146"/>
    </row>
    <row r="65" customHeight="1" spans="1:70">
      <c r="A65" s="2717"/>
      <c r="B65" s="2779"/>
      <c r="C65" s="2780"/>
      <c r="D65" s="2780"/>
      <c r="E65" s="2780"/>
      <c r="F65" s="2780"/>
      <c r="G65" s="2780"/>
      <c r="H65" s="2780"/>
      <c r="I65" s="2780"/>
      <c r="J65" s="2780"/>
      <c r="K65" s="2780"/>
      <c r="L65" s="2852"/>
      <c r="M65" s="2852"/>
      <c r="N65" s="2852"/>
      <c r="O65" s="2852"/>
      <c r="P65" s="2852"/>
      <c r="Q65" s="2852"/>
      <c r="R65" s="2852"/>
      <c r="S65" s="2852"/>
      <c r="T65" s="2852"/>
      <c r="U65" s="2924"/>
      <c r="V65" s="2717"/>
      <c r="W65" s="2925"/>
      <c r="X65" s="2926"/>
      <c r="Y65" s="2926"/>
      <c r="Z65" s="2926"/>
      <c r="AA65" s="2951"/>
      <c r="AB65" s="2951"/>
      <c r="AC65" s="2951"/>
      <c r="AD65" s="2951"/>
      <c r="AE65" s="2951"/>
      <c r="AF65" s="2951"/>
      <c r="AG65" s="2951"/>
      <c r="AH65" s="2951"/>
      <c r="AI65" s="2951"/>
      <c r="AJ65" s="2951"/>
      <c r="AK65" s="2951"/>
      <c r="AL65" s="2951"/>
      <c r="AM65" s="2951"/>
      <c r="AN65" s="2951"/>
      <c r="AO65" s="2951"/>
      <c r="AP65" s="2951"/>
      <c r="AQ65" s="2951"/>
      <c r="AR65" s="3040"/>
      <c r="AS65" s="3101"/>
      <c r="AT65" s="2717"/>
      <c r="AU65" s="3326" t="str">
        <f>IF(E8="公元","A.C."&amp;G8,"B.C."&amp;G8)</f>
        <v>A.C.2023</v>
      </c>
      <c r="AV65" s="3327"/>
      <c r="AW65" s="3327"/>
      <c r="AX65" s="3327"/>
      <c r="AY65" s="3327"/>
      <c r="AZ65" s="3353" t="str">
        <f>附表!AF22</f>
        <v>——</v>
      </c>
      <c r="BA65" s="3355"/>
      <c r="BB65" s="3355"/>
      <c r="BC65" s="3355"/>
      <c r="BD65" s="3355"/>
      <c r="BE65" s="3355"/>
      <c r="BF65" s="3353" t="str">
        <f>附表!AI22</f>
        <v>——</v>
      </c>
      <c r="BG65" s="3355"/>
      <c r="BH65" s="3355"/>
      <c r="BI65" s="3355"/>
      <c r="BJ65" s="3355"/>
      <c r="BK65" s="3355"/>
      <c r="BL65" s="3356" t="str">
        <f>附表!AL22</f>
        <v>二十一世纪 二十年代</v>
      </c>
      <c r="BM65" s="3357"/>
      <c r="BN65" s="3357"/>
      <c r="BO65" s="3357"/>
      <c r="BP65" s="3357"/>
      <c r="BQ65" s="3357"/>
      <c r="BR65" s="3358"/>
    </row>
    <row r="66" customHeight="1" spans="1:70">
      <c r="A66" s="2717"/>
      <c r="B66" s="2779"/>
      <c r="C66" s="2780"/>
      <c r="D66" s="2780"/>
      <c r="E66" s="2780"/>
      <c r="F66" s="2780"/>
      <c r="G66" s="2780"/>
      <c r="H66" s="2780"/>
      <c r="I66" s="2780"/>
      <c r="J66" s="2780"/>
      <c r="K66" s="2780"/>
      <c r="L66" s="2852"/>
      <c r="M66" s="2852"/>
      <c r="N66" s="2852"/>
      <c r="O66" s="2852"/>
      <c r="P66" s="2852"/>
      <c r="Q66" s="2852"/>
      <c r="R66" s="2852"/>
      <c r="S66" s="2852"/>
      <c r="T66" s="2852"/>
      <c r="U66" s="2924"/>
      <c r="V66" s="2717"/>
      <c r="W66" s="2920" t="s">
        <v>204</v>
      </c>
      <c r="X66" s="2921"/>
      <c r="Y66" s="2921"/>
      <c r="Z66" s="2921"/>
      <c r="AA66" s="2850" t="s">
        <v>205</v>
      </c>
      <c r="AB66" s="2851"/>
      <c r="AC66" s="2851"/>
      <c r="AD66" s="2851"/>
      <c r="AE66" s="2851"/>
      <c r="AF66" s="2851"/>
      <c r="AG66" s="2851"/>
      <c r="AH66" s="2851"/>
      <c r="AI66" s="2851"/>
      <c r="AJ66" s="2851"/>
      <c r="AK66" s="2851"/>
      <c r="AL66" s="2851"/>
      <c r="AM66" s="2851"/>
      <c r="AN66" s="2851"/>
      <c r="AO66" s="2851"/>
      <c r="AP66" s="2851"/>
      <c r="AQ66" s="2851"/>
      <c r="AR66" s="3315" t="s">
        <v>200</v>
      </c>
      <c r="AS66" s="3328"/>
      <c r="AT66" s="2717"/>
      <c r="AU66" s="3326"/>
      <c r="AV66" s="3327"/>
      <c r="AW66" s="3327"/>
      <c r="AX66" s="3327"/>
      <c r="AY66" s="3327"/>
      <c r="AZ66" s="3354">
        <f>附表!AG22</f>
        <v>0</v>
      </c>
      <c r="BA66" s="3354"/>
      <c r="BB66" s="3354"/>
      <c r="BC66" s="3354"/>
      <c r="BD66" s="3354"/>
      <c r="BE66" s="3354"/>
      <c r="BF66" s="3354">
        <f>附表!AJ22</f>
        <v>0</v>
      </c>
      <c r="BG66" s="3354"/>
      <c r="BH66" s="3354"/>
      <c r="BI66" s="3354"/>
      <c r="BJ66" s="3354"/>
      <c r="BK66" s="3354"/>
      <c r="BL66" s="3354" t="str">
        <f>附表!AM22</f>
        <v>癸卯兔年</v>
      </c>
      <c r="BM66" s="3354"/>
      <c r="BN66" s="3354"/>
      <c r="BO66" s="3354"/>
      <c r="BP66" s="3354"/>
      <c r="BQ66" s="3354"/>
      <c r="BR66" s="3359"/>
    </row>
    <row r="67" customHeight="1" spans="1:70">
      <c r="A67" s="2717"/>
      <c r="B67" s="2779"/>
      <c r="C67" s="2780"/>
      <c r="D67" s="2780"/>
      <c r="E67" s="2780"/>
      <c r="F67" s="2780"/>
      <c r="G67" s="2780"/>
      <c r="H67" s="2780"/>
      <c r="I67" s="2780"/>
      <c r="J67" s="2780"/>
      <c r="K67" s="2780"/>
      <c r="L67" s="2852"/>
      <c r="M67" s="2852"/>
      <c r="N67" s="2852"/>
      <c r="O67" s="2852"/>
      <c r="P67" s="2852"/>
      <c r="Q67" s="2852"/>
      <c r="R67" s="2852"/>
      <c r="S67" s="2852"/>
      <c r="T67" s="2852"/>
      <c r="U67" s="2924"/>
      <c r="V67" s="2717"/>
      <c r="W67" s="2923"/>
      <c r="X67" s="2921"/>
      <c r="Y67" s="2921"/>
      <c r="Z67" s="2921"/>
      <c r="AA67" s="2851"/>
      <c r="AB67" s="2851"/>
      <c r="AC67" s="2851"/>
      <c r="AD67" s="2851"/>
      <c r="AE67" s="2851"/>
      <c r="AF67" s="2851"/>
      <c r="AG67" s="2851"/>
      <c r="AH67" s="2851"/>
      <c r="AI67" s="2851"/>
      <c r="AJ67" s="2851"/>
      <c r="AK67" s="2851"/>
      <c r="AL67" s="2851"/>
      <c r="AM67" s="2851"/>
      <c r="AN67" s="2851"/>
      <c r="AO67" s="2851"/>
      <c r="AP67" s="2851"/>
      <c r="AQ67" s="2851"/>
      <c r="AR67" s="3316"/>
      <c r="AS67" s="3328"/>
      <c r="AT67" s="2717"/>
      <c r="AU67" s="3326"/>
      <c r="AV67" s="3327"/>
      <c r="AW67" s="3327"/>
      <c r="AX67" s="3327"/>
      <c r="AY67" s="3327"/>
      <c r="AZ67" s="3353">
        <f>附表!AH22</f>
        <v>0</v>
      </c>
      <c r="BA67" s="3355"/>
      <c r="BB67" s="3355"/>
      <c r="BC67" s="3355"/>
      <c r="BD67" s="3355"/>
      <c r="BE67" s="3355"/>
      <c r="BF67" s="3353">
        <f>附表!AK22</f>
        <v>0</v>
      </c>
      <c r="BG67" s="3355"/>
      <c r="BH67" s="3355"/>
      <c r="BI67" s="3355"/>
      <c r="BJ67" s="3355"/>
      <c r="BK67" s="3355"/>
      <c r="BL67" s="3353" t="str">
        <f>附表!AN22</f>
        <v>中华人民共和国74周年</v>
      </c>
      <c r="BM67" s="3355"/>
      <c r="BN67" s="3355"/>
      <c r="BO67" s="3355"/>
      <c r="BP67" s="3355"/>
      <c r="BQ67" s="3355"/>
      <c r="BR67" s="3360"/>
    </row>
    <row r="68" customHeight="1" spans="1:70">
      <c r="A68" s="2717"/>
      <c r="B68" s="2779"/>
      <c r="C68" s="2780"/>
      <c r="D68" s="2780"/>
      <c r="E68" s="2780"/>
      <c r="F68" s="2780"/>
      <c r="G68" s="2780"/>
      <c r="H68" s="2780"/>
      <c r="I68" s="2780"/>
      <c r="J68" s="2780"/>
      <c r="K68" s="2780"/>
      <c r="L68" s="2852"/>
      <c r="M68" s="2852"/>
      <c r="N68" s="2852"/>
      <c r="O68" s="2852"/>
      <c r="P68" s="2852"/>
      <c r="Q68" s="2852"/>
      <c r="R68" s="2852"/>
      <c r="S68" s="2852"/>
      <c r="T68" s="2852"/>
      <c r="U68" s="2924"/>
      <c r="V68" s="2717"/>
      <c r="W68" s="2925" t="s">
        <v>206</v>
      </c>
      <c r="X68" s="2926"/>
      <c r="Y68" s="2926"/>
      <c r="Z68" s="2926"/>
      <c r="AA68" s="2951" t="s">
        <v>207</v>
      </c>
      <c r="AB68" s="2951"/>
      <c r="AC68" s="2951"/>
      <c r="AD68" s="2951"/>
      <c r="AE68" s="2951"/>
      <c r="AF68" s="2951"/>
      <c r="AG68" s="2951"/>
      <c r="AH68" s="2951"/>
      <c r="AI68" s="2951"/>
      <c r="AJ68" s="2951"/>
      <c r="AK68" s="2951"/>
      <c r="AL68" s="2951"/>
      <c r="AM68" s="2951"/>
      <c r="AN68" s="2951"/>
      <c r="AO68" s="2951"/>
      <c r="AP68" s="2951"/>
      <c r="AQ68" s="2951"/>
      <c r="AR68" s="3040" t="s">
        <v>200</v>
      </c>
      <c r="AS68" s="3101"/>
      <c r="AT68" s="2717"/>
      <c r="AU68" s="3329" t="s">
        <v>208</v>
      </c>
      <c r="AV68" s="3330"/>
      <c r="AW68" s="3330"/>
      <c r="AX68" s="3330"/>
      <c r="AY68" s="3330"/>
      <c r="AZ68" s="3330"/>
      <c r="BA68" s="3330"/>
      <c r="BB68" s="3330"/>
      <c r="BC68" s="3330"/>
      <c r="BD68" s="3330"/>
      <c r="BE68" s="3330"/>
      <c r="BF68" s="3330"/>
      <c r="BG68" s="3330"/>
      <c r="BH68" s="3330"/>
      <c r="BI68" s="3330"/>
      <c r="BJ68" s="3330"/>
      <c r="BK68" s="3330"/>
      <c r="BL68" s="3330"/>
      <c r="BM68" s="3330"/>
      <c r="BN68" s="3330"/>
      <c r="BO68" s="3330"/>
      <c r="BP68" s="3330"/>
      <c r="BQ68" s="3330"/>
      <c r="BR68" s="3361"/>
    </row>
    <row r="69" customHeight="1" spans="1:70">
      <c r="A69" s="2717"/>
      <c r="B69" s="3150" t="s">
        <v>209</v>
      </c>
      <c r="C69" s="3151"/>
      <c r="D69" s="3151"/>
      <c r="E69" s="3151"/>
      <c r="F69" s="3151"/>
      <c r="G69" s="3151"/>
      <c r="H69" s="3151"/>
      <c r="I69" s="3151"/>
      <c r="J69" s="3151"/>
      <c r="K69" s="3151"/>
      <c r="L69" s="3151"/>
      <c r="M69" s="3151"/>
      <c r="N69" s="3151"/>
      <c r="O69" s="3151"/>
      <c r="P69" s="3151"/>
      <c r="Q69" s="3151"/>
      <c r="R69" s="3151"/>
      <c r="S69" s="3151"/>
      <c r="T69" s="3151"/>
      <c r="U69" s="3227"/>
      <c r="V69" s="2717"/>
      <c r="W69" s="2925"/>
      <c r="X69" s="2926"/>
      <c r="Y69" s="2926"/>
      <c r="Z69" s="2926"/>
      <c r="AA69" s="2951"/>
      <c r="AB69" s="2951"/>
      <c r="AC69" s="2951"/>
      <c r="AD69" s="2951"/>
      <c r="AE69" s="2951"/>
      <c r="AF69" s="2951"/>
      <c r="AG69" s="2951"/>
      <c r="AH69" s="2951"/>
      <c r="AI69" s="2951"/>
      <c r="AJ69" s="2951"/>
      <c r="AK69" s="2951"/>
      <c r="AL69" s="2951"/>
      <c r="AM69" s="2951"/>
      <c r="AN69" s="2951"/>
      <c r="AO69" s="2951"/>
      <c r="AP69" s="2951"/>
      <c r="AQ69" s="2951"/>
      <c r="AR69" s="3040"/>
      <c r="AS69" s="3101"/>
      <c r="AT69" s="2717"/>
      <c r="AU69" s="3331">
        <f>附表!AO22</f>
        <v>0</v>
      </c>
      <c r="AV69" s="3332"/>
      <c r="AW69" s="3332"/>
      <c r="AX69" s="3332"/>
      <c r="AY69" s="3332"/>
      <c r="AZ69" s="3332"/>
      <c r="BA69" s="3332"/>
      <c r="BB69" s="3332"/>
      <c r="BC69" s="3332"/>
      <c r="BD69" s="3332"/>
      <c r="BE69" s="3332"/>
      <c r="BF69" s="3332"/>
      <c r="BG69" s="3332"/>
      <c r="BH69" s="3332"/>
      <c r="BI69" s="3332"/>
      <c r="BJ69" s="3332"/>
      <c r="BK69" s="3332"/>
      <c r="BL69" s="3332"/>
      <c r="BM69" s="3332"/>
      <c r="BN69" s="3332"/>
      <c r="BO69" s="3332"/>
      <c r="BP69" s="3332"/>
      <c r="BQ69" s="3332"/>
      <c r="BR69" s="3362"/>
    </row>
    <row r="70" customHeight="1" spans="1:70">
      <c r="A70" s="2717"/>
      <c r="B70" s="3152" t="s">
        <v>210</v>
      </c>
      <c r="C70" s="3153"/>
      <c r="D70" s="3153"/>
      <c r="E70" s="3153"/>
      <c r="F70" s="3194" t="s">
        <v>211</v>
      </c>
      <c r="G70" s="3153"/>
      <c r="H70" s="3153"/>
      <c r="I70" s="3153"/>
      <c r="J70" s="3194" t="s">
        <v>212</v>
      </c>
      <c r="K70" s="3153"/>
      <c r="L70" s="3153"/>
      <c r="M70" s="3153"/>
      <c r="N70" s="3194" t="s">
        <v>213</v>
      </c>
      <c r="O70" s="3153"/>
      <c r="P70" s="3153"/>
      <c r="Q70" s="3153"/>
      <c r="R70" s="3194" t="s">
        <v>214</v>
      </c>
      <c r="S70" s="3153"/>
      <c r="T70" s="3153"/>
      <c r="U70" s="3228"/>
      <c r="V70" s="2717"/>
      <c r="W70" s="2920" t="s">
        <v>215</v>
      </c>
      <c r="X70" s="2921"/>
      <c r="Y70" s="2921"/>
      <c r="Z70" s="2921"/>
      <c r="AA70" s="2850" t="s">
        <v>216</v>
      </c>
      <c r="AB70" s="2851"/>
      <c r="AC70" s="2851"/>
      <c r="AD70" s="2851"/>
      <c r="AE70" s="2851"/>
      <c r="AF70" s="2851"/>
      <c r="AG70" s="2851"/>
      <c r="AH70" s="2851"/>
      <c r="AI70" s="2851"/>
      <c r="AJ70" s="2851"/>
      <c r="AK70" s="2851"/>
      <c r="AL70" s="2851"/>
      <c r="AM70" s="2851"/>
      <c r="AN70" s="2851"/>
      <c r="AO70" s="2851"/>
      <c r="AP70" s="2851"/>
      <c r="AQ70" s="2851"/>
      <c r="AR70" s="3315" t="s">
        <v>200</v>
      </c>
      <c r="AS70" s="3328"/>
      <c r="AT70" s="2717"/>
      <c r="AU70" s="3333"/>
      <c r="AV70" s="3332"/>
      <c r="AW70" s="3332"/>
      <c r="AX70" s="3332"/>
      <c r="AY70" s="3332"/>
      <c r="AZ70" s="3332"/>
      <c r="BA70" s="3332"/>
      <c r="BB70" s="3332"/>
      <c r="BC70" s="3332"/>
      <c r="BD70" s="3332"/>
      <c r="BE70" s="3332"/>
      <c r="BF70" s="3332"/>
      <c r="BG70" s="3332"/>
      <c r="BH70" s="3332"/>
      <c r="BI70" s="3332"/>
      <c r="BJ70" s="3332"/>
      <c r="BK70" s="3332"/>
      <c r="BL70" s="3332"/>
      <c r="BM70" s="3332"/>
      <c r="BN70" s="3332"/>
      <c r="BO70" s="3332"/>
      <c r="BP70" s="3332"/>
      <c r="BQ70" s="3332"/>
      <c r="BR70" s="3362"/>
    </row>
    <row r="71" customHeight="1" spans="1:70">
      <c r="A71" s="2717"/>
      <c r="B71" s="3154"/>
      <c r="C71" s="3155"/>
      <c r="D71" s="3155"/>
      <c r="E71" s="3155"/>
      <c r="F71" s="3155"/>
      <c r="G71" s="3155"/>
      <c r="H71" s="3155"/>
      <c r="I71" s="3155"/>
      <c r="J71" s="3155" t="s">
        <v>217</v>
      </c>
      <c r="K71" s="3155"/>
      <c r="L71" s="3155"/>
      <c r="M71" s="3155"/>
      <c r="N71" s="3155"/>
      <c r="O71" s="3155"/>
      <c r="P71" s="3155"/>
      <c r="Q71" s="3155"/>
      <c r="R71" s="3225"/>
      <c r="S71" s="3225"/>
      <c r="T71" s="3225"/>
      <c r="U71" s="3229"/>
      <c r="V71" s="2717"/>
      <c r="W71" s="2923"/>
      <c r="X71" s="2921"/>
      <c r="Y71" s="2921"/>
      <c r="Z71" s="2921"/>
      <c r="AA71" s="2851"/>
      <c r="AB71" s="2851"/>
      <c r="AC71" s="2851"/>
      <c r="AD71" s="2851"/>
      <c r="AE71" s="2851"/>
      <c r="AF71" s="2851"/>
      <c r="AG71" s="2851"/>
      <c r="AH71" s="2851"/>
      <c r="AI71" s="2851"/>
      <c r="AJ71" s="2851"/>
      <c r="AK71" s="2851"/>
      <c r="AL71" s="2851"/>
      <c r="AM71" s="2851"/>
      <c r="AN71" s="2851"/>
      <c r="AO71" s="2851"/>
      <c r="AP71" s="2851"/>
      <c r="AQ71" s="2851"/>
      <c r="AR71" s="3316"/>
      <c r="AS71" s="3328"/>
      <c r="AT71" s="2717"/>
      <c r="AU71" s="3333"/>
      <c r="AV71" s="3332"/>
      <c r="AW71" s="3332"/>
      <c r="AX71" s="3332"/>
      <c r="AY71" s="3332"/>
      <c r="AZ71" s="3332"/>
      <c r="BA71" s="3332"/>
      <c r="BB71" s="3332"/>
      <c r="BC71" s="3332"/>
      <c r="BD71" s="3332"/>
      <c r="BE71" s="3332"/>
      <c r="BF71" s="3332"/>
      <c r="BG71" s="3332"/>
      <c r="BH71" s="3332"/>
      <c r="BI71" s="3332"/>
      <c r="BJ71" s="3332"/>
      <c r="BK71" s="3332"/>
      <c r="BL71" s="3332"/>
      <c r="BM71" s="3332"/>
      <c r="BN71" s="3332"/>
      <c r="BO71" s="3332"/>
      <c r="BP71" s="3332"/>
      <c r="BQ71" s="3332"/>
      <c r="BR71" s="3362"/>
    </row>
    <row r="72" customHeight="1" spans="1:70">
      <c r="A72" s="2717"/>
      <c r="B72" s="3154"/>
      <c r="C72" s="3155"/>
      <c r="D72" s="3155"/>
      <c r="E72" s="3155"/>
      <c r="F72" s="3155"/>
      <c r="G72" s="3155"/>
      <c r="H72" s="3155"/>
      <c r="I72" s="3155"/>
      <c r="J72" s="3155"/>
      <c r="K72" s="3155"/>
      <c r="L72" s="3155"/>
      <c r="M72" s="3155"/>
      <c r="N72" s="3155"/>
      <c r="O72" s="3155"/>
      <c r="P72" s="3155"/>
      <c r="Q72" s="3155"/>
      <c r="R72" s="3225"/>
      <c r="S72" s="3225"/>
      <c r="T72" s="3225"/>
      <c r="U72" s="3229"/>
      <c r="V72" s="2717"/>
      <c r="W72" s="2925" t="s">
        <v>218</v>
      </c>
      <c r="X72" s="2926"/>
      <c r="Y72" s="2926"/>
      <c r="Z72" s="2926"/>
      <c r="AA72" s="2951" t="s">
        <v>219</v>
      </c>
      <c r="AB72" s="2951"/>
      <c r="AC72" s="2951"/>
      <c r="AD72" s="2951"/>
      <c r="AE72" s="2951"/>
      <c r="AF72" s="2951"/>
      <c r="AG72" s="2951"/>
      <c r="AH72" s="2951"/>
      <c r="AI72" s="2951"/>
      <c r="AJ72" s="2951"/>
      <c r="AK72" s="2951"/>
      <c r="AL72" s="2951"/>
      <c r="AM72" s="2951"/>
      <c r="AN72" s="2951"/>
      <c r="AO72" s="2951"/>
      <c r="AP72" s="2951"/>
      <c r="AQ72" s="2951"/>
      <c r="AR72" s="3040" t="s">
        <v>200</v>
      </c>
      <c r="AS72" s="3101"/>
      <c r="AT72" s="2717"/>
      <c r="AU72" s="3333"/>
      <c r="AV72" s="3332"/>
      <c r="AW72" s="3332"/>
      <c r="AX72" s="3332"/>
      <c r="AY72" s="3332"/>
      <c r="AZ72" s="3332"/>
      <c r="BA72" s="3332"/>
      <c r="BB72" s="3332"/>
      <c r="BC72" s="3332"/>
      <c r="BD72" s="3332"/>
      <c r="BE72" s="3332"/>
      <c r="BF72" s="3332"/>
      <c r="BG72" s="3332"/>
      <c r="BH72" s="3332"/>
      <c r="BI72" s="3332"/>
      <c r="BJ72" s="3332"/>
      <c r="BK72" s="3332"/>
      <c r="BL72" s="3332"/>
      <c r="BM72" s="3332"/>
      <c r="BN72" s="3332"/>
      <c r="BO72" s="3332"/>
      <c r="BP72" s="3332"/>
      <c r="BQ72" s="3332"/>
      <c r="BR72" s="3362"/>
    </row>
    <row r="73" customHeight="1" spans="1:70">
      <c r="A73" s="2717"/>
      <c r="B73" s="3154"/>
      <c r="C73" s="3155"/>
      <c r="D73" s="3155"/>
      <c r="E73" s="3155"/>
      <c r="F73" s="3155"/>
      <c r="G73" s="3155"/>
      <c r="H73" s="3155"/>
      <c r="I73" s="3155"/>
      <c r="J73" s="3155"/>
      <c r="K73" s="3155"/>
      <c r="L73" s="3155"/>
      <c r="M73" s="3155"/>
      <c r="N73" s="3155"/>
      <c r="O73" s="3155"/>
      <c r="P73" s="3155"/>
      <c r="Q73" s="3155"/>
      <c r="R73" s="3225"/>
      <c r="S73" s="3225"/>
      <c r="T73" s="3225"/>
      <c r="U73" s="3229"/>
      <c r="V73" s="2717"/>
      <c r="W73" s="2925"/>
      <c r="X73" s="2926"/>
      <c r="Y73" s="2926"/>
      <c r="Z73" s="2926"/>
      <c r="AA73" s="2951"/>
      <c r="AB73" s="2951"/>
      <c r="AC73" s="2951"/>
      <c r="AD73" s="2951"/>
      <c r="AE73" s="2951"/>
      <c r="AF73" s="2951"/>
      <c r="AG73" s="2951"/>
      <c r="AH73" s="2951"/>
      <c r="AI73" s="2951"/>
      <c r="AJ73" s="2951"/>
      <c r="AK73" s="2951"/>
      <c r="AL73" s="2951"/>
      <c r="AM73" s="2951"/>
      <c r="AN73" s="2951"/>
      <c r="AO73" s="2951"/>
      <c r="AP73" s="2951"/>
      <c r="AQ73" s="2951"/>
      <c r="AR73" s="3040"/>
      <c r="AS73" s="3101"/>
      <c r="AT73" s="2717"/>
      <c r="AU73" s="3333"/>
      <c r="AV73" s="3332"/>
      <c r="AW73" s="3332"/>
      <c r="AX73" s="3332"/>
      <c r="AY73" s="3332"/>
      <c r="AZ73" s="3332"/>
      <c r="BA73" s="3332"/>
      <c r="BB73" s="3332"/>
      <c r="BC73" s="3332"/>
      <c r="BD73" s="3332"/>
      <c r="BE73" s="3332"/>
      <c r="BF73" s="3332"/>
      <c r="BG73" s="3332"/>
      <c r="BH73" s="3332"/>
      <c r="BI73" s="3332"/>
      <c r="BJ73" s="3332"/>
      <c r="BK73" s="3332"/>
      <c r="BL73" s="3332"/>
      <c r="BM73" s="3332"/>
      <c r="BN73" s="3332"/>
      <c r="BO73" s="3332"/>
      <c r="BP73" s="3332"/>
      <c r="BQ73" s="3332"/>
      <c r="BR73" s="3362"/>
    </row>
    <row r="74" customHeight="1" spans="1:70">
      <c r="A74" s="2717"/>
      <c r="B74" s="3154"/>
      <c r="C74" s="3155"/>
      <c r="D74" s="3155"/>
      <c r="E74" s="3155"/>
      <c r="F74" s="3155"/>
      <c r="G74" s="3155"/>
      <c r="H74" s="3155"/>
      <c r="I74" s="3155"/>
      <c r="J74" s="3155"/>
      <c r="K74" s="3155"/>
      <c r="L74" s="3155"/>
      <c r="M74" s="3155"/>
      <c r="N74" s="3155"/>
      <c r="O74" s="3155"/>
      <c r="P74" s="3155"/>
      <c r="Q74" s="3155"/>
      <c r="R74" s="3225"/>
      <c r="S74" s="3225"/>
      <c r="T74" s="3225"/>
      <c r="U74" s="3229"/>
      <c r="V74" s="2717"/>
      <c r="W74" s="2920" t="s">
        <v>220</v>
      </c>
      <c r="X74" s="2921"/>
      <c r="Y74" s="2921"/>
      <c r="Z74" s="2921"/>
      <c r="AA74" s="2850" t="s">
        <v>221</v>
      </c>
      <c r="AB74" s="2851"/>
      <c r="AC74" s="2851"/>
      <c r="AD74" s="2851"/>
      <c r="AE74" s="2851"/>
      <c r="AF74" s="2851"/>
      <c r="AG74" s="2851"/>
      <c r="AH74" s="2851"/>
      <c r="AI74" s="2851"/>
      <c r="AJ74" s="2851"/>
      <c r="AK74" s="2851"/>
      <c r="AL74" s="2851"/>
      <c r="AM74" s="2851"/>
      <c r="AN74" s="2851"/>
      <c r="AO74" s="2851"/>
      <c r="AP74" s="2851"/>
      <c r="AQ74" s="2851"/>
      <c r="AR74" s="3315" t="s">
        <v>200</v>
      </c>
      <c r="AS74" s="3328"/>
      <c r="AT74" s="2717"/>
      <c r="AU74" s="3333"/>
      <c r="AV74" s="3332"/>
      <c r="AW74" s="3332"/>
      <c r="AX74" s="3332"/>
      <c r="AY74" s="3332"/>
      <c r="AZ74" s="3332"/>
      <c r="BA74" s="3332"/>
      <c r="BB74" s="3332"/>
      <c r="BC74" s="3332"/>
      <c r="BD74" s="3332"/>
      <c r="BE74" s="3332"/>
      <c r="BF74" s="3332"/>
      <c r="BG74" s="3332"/>
      <c r="BH74" s="3332"/>
      <c r="BI74" s="3332"/>
      <c r="BJ74" s="3332"/>
      <c r="BK74" s="3332"/>
      <c r="BL74" s="3332"/>
      <c r="BM74" s="3332"/>
      <c r="BN74" s="3332"/>
      <c r="BO74" s="3332"/>
      <c r="BP74" s="3332"/>
      <c r="BQ74" s="3332"/>
      <c r="BR74" s="3362"/>
    </row>
    <row r="75" customHeight="1" spans="1:70">
      <c r="A75" s="2717"/>
      <c r="B75" s="3154"/>
      <c r="C75" s="3155"/>
      <c r="D75" s="3155"/>
      <c r="E75" s="3155"/>
      <c r="F75" s="3155"/>
      <c r="G75" s="3155"/>
      <c r="H75" s="3155"/>
      <c r="I75" s="3155"/>
      <c r="J75" s="3155"/>
      <c r="K75" s="3155"/>
      <c r="L75" s="3155"/>
      <c r="M75" s="3155"/>
      <c r="N75" s="3155"/>
      <c r="O75" s="3155"/>
      <c r="P75" s="3155"/>
      <c r="Q75" s="3155"/>
      <c r="R75" s="3225"/>
      <c r="S75" s="3225"/>
      <c r="T75" s="3225"/>
      <c r="U75" s="3229"/>
      <c r="V75" s="2717"/>
      <c r="W75" s="2923"/>
      <c r="X75" s="2921"/>
      <c r="Y75" s="2921"/>
      <c r="Z75" s="2921"/>
      <c r="AA75" s="2851"/>
      <c r="AB75" s="2851"/>
      <c r="AC75" s="2851"/>
      <c r="AD75" s="2851"/>
      <c r="AE75" s="2851"/>
      <c r="AF75" s="2851"/>
      <c r="AG75" s="2851"/>
      <c r="AH75" s="2851"/>
      <c r="AI75" s="2851"/>
      <c r="AJ75" s="2851"/>
      <c r="AK75" s="2851"/>
      <c r="AL75" s="2851"/>
      <c r="AM75" s="2851"/>
      <c r="AN75" s="2851"/>
      <c r="AO75" s="2851"/>
      <c r="AP75" s="2851"/>
      <c r="AQ75" s="2851"/>
      <c r="AR75" s="3316"/>
      <c r="AS75" s="3328"/>
      <c r="AT75" s="2717"/>
      <c r="AU75" s="3333"/>
      <c r="AV75" s="3332"/>
      <c r="AW75" s="3332"/>
      <c r="AX75" s="3332"/>
      <c r="AY75" s="3332"/>
      <c r="AZ75" s="3332"/>
      <c r="BA75" s="3332"/>
      <c r="BB75" s="3332"/>
      <c r="BC75" s="3332"/>
      <c r="BD75" s="3332"/>
      <c r="BE75" s="3332"/>
      <c r="BF75" s="3332"/>
      <c r="BG75" s="3332"/>
      <c r="BH75" s="3332"/>
      <c r="BI75" s="3332"/>
      <c r="BJ75" s="3332"/>
      <c r="BK75" s="3332"/>
      <c r="BL75" s="3332"/>
      <c r="BM75" s="3332"/>
      <c r="BN75" s="3332"/>
      <c r="BO75" s="3332"/>
      <c r="BP75" s="3332"/>
      <c r="BQ75" s="3332"/>
      <c r="BR75" s="3362"/>
    </row>
    <row r="76" customHeight="1" spans="1:70">
      <c r="A76" s="2717"/>
      <c r="B76" s="3156">
        <v>0</v>
      </c>
      <c r="C76" s="3157"/>
      <c r="D76" s="3157"/>
      <c r="E76" s="3157"/>
      <c r="F76" s="3157">
        <v>0</v>
      </c>
      <c r="G76" s="3157"/>
      <c r="H76" s="3157"/>
      <c r="I76" s="3157"/>
      <c r="J76" s="3157">
        <v>0</v>
      </c>
      <c r="K76" s="3157"/>
      <c r="L76" s="3157"/>
      <c r="M76" s="3157"/>
      <c r="N76" s="3157">
        <v>0</v>
      </c>
      <c r="O76" s="3157"/>
      <c r="P76" s="3157"/>
      <c r="Q76" s="3157"/>
      <c r="R76" s="3157">
        <v>0</v>
      </c>
      <c r="S76" s="3157"/>
      <c r="T76" s="3157"/>
      <c r="U76" s="3230"/>
      <c r="V76" s="2717"/>
      <c r="W76" s="2925" t="s">
        <v>222</v>
      </c>
      <c r="X76" s="2926"/>
      <c r="Y76" s="2926"/>
      <c r="Z76" s="2926"/>
      <c r="AA76" s="2951" t="s">
        <v>178</v>
      </c>
      <c r="AB76" s="2951"/>
      <c r="AC76" s="2951"/>
      <c r="AD76" s="2951"/>
      <c r="AE76" s="2951"/>
      <c r="AF76" s="2951"/>
      <c r="AG76" s="2951"/>
      <c r="AH76" s="2951"/>
      <c r="AI76" s="2951"/>
      <c r="AJ76" s="2951"/>
      <c r="AK76" s="2951"/>
      <c r="AL76" s="2951"/>
      <c r="AM76" s="2951"/>
      <c r="AN76" s="2951"/>
      <c r="AO76" s="2951"/>
      <c r="AP76" s="2951"/>
      <c r="AQ76" s="2951"/>
      <c r="AR76" s="3040" t="s">
        <v>200</v>
      </c>
      <c r="AS76" s="3101"/>
      <c r="AT76" s="2717"/>
      <c r="AU76" s="3333"/>
      <c r="AV76" s="3332"/>
      <c r="AW76" s="3332"/>
      <c r="AX76" s="3332"/>
      <c r="AY76" s="3332"/>
      <c r="AZ76" s="3332"/>
      <c r="BA76" s="3332"/>
      <c r="BB76" s="3332"/>
      <c r="BC76" s="3332"/>
      <c r="BD76" s="3332"/>
      <c r="BE76" s="3332"/>
      <c r="BF76" s="3332"/>
      <c r="BG76" s="3332"/>
      <c r="BH76" s="3332"/>
      <c r="BI76" s="3332"/>
      <c r="BJ76" s="3332"/>
      <c r="BK76" s="3332"/>
      <c r="BL76" s="3332"/>
      <c r="BM76" s="3332"/>
      <c r="BN76" s="3332"/>
      <c r="BO76" s="3332"/>
      <c r="BP76" s="3332"/>
      <c r="BQ76" s="3332"/>
      <c r="BR76" s="3362"/>
    </row>
    <row r="77" customHeight="1" spans="1:70">
      <c r="A77" s="2717"/>
      <c r="B77" s="3001" t="str">
        <f>"资产总和："&amp;SUM(B76:U76)</f>
        <v>资产总和：0</v>
      </c>
      <c r="C77" s="3001"/>
      <c r="D77" s="3001"/>
      <c r="E77" s="3001"/>
      <c r="F77" s="3001"/>
      <c r="G77" s="3001"/>
      <c r="H77" s="3001"/>
      <c r="I77" s="3001"/>
      <c r="J77" s="2717"/>
      <c r="K77" s="2717"/>
      <c r="L77" s="2717"/>
      <c r="M77" s="2717"/>
      <c r="N77" s="3001" t="str">
        <f>"剩余资产值："&amp;IF(附表!AG230="没有",0-SUM(B76:U76),附表!AG230-SUM(B76:U76))</f>
        <v>剩余资产值：0</v>
      </c>
      <c r="O77" s="3001"/>
      <c r="P77" s="3001"/>
      <c r="Q77" s="3001"/>
      <c r="R77" s="3001"/>
      <c r="S77" s="3001"/>
      <c r="T77" s="3001"/>
      <c r="U77" s="3001"/>
      <c r="V77" s="2717"/>
      <c r="W77" s="2925"/>
      <c r="X77" s="2926"/>
      <c r="Y77" s="2926"/>
      <c r="Z77" s="2926"/>
      <c r="AA77" s="2951"/>
      <c r="AB77" s="2951"/>
      <c r="AC77" s="2951"/>
      <c r="AD77" s="2951"/>
      <c r="AE77" s="2951"/>
      <c r="AF77" s="2951"/>
      <c r="AG77" s="2951"/>
      <c r="AH77" s="2951"/>
      <c r="AI77" s="2951"/>
      <c r="AJ77" s="2951"/>
      <c r="AK77" s="2951"/>
      <c r="AL77" s="2951"/>
      <c r="AM77" s="2951"/>
      <c r="AN77" s="2951"/>
      <c r="AO77" s="2951"/>
      <c r="AP77" s="2951"/>
      <c r="AQ77" s="2951"/>
      <c r="AR77" s="3040"/>
      <c r="AS77" s="3101"/>
      <c r="AT77" s="2717"/>
      <c r="AU77" s="3333"/>
      <c r="AV77" s="3332"/>
      <c r="AW77" s="3332"/>
      <c r="AX77" s="3332"/>
      <c r="AY77" s="3332"/>
      <c r="AZ77" s="3332"/>
      <c r="BA77" s="3332"/>
      <c r="BB77" s="3332"/>
      <c r="BC77" s="3332"/>
      <c r="BD77" s="3332"/>
      <c r="BE77" s="3332"/>
      <c r="BF77" s="3332"/>
      <c r="BG77" s="3332"/>
      <c r="BH77" s="3332"/>
      <c r="BI77" s="3332"/>
      <c r="BJ77" s="3332"/>
      <c r="BK77" s="3332"/>
      <c r="BL77" s="3332"/>
      <c r="BM77" s="3332"/>
      <c r="BN77" s="3332"/>
      <c r="BO77" s="3332"/>
      <c r="BP77" s="3332"/>
      <c r="BQ77" s="3332"/>
      <c r="BR77" s="3362"/>
    </row>
    <row r="78" customHeight="1" spans="1:70">
      <c r="A78" s="2717"/>
      <c r="B78" s="3158" t="s">
        <v>223</v>
      </c>
      <c r="C78" s="3159"/>
      <c r="D78" s="3159"/>
      <c r="E78" s="3159"/>
      <c r="F78" s="3159"/>
      <c r="G78" s="3159"/>
      <c r="H78" s="3159"/>
      <c r="I78" s="3159"/>
      <c r="J78" s="3159"/>
      <c r="K78" s="3159"/>
      <c r="L78" s="3159"/>
      <c r="M78" s="3159"/>
      <c r="N78" s="3159"/>
      <c r="O78" s="3159"/>
      <c r="P78" s="3159"/>
      <c r="Q78" s="3159"/>
      <c r="R78" s="3159"/>
      <c r="S78" s="3159"/>
      <c r="T78" s="3159"/>
      <c r="U78" s="3231"/>
      <c r="V78" s="2717"/>
      <c r="W78" s="3232" t="s">
        <v>224</v>
      </c>
      <c r="X78" s="3233"/>
      <c r="Y78" s="3233"/>
      <c r="Z78" s="3233"/>
      <c r="AA78" s="2850"/>
      <c r="AB78" s="2851"/>
      <c r="AC78" s="2851"/>
      <c r="AD78" s="2851"/>
      <c r="AE78" s="2851"/>
      <c r="AF78" s="2851"/>
      <c r="AG78" s="2851"/>
      <c r="AH78" s="2851"/>
      <c r="AI78" s="2851"/>
      <c r="AJ78" s="2851"/>
      <c r="AK78" s="2851"/>
      <c r="AL78" s="2851"/>
      <c r="AM78" s="2851"/>
      <c r="AN78" s="2851"/>
      <c r="AO78" s="2851"/>
      <c r="AP78" s="2851"/>
      <c r="AQ78" s="2851"/>
      <c r="AR78" s="2851"/>
      <c r="AS78" s="2922"/>
      <c r="AT78" s="2772"/>
      <c r="AU78" s="3333"/>
      <c r="AV78" s="3332"/>
      <c r="AW78" s="3332"/>
      <c r="AX78" s="3332"/>
      <c r="AY78" s="3332"/>
      <c r="AZ78" s="3332"/>
      <c r="BA78" s="3332"/>
      <c r="BB78" s="3332"/>
      <c r="BC78" s="3332"/>
      <c r="BD78" s="3332"/>
      <c r="BE78" s="3332"/>
      <c r="BF78" s="3332"/>
      <c r="BG78" s="3332"/>
      <c r="BH78" s="3332"/>
      <c r="BI78" s="3332"/>
      <c r="BJ78" s="3332"/>
      <c r="BK78" s="3332"/>
      <c r="BL78" s="3332"/>
      <c r="BM78" s="3332"/>
      <c r="BN78" s="3332"/>
      <c r="BO78" s="3332"/>
      <c r="BP78" s="3332"/>
      <c r="BQ78" s="3332"/>
      <c r="BR78" s="3362"/>
    </row>
    <row r="79" customHeight="1" spans="1:70">
      <c r="A79" s="2885"/>
      <c r="B79" s="3160" t="s">
        <v>225</v>
      </c>
      <c r="C79" s="3161"/>
      <c r="D79" s="3162" t="s">
        <v>226</v>
      </c>
      <c r="E79" s="3161"/>
      <c r="F79" s="3162" t="s">
        <v>227</v>
      </c>
      <c r="G79" s="3161"/>
      <c r="H79" s="3161"/>
      <c r="I79" s="3161"/>
      <c r="J79" s="3161"/>
      <c r="K79" s="3161"/>
      <c r="L79" s="3161"/>
      <c r="M79" s="3161"/>
      <c r="N79" s="3162" t="s">
        <v>228</v>
      </c>
      <c r="O79" s="3161"/>
      <c r="P79" s="3161"/>
      <c r="Q79" s="3161"/>
      <c r="R79" s="3161"/>
      <c r="S79" s="3161"/>
      <c r="T79" s="3161"/>
      <c r="U79" s="3234"/>
      <c r="V79" s="2717"/>
      <c r="W79" s="3235"/>
      <c r="X79" s="3233"/>
      <c r="Y79" s="3233"/>
      <c r="Z79" s="3233"/>
      <c r="AA79" s="2851"/>
      <c r="AB79" s="2851"/>
      <c r="AC79" s="2851"/>
      <c r="AD79" s="2851"/>
      <c r="AE79" s="2851"/>
      <c r="AF79" s="2851"/>
      <c r="AG79" s="2851"/>
      <c r="AH79" s="2851"/>
      <c r="AI79" s="2851"/>
      <c r="AJ79" s="2851"/>
      <c r="AK79" s="2851"/>
      <c r="AL79" s="2851"/>
      <c r="AM79" s="2851"/>
      <c r="AN79" s="2851"/>
      <c r="AO79" s="2851"/>
      <c r="AP79" s="2851"/>
      <c r="AQ79" s="2851"/>
      <c r="AR79" s="2851"/>
      <c r="AS79" s="2922"/>
      <c r="AT79" s="2772"/>
      <c r="AU79" s="3333"/>
      <c r="AV79" s="3332"/>
      <c r="AW79" s="3332"/>
      <c r="AX79" s="3332"/>
      <c r="AY79" s="3332"/>
      <c r="AZ79" s="3332"/>
      <c r="BA79" s="3332"/>
      <c r="BB79" s="3332"/>
      <c r="BC79" s="3332"/>
      <c r="BD79" s="3332"/>
      <c r="BE79" s="3332"/>
      <c r="BF79" s="3332"/>
      <c r="BG79" s="3332"/>
      <c r="BH79" s="3332"/>
      <c r="BI79" s="3332"/>
      <c r="BJ79" s="3332"/>
      <c r="BK79" s="3332"/>
      <c r="BL79" s="3332"/>
      <c r="BM79" s="3332"/>
      <c r="BN79" s="3332"/>
      <c r="BO79" s="3332"/>
      <c r="BP79" s="3332"/>
      <c r="BQ79" s="3332"/>
      <c r="BR79" s="3362"/>
    </row>
    <row r="80" customHeight="1" spans="1:70">
      <c r="A80" s="2885"/>
      <c r="B80" s="3163" t="s">
        <v>229</v>
      </c>
      <c r="C80" s="3164"/>
      <c r="D80" s="3165" t="s">
        <v>230</v>
      </c>
      <c r="E80" s="3164"/>
      <c r="F80" s="3195" t="s">
        <v>231</v>
      </c>
      <c r="G80" s="3195"/>
      <c r="H80" s="3195"/>
      <c r="I80" s="3195"/>
      <c r="J80" s="3195"/>
      <c r="K80" s="3195"/>
      <c r="L80" s="3195"/>
      <c r="M80" s="3195"/>
      <c r="N80" s="3195" t="s">
        <v>232</v>
      </c>
      <c r="O80" s="3195"/>
      <c r="P80" s="3195"/>
      <c r="Q80" s="3195"/>
      <c r="R80" s="3195"/>
      <c r="S80" s="3195"/>
      <c r="T80" s="3195"/>
      <c r="U80" s="3236"/>
      <c r="V80" s="2717"/>
      <c r="W80" s="3237" t="s">
        <v>233</v>
      </c>
      <c r="X80" s="3238"/>
      <c r="Y80" s="3238"/>
      <c r="Z80" s="3238"/>
      <c r="AA80" s="3238"/>
      <c r="AB80" s="3238"/>
      <c r="AC80" s="3238"/>
      <c r="AD80" s="3238"/>
      <c r="AE80" s="3238"/>
      <c r="AF80" s="3238"/>
      <c r="AG80" s="3238"/>
      <c r="AH80" s="3238"/>
      <c r="AI80" s="3238"/>
      <c r="AJ80" s="3238"/>
      <c r="AK80" s="3238"/>
      <c r="AL80" s="3238"/>
      <c r="AM80" s="3238"/>
      <c r="AN80" s="3238"/>
      <c r="AO80" s="3238"/>
      <c r="AP80" s="3238"/>
      <c r="AQ80" s="3238"/>
      <c r="AR80" s="3238"/>
      <c r="AS80" s="3334"/>
      <c r="AT80" s="2772"/>
      <c r="AU80" s="3333"/>
      <c r="AV80" s="3332"/>
      <c r="AW80" s="3332"/>
      <c r="AX80" s="3332"/>
      <c r="AY80" s="3332"/>
      <c r="AZ80" s="3332"/>
      <c r="BA80" s="3332"/>
      <c r="BB80" s="3332"/>
      <c r="BC80" s="3332"/>
      <c r="BD80" s="3332"/>
      <c r="BE80" s="3332"/>
      <c r="BF80" s="3332"/>
      <c r="BG80" s="3332"/>
      <c r="BH80" s="3332"/>
      <c r="BI80" s="3332"/>
      <c r="BJ80" s="3332"/>
      <c r="BK80" s="3332"/>
      <c r="BL80" s="3332"/>
      <c r="BM80" s="3332"/>
      <c r="BN80" s="3332"/>
      <c r="BO80" s="3332"/>
      <c r="BP80" s="3332"/>
      <c r="BQ80" s="3332"/>
      <c r="BR80" s="3362"/>
    </row>
    <row r="81" customHeight="1" spans="1:70">
      <c r="A81" s="2885"/>
      <c r="B81" s="3166"/>
      <c r="C81" s="3167"/>
      <c r="D81" s="3168" t="s">
        <v>230</v>
      </c>
      <c r="E81" s="3167"/>
      <c r="F81" s="3196" t="s">
        <v>231</v>
      </c>
      <c r="G81" s="3197"/>
      <c r="H81" s="3197"/>
      <c r="I81" s="3197"/>
      <c r="J81" s="3197"/>
      <c r="K81" s="3197"/>
      <c r="L81" s="3197"/>
      <c r="M81" s="3197"/>
      <c r="N81" s="3196" t="s">
        <v>234</v>
      </c>
      <c r="O81" s="3197"/>
      <c r="P81" s="3197"/>
      <c r="Q81" s="3197"/>
      <c r="R81" s="3197"/>
      <c r="S81" s="3197"/>
      <c r="T81" s="3197"/>
      <c r="U81" s="3239"/>
      <c r="V81" s="2717"/>
      <c r="W81" s="3240"/>
      <c r="X81" s="3238"/>
      <c r="Y81" s="3238"/>
      <c r="Z81" s="3238"/>
      <c r="AA81" s="3238"/>
      <c r="AB81" s="3238"/>
      <c r="AC81" s="3238"/>
      <c r="AD81" s="3238"/>
      <c r="AE81" s="3238"/>
      <c r="AF81" s="3238"/>
      <c r="AG81" s="3238"/>
      <c r="AH81" s="3238"/>
      <c r="AI81" s="3238"/>
      <c r="AJ81" s="3238"/>
      <c r="AK81" s="3238"/>
      <c r="AL81" s="3238"/>
      <c r="AM81" s="3238"/>
      <c r="AN81" s="3238"/>
      <c r="AO81" s="3238"/>
      <c r="AP81" s="3238"/>
      <c r="AQ81" s="3238"/>
      <c r="AR81" s="3238"/>
      <c r="AS81" s="3334"/>
      <c r="AT81" s="2772"/>
      <c r="AU81" s="3333"/>
      <c r="AV81" s="3332"/>
      <c r="AW81" s="3332"/>
      <c r="AX81" s="3332"/>
      <c r="AY81" s="3332"/>
      <c r="AZ81" s="3332"/>
      <c r="BA81" s="3332"/>
      <c r="BB81" s="3332"/>
      <c r="BC81" s="3332"/>
      <c r="BD81" s="3332"/>
      <c r="BE81" s="3332"/>
      <c r="BF81" s="3332"/>
      <c r="BG81" s="3332"/>
      <c r="BH81" s="3332"/>
      <c r="BI81" s="3332"/>
      <c r="BJ81" s="3332"/>
      <c r="BK81" s="3332"/>
      <c r="BL81" s="3332"/>
      <c r="BM81" s="3332"/>
      <c r="BN81" s="3332"/>
      <c r="BO81" s="3332"/>
      <c r="BP81" s="3332"/>
      <c r="BQ81" s="3332"/>
      <c r="BR81" s="3362"/>
    </row>
    <row r="82" customHeight="1" spans="1:70">
      <c r="A82" s="2885"/>
      <c r="B82" s="3163"/>
      <c r="C82" s="3164"/>
      <c r="D82" s="3165" t="s">
        <v>230</v>
      </c>
      <c r="E82" s="3164"/>
      <c r="F82" s="3195" t="s">
        <v>231</v>
      </c>
      <c r="G82" s="3195"/>
      <c r="H82" s="3195"/>
      <c r="I82" s="3195"/>
      <c r="J82" s="3195"/>
      <c r="K82" s="3195"/>
      <c r="L82" s="3195"/>
      <c r="M82" s="3195"/>
      <c r="N82" s="3195" t="s">
        <v>235</v>
      </c>
      <c r="O82" s="3195"/>
      <c r="P82" s="3195"/>
      <c r="Q82" s="3195"/>
      <c r="R82" s="3195"/>
      <c r="S82" s="3195"/>
      <c r="T82" s="3195"/>
      <c r="U82" s="3236"/>
      <c r="V82" s="2717"/>
      <c r="W82" s="3240"/>
      <c r="X82" s="3238"/>
      <c r="Y82" s="3238"/>
      <c r="Z82" s="3238"/>
      <c r="AA82" s="3238"/>
      <c r="AB82" s="3238"/>
      <c r="AC82" s="3238"/>
      <c r="AD82" s="3238"/>
      <c r="AE82" s="3238"/>
      <c r="AF82" s="3238"/>
      <c r="AG82" s="3238"/>
      <c r="AH82" s="3238"/>
      <c r="AI82" s="3238"/>
      <c r="AJ82" s="3238"/>
      <c r="AK82" s="3238"/>
      <c r="AL82" s="3238"/>
      <c r="AM82" s="3238"/>
      <c r="AN82" s="3238"/>
      <c r="AO82" s="3238"/>
      <c r="AP82" s="3238"/>
      <c r="AQ82" s="3238"/>
      <c r="AR82" s="3238"/>
      <c r="AS82" s="3334"/>
      <c r="AT82" s="2772"/>
      <c r="AU82" s="3333"/>
      <c r="AV82" s="3332"/>
      <c r="AW82" s="3332"/>
      <c r="AX82" s="3332"/>
      <c r="AY82" s="3332"/>
      <c r="AZ82" s="3332"/>
      <c r="BA82" s="3332"/>
      <c r="BB82" s="3332"/>
      <c r="BC82" s="3332"/>
      <c r="BD82" s="3332"/>
      <c r="BE82" s="3332"/>
      <c r="BF82" s="3332"/>
      <c r="BG82" s="3332"/>
      <c r="BH82" s="3332"/>
      <c r="BI82" s="3332"/>
      <c r="BJ82" s="3332"/>
      <c r="BK82" s="3332"/>
      <c r="BL82" s="3332"/>
      <c r="BM82" s="3332"/>
      <c r="BN82" s="3332"/>
      <c r="BO82" s="3332"/>
      <c r="BP82" s="3332"/>
      <c r="BQ82" s="3332"/>
      <c r="BR82" s="3362"/>
    </row>
    <row r="83" customHeight="1" spans="1:70">
      <c r="A83" s="2885"/>
      <c r="B83" s="3166"/>
      <c r="C83" s="3167"/>
      <c r="D83" s="3168" t="s">
        <v>230</v>
      </c>
      <c r="E83" s="3167"/>
      <c r="F83" s="3196" t="s">
        <v>231</v>
      </c>
      <c r="G83" s="3197"/>
      <c r="H83" s="3197"/>
      <c r="I83" s="3197"/>
      <c r="J83" s="3197"/>
      <c r="K83" s="3197"/>
      <c r="L83" s="3197"/>
      <c r="M83" s="3197"/>
      <c r="N83" s="3196" t="s">
        <v>236</v>
      </c>
      <c r="O83" s="3197"/>
      <c r="P83" s="3197"/>
      <c r="Q83" s="3197"/>
      <c r="R83" s="3197"/>
      <c r="S83" s="3197"/>
      <c r="T83" s="3197"/>
      <c r="U83" s="3239"/>
      <c r="V83" s="2717"/>
      <c r="W83" s="3240"/>
      <c r="X83" s="3238"/>
      <c r="Y83" s="3238"/>
      <c r="Z83" s="3238"/>
      <c r="AA83" s="3238"/>
      <c r="AB83" s="3238"/>
      <c r="AC83" s="3238"/>
      <c r="AD83" s="3238"/>
      <c r="AE83" s="3238"/>
      <c r="AF83" s="3238"/>
      <c r="AG83" s="3238"/>
      <c r="AH83" s="3238"/>
      <c r="AI83" s="3238"/>
      <c r="AJ83" s="3238"/>
      <c r="AK83" s="3238"/>
      <c r="AL83" s="3238"/>
      <c r="AM83" s="3238"/>
      <c r="AN83" s="3238"/>
      <c r="AO83" s="3238"/>
      <c r="AP83" s="3238"/>
      <c r="AQ83" s="3238"/>
      <c r="AR83" s="3238"/>
      <c r="AS83" s="3334"/>
      <c r="AT83" s="2772"/>
      <c r="AU83" s="3333"/>
      <c r="AV83" s="3332"/>
      <c r="AW83" s="3332"/>
      <c r="AX83" s="3332"/>
      <c r="AY83" s="3332"/>
      <c r="AZ83" s="3332"/>
      <c r="BA83" s="3332"/>
      <c r="BB83" s="3332"/>
      <c r="BC83" s="3332"/>
      <c r="BD83" s="3332"/>
      <c r="BE83" s="3332"/>
      <c r="BF83" s="3332"/>
      <c r="BG83" s="3332"/>
      <c r="BH83" s="3332"/>
      <c r="BI83" s="3332"/>
      <c r="BJ83" s="3332"/>
      <c r="BK83" s="3332"/>
      <c r="BL83" s="3332"/>
      <c r="BM83" s="3332"/>
      <c r="BN83" s="3332"/>
      <c r="BO83" s="3332"/>
      <c r="BP83" s="3332"/>
      <c r="BQ83" s="3332"/>
      <c r="BR83" s="3362"/>
    </row>
    <row r="84" customHeight="1" spans="1:70">
      <c r="A84" s="2885"/>
      <c r="B84" s="3163" t="s">
        <v>237</v>
      </c>
      <c r="C84" s="3164"/>
      <c r="D84" s="3165" t="s">
        <v>238</v>
      </c>
      <c r="E84" s="3164"/>
      <c r="F84" s="3195" t="s">
        <v>239</v>
      </c>
      <c r="G84" s="3195"/>
      <c r="H84" s="3195"/>
      <c r="I84" s="3195"/>
      <c r="J84" s="3195"/>
      <c r="K84" s="3195"/>
      <c r="L84" s="3195"/>
      <c r="M84" s="3195"/>
      <c r="N84" s="3195" t="s">
        <v>240</v>
      </c>
      <c r="O84" s="3195"/>
      <c r="P84" s="3195"/>
      <c r="Q84" s="3195"/>
      <c r="R84" s="3195"/>
      <c r="S84" s="3195"/>
      <c r="T84" s="3195"/>
      <c r="U84" s="3236"/>
      <c r="V84" s="2717"/>
      <c r="W84" s="3240"/>
      <c r="X84" s="3238"/>
      <c r="Y84" s="3238"/>
      <c r="Z84" s="3238"/>
      <c r="AA84" s="3238"/>
      <c r="AB84" s="3238"/>
      <c r="AC84" s="3238"/>
      <c r="AD84" s="3238"/>
      <c r="AE84" s="3238"/>
      <c r="AF84" s="3238"/>
      <c r="AG84" s="3238"/>
      <c r="AH84" s="3238"/>
      <c r="AI84" s="3238"/>
      <c r="AJ84" s="3238"/>
      <c r="AK84" s="3238"/>
      <c r="AL84" s="3238"/>
      <c r="AM84" s="3238"/>
      <c r="AN84" s="3238"/>
      <c r="AO84" s="3238"/>
      <c r="AP84" s="3238"/>
      <c r="AQ84" s="3238"/>
      <c r="AR84" s="3238"/>
      <c r="AS84" s="3334"/>
      <c r="AT84" s="2772"/>
      <c r="AU84" s="3333"/>
      <c r="AV84" s="3332"/>
      <c r="AW84" s="3332"/>
      <c r="AX84" s="3332"/>
      <c r="AY84" s="3332"/>
      <c r="AZ84" s="3332"/>
      <c r="BA84" s="3332"/>
      <c r="BB84" s="3332"/>
      <c r="BC84" s="3332"/>
      <c r="BD84" s="3332"/>
      <c r="BE84" s="3332"/>
      <c r="BF84" s="3332"/>
      <c r="BG84" s="3332"/>
      <c r="BH84" s="3332"/>
      <c r="BI84" s="3332"/>
      <c r="BJ84" s="3332"/>
      <c r="BK84" s="3332"/>
      <c r="BL84" s="3332"/>
      <c r="BM84" s="3332"/>
      <c r="BN84" s="3332"/>
      <c r="BO84" s="3332"/>
      <c r="BP84" s="3332"/>
      <c r="BQ84" s="3332"/>
      <c r="BR84" s="3362"/>
    </row>
    <row r="85" customHeight="1" spans="1:70">
      <c r="A85" s="2885"/>
      <c r="B85" s="3166" t="s">
        <v>241</v>
      </c>
      <c r="C85" s="3167"/>
      <c r="D85" s="3168" t="s">
        <v>242</v>
      </c>
      <c r="E85" s="3167"/>
      <c r="F85" s="3196" t="s">
        <v>243</v>
      </c>
      <c r="G85" s="3197"/>
      <c r="H85" s="3197"/>
      <c r="I85" s="3197"/>
      <c r="J85" s="3197"/>
      <c r="K85" s="3197"/>
      <c r="L85" s="3197"/>
      <c r="M85" s="3197"/>
      <c r="N85" s="3196" t="s">
        <v>244</v>
      </c>
      <c r="O85" s="3197"/>
      <c r="P85" s="3197"/>
      <c r="Q85" s="3197"/>
      <c r="R85" s="3197"/>
      <c r="S85" s="3197"/>
      <c r="T85" s="3197"/>
      <c r="U85" s="3239"/>
      <c r="V85" s="2717"/>
      <c r="W85" s="3240"/>
      <c r="X85" s="3238"/>
      <c r="Y85" s="3238"/>
      <c r="Z85" s="3238"/>
      <c r="AA85" s="3238"/>
      <c r="AB85" s="3238"/>
      <c r="AC85" s="3238"/>
      <c r="AD85" s="3238"/>
      <c r="AE85" s="3238"/>
      <c r="AF85" s="3238"/>
      <c r="AG85" s="3238"/>
      <c r="AH85" s="3238"/>
      <c r="AI85" s="3238"/>
      <c r="AJ85" s="3238"/>
      <c r="AK85" s="3238"/>
      <c r="AL85" s="3238"/>
      <c r="AM85" s="3238"/>
      <c r="AN85" s="3238"/>
      <c r="AO85" s="3238"/>
      <c r="AP85" s="3238"/>
      <c r="AQ85" s="3238"/>
      <c r="AR85" s="3238"/>
      <c r="AS85" s="3334"/>
      <c r="AT85" s="2772"/>
      <c r="AU85" s="3333"/>
      <c r="AV85" s="3332"/>
      <c r="AW85" s="3332"/>
      <c r="AX85" s="3332"/>
      <c r="AY85" s="3332"/>
      <c r="AZ85" s="3332"/>
      <c r="BA85" s="3332"/>
      <c r="BB85" s="3332"/>
      <c r="BC85" s="3332"/>
      <c r="BD85" s="3332"/>
      <c r="BE85" s="3332"/>
      <c r="BF85" s="3332"/>
      <c r="BG85" s="3332"/>
      <c r="BH85" s="3332"/>
      <c r="BI85" s="3332"/>
      <c r="BJ85" s="3332"/>
      <c r="BK85" s="3332"/>
      <c r="BL85" s="3332"/>
      <c r="BM85" s="3332"/>
      <c r="BN85" s="3332"/>
      <c r="BO85" s="3332"/>
      <c r="BP85" s="3332"/>
      <c r="BQ85" s="3332"/>
      <c r="BR85" s="3362"/>
    </row>
    <row r="86" customHeight="1" spans="1:70">
      <c r="A86" s="2885"/>
      <c r="B86" s="3163"/>
      <c r="C86" s="3164"/>
      <c r="D86" s="3165" t="s">
        <v>245</v>
      </c>
      <c r="E86" s="3164"/>
      <c r="F86" s="3195" t="s">
        <v>246</v>
      </c>
      <c r="G86" s="3195"/>
      <c r="H86" s="3195"/>
      <c r="I86" s="3195"/>
      <c r="J86" s="3195"/>
      <c r="K86" s="3195"/>
      <c r="L86" s="3195"/>
      <c r="M86" s="3195"/>
      <c r="N86" s="3195" t="s">
        <v>216</v>
      </c>
      <c r="O86" s="3195"/>
      <c r="P86" s="3195"/>
      <c r="Q86" s="3195"/>
      <c r="R86" s="3195"/>
      <c r="S86" s="3195"/>
      <c r="T86" s="3195"/>
      <c r="U86" s="3236"/>
      <c r="V86" s="2717"/>
      <c r="W86" s="3240"/>
      <c r="X86" s="3238"/>
      <c r="Y86" s="3238"/>
      <c r="Z86" s="3238"/>
      <c r="AA86" s="3238"/>
      <c r="AB86" s="3238"/>
      <c r="AC86" s="3238"/>
      <c r="AD86" s="3238"/>
      <c r="AE86" s="3238"/>
      <c r="AF86" s="3238"/>
      <c r="AG86" s="3238"/>
      <c r="AH86" s="3238"/>
      <c r="AI86" s="3238"/>
      <c r="AJ86" s="3238"/>
      <c r="AK86" s="3238"/>
      <c r="AL86" s="3238"/>
      <c r="AM86" s="3238"/>
      <c r="AN86" s="3238"/>
      <c r="AO86" s="3238"/>
      <c r="AP86" s="3238"/>
      <c r="AQ86" s="3238"/>
      <c r="AR86" s="3238"/>
      <c r="AS86" s="3334"/>
      <c r="AT86" s="2772"/>
      <c r="AU86" s="3333"/>
      <c r="AV86" s="3332"/>
      <c r="AW86" s="3332"/>
      <c r="AX86" s="3332"/>
      <c r="AY86" s="3332"/>
      <c r="AZ86" s="3332"/>
      <c r="BA86" s="3332"/>
      <c r="BB86" s="3332"/>
      <c r="BC86" s="3332"/>
      <c r="BD86" s="3332"/>
      <c r="BE86" s="3332"/>
      <c r="BF86" s="3332"/>
      <c r="BG86" s="3332"/>
      <c r="BH86" s="3332"/>
      <c r="BI86" s="3332"/>
      <c r="BJ86" s="3332"/>
      <c r="BK86" s="3332"/>
      <c r="BL86" s="3332"/>
      <c r="BM86" s="3332"/>
      <c r="BN86" s="3332"/>
      <c r="BO86" s="3332"/>
      <c r="BP86" s="3332"/>
      <c r="BQ86" s="3332"/>
      <c r="BR86" s="3362"/>
    </row>
    <row r="87" customHeight="1" spans="1:70">
      <c r="A87" s="2885"/>
      <c r="B87" s="3166"/>
      <c r="C87" s="3167"/>
      <c r="D87" s="3168" t="s">
        <v>247</v>
      </c>
      <c r="E87" s="3167"/>
      <c r="F87" s="3196" t="s">
        <v>248</v>
      </c>
      <c r="G87" s="3197"/>
      <c r="H87" s="3197"/>
      <c r="I87" s="3197"/>
      <c r="J87" s="3197"/>
      <c r="K87" s="3197"/>
      <c r="L87" s="3197"/>
      <c r="M87" s="3197"/>
      <c r="N87" s="3196" t="s">
        <v>249</v>
      </c>
      <c r="O87" s="3197"/>
      <c r="P87" s="3197"/>
      <c r="Q87" s="3197"/>
      <c r="R87" s="3197"/>
      <c r="S87" s="3197"/>
      <c r="T87" s="3197"/>
      <c r="U87" s="3239"/>
      <c r="V87" s="2717"/>
      <c r="W87" s="3240"/>
      <c r="X87" s="3238"/>
      <c r="Y87" s="3238"/>
      <c r="Z87" s="3238"/>
      <c r="AA87" s="3238"/>
      <c r="AB87" s="3238"/>
      <c r="AC87" s="3238"/>
      <c r="AD87" s="3238"/>
      <c r="AE87" s="3238"/>
      <c r="AF87" s="3238"/>
      <c r="AG87" s="3238"/>
      <c r="AH87" s="3238"/>
      <c r="AI87" s="3238"/>
      <c r="AJ87" s="3238"/>
      <c r="AK87" s="3238"/>
      <c r="AL87" s="3238"/>
      <c r="AM87" s="3238"/>
      <c r="AN87" s="3238"/>
      <c r="AO87" s="3238"/>
      <c r="AP87" s="3238"/>
      <c r="AQ87" s="3238"/>
      <c r="AR87" s="3238"/>
      <c r="AS87" s="3334"/>
      <c r="AT87" s="2772"/>
      <c r="AU87" s="3333"/>
      <c r="AV87" s="3332"/>
      <c r="AW87" s="3332"/>
      <c r="AX87" s="3332"/>
      <c r="AY87" s="3332"/>
      <c r="AZ87" s="3332"/>
      <c r="BA87" s="3332"/>
      <c r="BB87" s="3332"/>
      <c r="BC87" s="3332"/>
      <c r="BD87" s="3332"/>
      <c r="BE87" s="3332"/>
      <c r="BF87" s="3332"/>
      <c r="BG87" s="3332"/>
      <c r="BH87" s="3332"/>
      <c r="BI87" s="3332"/>
      <c r="BJ87" s="3332"/>
      <c r="BK87" s="3332"/>
      <c r="BL87" s="3332"/>
      <c r="BM87" s="3332"/>
      <c r="BN87" s="3332"/>
      <c r="BO87" s="3332"/>
      <c r="BP87" s="3332"/>
      <c r="BQ87" s="3332"/>
      <c r="BR87" s="3362"/>
    </row>
    <row r="88" customHeight="1" spans="1:70">
      <c r="A88" s="2885"/>
      <c r="B88" s="3163"/>
      <c r="C88" s="3164"/>
      <c r="D88" s="3165"/>
      <c r="E88" s="3164"/>
      <c r="F88" s="3195"/>
      <c r="G88" s="3195"/>
      <c r="H88" s="3195"/>
      <c r="I88" s="3195"/>
      <c r="J88" s="3195"/>
      <c r="K88" s="3195"/>
      <c r="L88" s="3195"/>
      <c r="M88" s="3195"/>
      <c r="N88" s="3195"/>
      <c r="O88" s="3195"/>
      <c r="P88" s="3195"/>
      <c r="Q88" s="3195"/>
      <c r="R88" s="3195"/>
      <c r="S88" s="3195"/>
      <c r="T88" s="3195"/>
      <c r="U88" s="3236"/>
      <c r="V88" s="2717"/>
      <c r="W88" s="3240"/>
      <c r="X88" s="3238"/>
      <c r="Y88" s="3238"/>
      <c r="Z88" s="3238"/>
      <c r="AA88" s="3238"/>
      <c r="AB88" s="3238"/>
      <c r="AC88" s="3238"/>
      <c r="AD88" s="3238"/>
      <c r="AE88" s="3238"/>
      <c r="AF88" s="3238"/>
      <c r="AG88" s="3238"/>
      <c r="AH88" s="3238"/>
      <c r="AI88" s="3238"/>
      <c r="AJ88" s="3238"/>
      <c r="AK88" s="3238"/>
      <c r="AL88" s="3238"/>
      <c r="AM88" s="3238"/>
      <c r="AN88" s="3238"/>
      <c r="AO88" s="3238"/>
      <c r="AP88" s="3238"/>
      <c r="AQ88" s="3238"/>
      <c r="AR88" s="3238"/>
      <c r="AS88" s="3334"/>
      <c r="AT88" s="2772"/>
      <c r="AU88" s="3333"/>
      <c r="AV88" s="3332"/>
      <c r="AW88" s="3332"/>
      <c r="AX88" s="3332"/>
      <c r="AY88" s="3332"/>
      <c r="AZ88" s="3332"/>
      <c r="BA88" s="3332"/>
      <c r="BB88" s="3332"/>
      <c r="BC88" s="3332"/>
      <c r="BD88" s="3332"/>
      <c r="BE88" s="3332"/>
      <c r="BF88" s="3332"/>
      <c r="BG88" s="3332"/>
      <c r="BH88" s="3332"/>
      <c r="BI88" s="3332"/>
      <c r="BJ88" s="3332"/>
      <c r="BK88" s="3332"/>
      <c r="BL88" s="3332"/>
      <c r="BM88" s="3332"/>
      <c r="BN88" s="3332"/>
      <c r="BO88" s="3332"/>
      <c r="BP88" s="3332"/>
      <c r="BQ88" s="3332"/>
      <c r="BR88" s="3362"/>
    </row>
    <row r="89" customHeight="1" spans="1:70">
      <c r="A89" s="2885"/>
      <c r="B89" s="3166"/>
      <c r="C89" s="3167"/>
      <c r="D89" s="3168"/>
      <c r="E89" s="3167"/>
      <c r="F89" s="3196"/>
      <c r="G89" s="3197"/>
      <c r="H89" s="3197"/>
      <c r="I89" s="3197"/>
      <c r="J89" s="3197"/>
      <c r="K89" s="3197"/>
      <c r="L89" s="3197"/>
      <c r="M89" s="3197"/>
      <c r="N89" s="3196"/>
      <c r="O89" s="3197"/>
      <c r="P89" s="3197"/>
      <c r="Q89" s="3197"/>
      <c r="R89" s="3197"/>
      <c r="S89" s="3197"/>
      <c r="T89" s="3197"/>
      <c r="U89" s="3239"/>
      <c r="V89" s="2717"/>
      <c r="W89" s="3240"/>
      <c r="X89" s="3238"/>
      <c r="Y89" s="3238"/>
      <c r="Z89" s="3238"/>
      <c r="AA89" s="3238"/>
      <c r="AB89" s="3238"/>
      <c r="AC89" s="3238"/>
      <c r="AD89" s="3238"/>
      <c r="AE89" s="3238"/>
      <c r="AF89" s="3238"/>
      <c r="AG89" s="3238"/>
      <c r="AH89" s="3238"/>
      <c r="AI89" s="3238"/>
      <c r="AJ89" s="3238"/>
      <c r="AK89" s="3238"/>
      <c r="AL89" s="3238"/>
      <c r="AM89" s="3238"/>
      <c r="AN89" s="3238"/>
      <c r="AO89" s="3238"/>
      <c r="AP89" s="3238"/>
      <c r="AQ89" s="3238"/>
      <c r="AR89" s="3238"/>
      <c r="AS89" s="3334"/>
      <c r="AT89" s="2772"/>
      <c r="AU89" s="3333"/>
      <c r="AV89" s="3332"/>
      <c r="AW89" s="3332"/>
      <c r="AX89" s="3332"/>
      <c r="AY89" s="3332"/>
      <c r="AZ89" s="3332"/>
      <c r="BA89" s="3332"/>
      <c r="BB89" s="3332"/>
      <c r="BC89" s="3332"/>
      <c r="BD89" s="3332"/>
      <c r="BE89" s="3332"/>
      <c r="BF89" s="3332"/>
      <c r="BG89" s="3332"/>
      <c r="BH89" s="3332"/>
      <c r="BI89" s="3332"/>
      <c r="BJ89" s="3332"/>
      <c r="BK89" s="3332"/>
      <c r="BL89" s="3332"/>
      <c r="BM89" s="3332"/>
      <c r="BN89" s="3332"/>
      <c r="BO89" s="3332"/>
      <c r="BP89" s="3332"/>
      <c r="BQ89" s="3332"/>
      <c r="BR89" s="3362"/>
    </row>
    <row r="90" customHeight="1" spans="1:70">
      <c r="A90" s="2885"/>
      <c r="B90" s="3163"/>
      <c r="C90" s="3164"/>
      <c r="D90" s="3165"/>
      <c r="E90" s="3164"/>
      <c r="F90" s="3195"/>
      <c r="G90" s="3195"/>
      <c r="H90" s="3195"/>
      <c r="I90" s="3195"/>
      <c r="J90" s="3195"/>
      <c r="K90" s="3195"/>
      <c r="L90" s="3195"/>
      <c r="M90" s="3195"/>
      <c r="N90" s="3195"/>
      <c r="O90" s="3195"/>
      <c r="P90" s="3195"/>
      <c r="Q90" s="3195"/>
      <c r="R90" s="3195"/>
      <c r="S90" s="3195"/>
      <c r="T90" s="3195"/>
      <c r="U90" s="3236"/>
      <c r="V90" s="2717"/>
      <c r="W90" s="3240"/>
      <c r="X90" s="3238"/>
      <c r="Y90" s="3238"/>
      <c r="Z90" s="3238"/>
      <c r="AA90" s="3238"/>
      <c r="AB90" s="3238"/>
      <c r="AC90" s="3238"/>
      <c r="AD90" s="3238"/>
      <c r="AE90" s="3238"/>
      <c r="AF90" s="3238"/>
      <c r="AG90" s="3238"/>
      <c r="AH90" s="3238"/>
      <c r="AI90" s="3238"/>
      <c r="AJ90" s="3238"/>
      <c r="AK90" s="3238"/>
      <c r="AL90" s="3238"/>
      <c r="AM90" s="3238"/>
      <c r="AN90" s="3238"/>
      <c r="AO90" s="3238"/>
      <c r="AP90" s="3238"/>
      <c r="AQ90" s="3238"/>
      <c r="AR90" s="3238"/>
      <c r="AS90" s="3334"/>
      <c r="AT90" s="2772"/>
      <c r="AU90" s="3333"/>
      <c r="AV90" s="3332"/>
      <c r="AW90" s="3332"/>
      <c r="AX90" s="3332"/>
      <c r="AY90" s="3332"/>
      <c r="AZ90" s="3332"/>
      <c r="BA90" s="3332"/>
      <c r="BB90" s="3332"/>
      <c r="BC90" s="3332"/>
      <c r="BD90" s="3332"/>
      <c r="BE90" s="3332"/>
      <c r="BF90" s="3332"/>
      <c r="BG90" s="3332"/>
      <c r="BH90" s="3332"/>
      <c r="BI90" s="3332"/>
      <c r="BJ90" s="3332"/>
      <c r="BK90" s="3332"/>
      <c r="BL90" s="3332"/>
      <c r="BM90" s="3332"/>
      <c r="BN90" s="3332"/>
      <c r="BO90" s="3332"/>
      <c r="BP90" s="3332"/>
      <c r="BQ90" s="3332"/>
      <c r="BR90" s="3362"/>
    </row>
    <row r="91" customHeight="1" spans="1:70">
      <c r="A91" s="2885"/>
      <c r="B91" s="3166"/>
      <c r="C91" s="3167"/>
      <c r="D91" s="3168"/>
      <c r="E91" s="3167"/>
      <c r="F91" s="3196"/>
      <c r="G91" s="3197"/>
      <c r="H91" s="3197"/>
      <c r="I91" s="3197"/>
      <c r="J91" s="3197"/>
      <c r="K91" s="3197"/>
      <c r="L91" s="3197"/>
      <c r="M91" s="3197"/>
      <c r="N91" s="3196"/>
      <c r="O91" s="3197"/>
      <c r="P91" s="3197"/>
      <c r="Q91" s="3197"/>
      <c r="R91" s="3197"/>
      <c r="S91" s="3197"/>
      <c r="T91" s="3197"/>
      <c r="U91" s="3239"/>
      <c r="V91" s="2717"/>
      <c r="W91" s="3240"/>
      <c r="X91" s="3238"/>
      <c r="Y91" s="3238"/>
      <c r="Z91" s="3238"/>
      <c r="AA91" s="3238"/>
      <c r="AB91" s="3238"/>
      <c r="AC91" s="3238"/>
      <c r="AD91" s="3238"/>
      <c r="AE91" s="3238"/>
      <c r="AF91" s="3238"/>
      <c r="AG91" s="3238"/>
      <c r="AH91" s="3238"/>
      <c r="AI91" s="3238"/>
      <c r="AJ91" s="3238"/>
      <c r="AK91" s="3238"/>
      <c r="AL91" s="3238"/>
      <c r="AM91" s="3238"/>
      <c r="AN91" s="3238"/>
      <c r="AO91" s="3238"/>
      <c r="AP91" s="3238"/>
      <c r="AQ91" s="3238"/>
      <c r="AR91" s="3238"/>
      <c r="AS91" s="3334"/>
      <c r="AT91" s="2772"/>
      <c r="AU91" s="3333"/>
      <c r="AV91" s="3332"/>
      <c r="AW91" s="3332"/>
      <c r="AX91" s="3332"/>
      <c r="AY91" s="3332"/>
      <c r="AZ91" s="3332"/>
      <c r="BA91" s="3332"/>
      <c r="BB91" s="3332"/>
      <c r="BC91" s="3332"/>
      <c r="BD91" s="3332"/>
      <c r="BE91" s="3332"/>
      <c r="BF91" s="3332"/>
      <c r="BG91" s="3332"/>
      <c r="BH91" s="3332"/>
      <c r="BI91" s="3332"/>
      <c r="BJ91" s="3332"/>
      <c r="BK91" s="3332"/>
      <c r="BL91" s="3332"/>
      <c r="BM91" s="3332"/>
      <c r="BN91" s="3332"/>
      <c r="BO91" s="3332"/>
      <c r="BP91" s="3332"/>
      <c r="BQ91" s="3332"/>
      <c r="BR91" s="3362"/>
    </row>
    <row r="92" customHeight="1" spans="1:70">
      <c r="A92" s="2885"/>
      <c r="B92" s="3169"/>
      <c r="C92" s="3170"/>
      <c r="D92" s="3171"/>
      <c r="E92" s="3170"/>
      <c r="F92" s="3198"/>
      <c r="G92" s="3198"/>
      <c r="H92" s="3198"/>
      <c r="I92" s="3198"/>
      <c r="J92" s="3198"/>
      <c r="K92" s="3198"/>
      <c r="L92" s="3198"/>
      <c r="M92" s="3198"/>
      <c r="N92" s="3198"/>
      <c r="O92" s="3198"/>
      <c r="P92" s="3198"/>
      <c r="Q92" s="3198"/>
      <c r="R92" s="3198"/>
      <c r="S92" s="3198"/>
      <c r="T92" s="3198"/>
      <c r="U92" s="3241"/>
      <c r="V92" s="2717"/>
      <c r="W92" s="3240"/>
      <c r="X92" s="3238"/>
      <c r="Y92" s="3238"/>
      <c r="Z92" s="3238"/>
      <c r="AA92" s="3238"/>
      <c r="AB92" s="3238"/>
      <c r="AC92" s="3238"/>
      <c r="AD92" s="3238"/>
      <c r="AE92" s="3238"/>
      <c r="AF92" s="3238"/>
      <c r="AG92" s="3238"/>
      <c r="AH92" s="3238"/>
      <c r="AI92" s="3238"/>
      <c r="AJ92" s="3238"/>
      <c r="AK92" s="3238"/>
      <c r="AL92" s="3238"/>
      <c r="AM92" s="3238"/>
      <c r="AN92" s="3238"/>
      <c r="AO92" s="3238"/>
      <c r="AP92" s="3238"/>
      <c r="AQ92" s="3238"/>
      <c r="AR92" s="3238"/>
      <c r="AS92" s="3334"/>
      <c r="AT92" s="2772"/>
      <c r="AU92" s="3333"/>
      <c r="AV92" s="3332"/>
      <c r="AW92" s="3332"/>
      <c r="AX92" s="3332"/>
      <c r="AY92" s="3332"/>
      <c r="AZ92" s="3332"/>
      <c r="BA92" s="3332"/>
      <c r="BB92" s="3332"/>
      <c r="BC92" s="3332"/>
      <c r="BD92" s="3332"/>
      <c r="BE92" s="3332"/>
      <c r="BF92" s="3332"/>
      <c r="BG92" s="3332"/>
      <c r="BH92" s="3332"/>
      <c r="BI92" s="3332"/>
      <c r="BJ92" s="3332"/>
      <c r="BK92" s="3332"/>
      <c r="BL92" s="3332"/>
      <c r="BM92" s="3332"/>
      <c r="BN92" s="3332"/>
      <c r="BO92" s="3332"/>
      <c r="BP92" s="3332"/>
      <c r="BQ92" s="3332"/>
      <c r="BR92" s="3362"/>
    </row>
    <row r="93" customHeight="1" spans="1:70">
      <c r="A93" s="2885"/>
      <c r="B93" s="3166"/>
      <c r="C93" s="3167"/>
      <c r="D93" s="3168"/>
      <c r="E93" s="3167"/>
      <c r="F93" s="3196"/>
      <c r="G93" s="3197"/>
      <c r="H93" s="3197"/>
      <c r="I93" s="3197"/>
      <c r="J93" s="3197"/>
      <c r="K93" s="3197"/>
      <c r="L93" s="3197"/>
      <c r="M93" s="3197"/>
      <c r="N93" s="3196"/>
      <c r="O93" s="3197"/>
      <c r="P93" s="3197"/>
      <c r="Q93" s="3197"/>
      <c r="R93" s="3197"/>
      <c r="S93" s="3197"/>
      <c r="T93" s="3197"/>
      <c r="U93" s="3239"/>
      <c r="V93" s="2717"/>
      <c r="W93" s="3240"/>
      <c r="X93" s="3238"/>
      <c r="Y93" s="3238"/>
      <c r="Z93" s="3238"/>
      <c r="AA93" s="3238"/>
      <c r="AB93" s="3238"/>
      <c r="AC93" s="3238"/>
      <c r="AD93" s="3238"/>
      <c r="AE93" s="3238"/>
      <c r="AF93" s="3238"/>
      <c r="AG93" s="3238"/>
      <c r="AH93" s="3238"/>
      <c r="AI93" s="3238"/>
      <c r="AJ93" s="3238"/>
      <c r="AK93" s="3238"/>
      <c r="AL93" s="3238"/>
      <c r="AM93" s="3238"/>
      <c r="AN93" s="3238"/>
      <c r="AO93" s="3238"/>
      <c r="AP93" s="3238"/>
      <c r="AQ93" s="3238"/>
      <c r="AR93" s="3238"/>
      <c r="AS93" s="3334"/>
      <c r="AT93" s="2772"/>
      <c r="AU93" s="3333"/>
      <c r="AV93" s="3332"/>
      <c r="AW93" s="3332"/>
      <c r="AX93" s="3332"/>
      <c r="AY93" s="3332"/>
      <c r="AZ93" s="3332"/>
      <c r="BA93" s="3332"/>
      <c r="BB93" s="3332"/>
      <c r="BC93" s="3332"/>
      <c r="BD93" s="3332"/>
      <c r="BE93" s="3332"/>
      <c r="BF93" s="3332"/>
      <c r="BG93" s="3332"/>
      <c r="BH93" s="3332"/>
      <c r="BI93" s="3332"/>
      <c r="BJ93" s="3332"/>
      <c r="BK93" s="3332"/>
      <c r="BL93" s="3332"/>
      <c r="BM93" s="3332"/>
      <c r="BN93" s="3332"/>
      <c r="BO93" s="3332"/>
      <c r="BP93" s="3332"/>
      <c r="BQ93" s="3332"/>
      <c r="BR93" s="3362"/>
    </row>
    <row r="94" customHeight="1" spans="1:70">
      <c r="A94" s="2885"/>
      <c r="B94" s="3172"/>
      <c r="C94" s="3173"/>
      <c r="D94" s="3174"/>
      <c r="E94" s="3173"/>
      <c r="F94" s="3199"/>
      <c r="G94" s="3199"/>
      <c r="H94" s="3199"/>
      <c r="I94" s="3199"/>
      <c r="J94" s="3199"/>
      <c r="K94" s="3199"/>
      <c r="L94" s="3199"/>
      <c r="M94" s="3199"/>
      <c r="N94" s="3199"/>
      <c r="O94" s="3199"/>
      <c r="P94" s="3199"/>
      <c r="Q94" s="3199"/>
      <c r="R94" s="3199"/>
      <c r="S94" s="3199"/>
      <c r="T94" s="3199"/>
      <c r="U94" s="3242"/>
      <c r="V94" s="2717"/>
      <c r="W94" s="3243"/>
      <c r="X94" s="3244"/>
      <c r="Y94" s="3244"/>
      <c r="Z94" s="3244"/>
      <c r="AA94" s="3244"/>
      <c r="AB94" s="3244"/>
      <c r="AC94" s="3244"/>
      <c r="AD94" s="3244"/>
      <c r="AE94" s="3244"/>
      <c r="AF94" s="3244"/>
      <c r="AG94" s="3244"/>
      <c r="AH94" s="3244"/>
      <c r="AI94" s="3244"/>
      <c r="AJ94" s="3244"/>
      <c r="AK94" s="3244"/>
      <c r="AL94" s="3244"/>
      <c r="AM94" s="3244"/>
      <c r="AN94" s="3244"/>
      <c r="AO94" s="3244"/>
      <c r="AP94" s="3244"/>
      <c r="AQ94" s="3244"/>
      <c r="AR94" s="3244"/>
      <c r="AS94" s="3335"/>
      <c r="AT94" s="2772"/>
      <c r="AU94" s="3333"/>
      <c r="AV94" s="3332"/>
      <c r="AW94" s="3332"/>
      <c r="AX94" s="3332"/>
      <c r="AY94" s="3332"/>
      <c r="AZ94" s="3332"/>
      <c r="BA94" s="3332"/>
      <c r="BB94" s="3332"/>
      <c r="BC94" s="3332"/>
      <c r="BD94" s="3332"/>
      <c r="BE94" s="3332"/>
      <c r="BF94" s="3332"/>
      <c r="BG94" s="3332"/>
      <c r="BH94" s="3332"/>
      <c r="BI94" s="3332"/>
      <c r="BJ94" s="3332"/>
      <c r="BK94" s="3332"/>
      <c r="BL94" s="3332"/>
      <c r="BM94" s="3332"/>
      <c r="BN94" s="3332"/>
      <c r="BO94" s="3332"/>
      <c r="BP94" s="3332"/>
      <c r="BQ94" s="3332"/>
      <c r="BR94" s="3362"/>
    </row>
    <row r="95" customHeight="1" spans="1:70">
      <c r="A95" s="2717"/>
      <c r="B95" s="2717"/>
      <c r="C95" s="2717"/>
      <c r="D95" s="2717"/>
      <c r="E95" s="2717"/>
      <c r="F95" s="2717"/>
      <c r="G95" s="2717"/>
      <c r="H95" s="2717"/>
      <c r="I95" s="2717"/>
      <c r="J95" s="2717"/>
      <c r="K95" s="2717"/>
      <c r="L95" s="2717"/>
      <c r="M95" s="2717"/>
      <c r="N95" s="2717"/>
      <c r="O95" s="2717"/>
      <c r="P95" s="2717"/>
      <c r="Q95" s="2717"/>
      <c r="R95" s="2717"/>
      <c r="S95" s="2717"/>
      <c r="T95" s="2717"/>
      <c r="U95" s="2717"/>
      <c r="V95" s="2717"/>
      <c r="W95" s="2717"/>
      <c r="X95" s="2717"/>
      <c r="Y95" s="2717"/>
      <c r="Z95" s="2717"/>
      <c r="AA95" s="2717"/>
      <c r="AB95" s="2717"/>
      <c r="AC95" s="2717"/>
      <c r="AD95" s="2717"/>
      <c r="AE95" s="2717"/>
      <c r="AF95" s="2717"/>
      <c r="AG95" s="2717"/>
      <c r="AH95" s="2772"/>
      <c r="AI95" s="2717"/>
      <c r="AJ95" s="2717"/>
      <c r="AK95" s="2717"/>
      <c r="AL95" s="2717"/>
      <c r="AM95" s="2717"/>
      <c r="AN95" s="2717"/>
      <c r="AO95" s="2717"/>
      <c r="AP95" s="2717"/>
      <c r="AQ95" s="2717"/>
      <c r="AR95" s="2717"/>
      <c r="AS95" s="2772"/>
      <c r="AT95" s="2772"/>
      <c r="AU95" s="3333"/>
      <c r="AV95" s="3332"/>
      <c r="AW95" s="3332"/>
      <c r="AX95" s="3332"/>
      <c r="AY95" s="3332"/>
      <c r="AZ95" s="3332"/>
      <c r="BA95" s="3332"/>
      <c r="BB95" s="3332"/>
      <c r="BC95" s="3332"/>
      <c r="BD95" s="3332"/>
      <c r="BE95" s="3332"/>
      <c r="BF95" s="3332"/>
      <c r="BG95" s="3332"/>
      <c r="BH95" s="3332"/>
      <c r="BI95" s="3332"/>
      <c r="BJ95" s="3332"/>
      <c r="BK95" s="3332"/>
      <c r="BL95" s="3332"/>
      <c r="BM95" s="3332"/>
      <c r="BN95" s="3332"/>
      <c r="BO95" s="3332"/>
      <c r="BP95" s="3332"/>
      <c r="BQ95" s="3332"/>
      <c r="BR95" s="3362"/>
    </row>
    <row r="96" customHeight="1" spans="1:70">
      <c r="A96" s="2717"/>
      <c r="B96" s="3175" t="s">
        <v>250</v>
      </c>
      <c r="C96" s="3176"/>
      <c r="D96" s="3176"/>
      <c r="E96" s="3176"/>
      <c r="F96" s="3176"/>
      <c r="G96" s="3176"/>
      <c r="H96" s="3176"/>
      <c r="I96" s="3176"/>
      <c r="J96" s="3176"/>
      <c r="K96" s="3176"/>
      <c r="L96" s="3176"/>
      <c r="M96" s="3176"/>
      <c r="N96" s="3176"/>
      <c r="O96" s="3176"/>
      <c r="P96" s="3176"/>
      <c r="Q96" s="3176"/>
      <c r="R96" s="3176"/>
      <c r="S96" s="3176"/>
      <c r="T96" s="3176"/>
      <c r="U96" s="3245"/>
      <c r="V96" s="2717"/>
      <c r="W96" s="3246" t="s">
        <v>251</v>
      </c>
      <c r="X96" s="3247"/>
      <c r="Y96" s="3247"/>
      <c r="Z96" s="3247"/>
      <c r="AA96" s="3247"/>
      <c r="AB96" s="3247"/>
      <c r="AC96" s="3247"/>
      <c r="AD96" s="3247"/>
      <c r="AE96" s="3247"/>
      <c r="AF96" s="3247"/>
      <c r="AG96" s="3247"/>
      <c r="AH96" s="3247"/>
      <c r="AI96" s="3247"/>
      <c r="AJ96" s="3247"/>
      <c r="AK96" s="3247"/>
      <c r="AL96" s="3247"/>
      <c r="AM96" s="3247"/>
      <c r="AN96" s="3247"/>
      <c r="AO96" s="3247"/>
      <c r="AP96" s="3247"/>
      <c r="AQ96" s="3247"/>
      <c r="AR96" s="3247"/>
      <c r="AS96" s="3336"/>
      <c r="AT96" s="2772"/>
      <c r="AU96" s="3333"/>
      <c r="AV96" s="3332"/>
      <c r="AW96" s="3332"/>
      <c r="AX96" s="3332"/>
      <c r="AY96" s="3332"/>
      <c r="AZ96" s="3332"/>
      <c r="BA96" s="3332"/>
      <c r="BB96" s="3332"/>
      <c r="BC96" s="3332"/>
      <c r="BD96" s="3332"/>
      <c r="BE96" s="3332"/>
      <c r="BF96" s="3332"/>
      <c r="BG96" s="3332"/>
      <c r="BH96" s="3332"/>
      <c r="BI96" s="3332"/>
      <c r="BJ96" s="3332"/>
      <c r="BK96" s="3332"/>
      <c r="BL96" s="3332"/>
      <c r="BM96" s="3332"/>
      <c r="BN96" s="3332"/>
      <c r="BO96" s="3332"/>
      <c r="BP96" s="3332"/>
      <c r="BQ96" s="3332"/>
      <c r="BR96" s="3362"/>
    </row>
    <row r="97" customHeight="1" spans="1:70">
      <c r="A97" s="2717"/>
      <c r="B97" s="3177" t="s">
        <v>252</v>
      </c>
      <c r="C97" s="3178"/>
      <c r="D97" s="3178"/>
      <c r="E97" s="3178"/>
      <c r="F97" s="3178"/>
      <c r="G97" s="3178"/>
      <c r="H97" s="3178"/>
      <c r="I97" s="3178"/>
      <c r="J97" s="3207" t="s">
        <v>253</v>
      </c>
      <c r="K97" s="3178"/>
      <c r="L97" s="3178"/>
      <c r="M97" s="3178"/>
      <c r="N97" s="3178"/>
      <c r="O97" s="3178"/>
      <c r="P97" s="3178"/>
      <c r="Q97" s="3178"/>
      <c r="R97" s="3178"/>
      <c r="S97" s="3178"/>
      <c r="T97" s="3178"/>
      <c r="U97" s="3248"/>
      <c r="V97" s="2717"/>
      <c r="W97" s="3249" t="s">
        <v>254</v>
      </c>
      <c r="X97" s="3250"/>
      <c r="Y97" s="3250"/>
      <c r="Z97" s="3276"/>
      <c r="AA97" s="3250"/>
      <c r="AB97" s="3250"/>
      <c r="AC97" s="3250"/>
      <c r="AD97" s="3250"/>
      <c r="AE97" s="3250"/>
      <c r="AF97" s="3250"/>
      <c r="AG97" s="3250"/>
      <c r="AH97" s="3250"/>
      <c r="AI97" s="3250"/>
      <c r="AJ97" s="3250"/>
      <c r="AK97" s="3250"/>
      <c r="AL97" s="3250"/>
      <c r="AM97" s="3250"/>
      <c r="AN97" s="3250"/>
      <c r="AO97" s="3250"/>
      <c r="AP97" s="3250"/>
      <c r="AQ97" s="3250"/>
      <c r="AR97" s="3250"/>
      <c r="AS97" s="3337"/>
      <c r="AT97" s="2772"/>
      <c r="AU97" s="3333"/>
      <c r="AV97" s="3332"/>
      <c r="AW97" s="3332"/>
      <c r="AX97" s="3332"/>
      <c r="AY97" s="3332"/>
      <c r="AZ97" s="3332"/>
      <c r="BA97" s="3332"/>
      <c r="BB97" s="3332"/>
      <c r="BC97" s="3332"/>
      <c r="BD97" s="3332"/>
      <c r="BE97" s="3332"/>
      <c r="BF97" s="3332"/>
      <c r="BG97" s="3332"/>
      <c r="BH97" s="3332"/>
      <c r="BI97" s="3332"/>
      <c r="BJ97" s="3332"/>
      <c r="BK97" s="3332"/>
      <c r="BL97" s="3332"/>
      <c r="BM97" s="3332"/>
      <c r="BN97" s="3332"/>
      <c r="BO97" s="3332"/>
      <c r="BP97" s="3332"/>
      <c r="BQ97" s="3332"/>
      <c r="BR97" s="3362"/>
    </row>
    <row r="98" customHeight="1" spans="1:70">
      <c r="A98" s="2717"/>
      <c r="B98" s="3179" t="s">
        <v>255</v>
      </c>
      <c r="C98" s="3180"/>
      <c r="D98" s="3180"/>
      <c r="E98" s="3180"/>
      <c r="F98" s="3180"/>
      <c r="G98" s="3180"/>
      <c r="H98" s="3180"/>
      <c r="I98" s="3208"/>
      <c r="J98" s="3209" t="s">
        <v>256</v>
      </c>
      <c r="K98" s="3209"/>
      <c r="L98" s="3209"/>
      <c r="M98" s="3209"/>
      <c r="N98" s="3209"/>
      <c r="O98" s="3209"/>
      <c r="P98" s="3209"/>
      <c r="Q98" s="3209"/>
      <c r="R98" s="3209"/>
      <c r="S98" s="3209"/>
      <c r="T98" s="3209"/>
      <c r="U98" s="3251"/>
      <c r="V98" s="2717"/>
      <c r="W98" s="3252" t="s">
        <v>257</v>
      </c>
      <c r="X98" s="3253"/>
      <c r="Y98" s="3253"/>
      <c r="Z98" s="3277"/>
      <c r="AA98" s="3278" t="s">
        <v>258</v>
      </c>
      <c r="AB98" s="3253"/>
      <c r="AC98" s="3253"/>
      <c r="AD98" s="3253"/>
      <c r="AE98" s="3253"/>
      <c r="AF98" s="3253"/>
      <c r="AG98" s="3253"/>
      <c r="AH98" s="3253"/>
      <c r="AI98" s="3253"/>
      <c r="AJ98" s="3297"/>
      <c r="AK98" s="3308" t="s">
        <v>124</v>
      </c>
      <c r="AL98" s="3309"/>
      <c r="AM98" s="3309"/>
      <c r="AN98" s="3309"/>
      <c r="AO98" s="3309"/>
      <c r="AP98" s="3309"/>
      <c r="AQ98" s="3317"/>
      <c r="AR98" s="3318" t="s">
        <v>259</v>
      </c>
      <c r="AS98" s="3338"/>
      <c r="AT98" s="2772"/>
      <c r="AU98" s="3333"/>
      <c r="AV98" s="3332"/>
      <c r="AW98" s="3332"/>
      <c r="AX98" s="3332"/>
      <c r="AY98" s="3332"/>
      <c r="AZ98" s="3332"/>
      <c r="BA98" s="3332"/>
      <c r="BB98" s="3332"/>
      <c r="BC98" s="3332"/>
      <c r="BD98" s="3332"/>
      <c r="BE98" s="3332"/>
      <c r="BF98" s="3332"/>
      <c r="BG98" s="3332"/>
      <c r="BH98" s="3332"/>
      <c r="BI98" s="3332"/>
      <c r="BJ98" s="3332"/>
      <c r="BK98" s="3332"/>
      <c r="BL98" s="3332"/>
      <c r="BM98" s="3332"/>
      <c r="BN98" s="3332"/>
      <c r="BO98" s="3332"/>
      <c r="BP98" s="3332"/>
      <c r="BQ98" s="3332"/>
      <c r="BR98" s="3362"/>
    </row>
    <row r="99" customHeight="1" spans="1:70">
      <c r="A99" s="2717"/>
      <c r="B99" s="3181"/>
      <c r="C99" s="3182"/>
      <c r="D99" s="3182"/>
      <c r="E99" s="3182"/>
      <c r="F99" s="3182"/>
      <c r="G99" s="3182"/>
      <c r="H99" s="3182"/>
      <c r="I99" s="3210"/>
      <c r="J99" s="3211"/>
      <c r="K99" s="3212"/>
      <c r="L99" s="3212"/>
      <c r="M99" s="3212"/>
      <c r="N99" s="3212"/>
      <c r="O99" s="3212"/>
      <c r="P99" s="3212"/>
      <c r="Q99" s="3212"/>
      <c r="R99" s="3212"/>
      <c r="S99" s="3212"/>
      <c r="T99" s="3212"/>
      <c r="U99" s="3254"/>
      <c r="V99" s="2717"/>
      <c r="W99" s="3255" t="s">
        <v>260</v>
      </c>
      <c r="X99" s="3212"/>
      <c r="Y99" s="3212"/>
      <c r="Z99" s="3279"/>
      <c r="AA99" s="3280" t="s">
        <v>261</v>
      </c>
      <c r="AB99" s="3281"/>
      <c r="AC99" s="3281"/>
      <c r="AD99" s="3281"/>
      <c r="AE99" s="3281"/>
      <c r="AF99" s="3281"/>
      <c r="AG99" s="3281"/>
      <c r="AH99" s="3281"/>
      <c r="AI99" s="3281"/>
      <c r="AJ99" s="3298"/>
      <c r="AK99" s="3310" t="s">
        <v>262</v>
      </c>
      <c r="AL99" s="3281"/>
      <c r="AM99" s="3281"/>
      <c r="AN99" s="3281"/>
      <c r="AO99" s="3281"/>
      <c r="AP99" s="3281"/>
      <c r="AQ99" s="3319"/>
      <c r="AR99" s="3320">
        <v>6</v>
      </c>
      <c r="AS99" s="3339"/>
      <c r="AT99" s="2772"/>
      <c r="AU99" s="3333"/>
      <c r="AV99" s="3332"/>
      <c r="AW99" s="3332"/>
      <c r="AX99" s="3332"/>
      <c r="AY99" s="3332"/>
      <c r="AZ99" s="3332"/>
      <c r="BA99" s="3332"/>
      <c r="BB99" s="3332"/>
      <c r="BC99" s="3332"/>
      <c r="BD99" s="3332"/>
      <c r="BE99" s="3332"/>
      <c r="BF99" s="3332"/>
      <c r="BG99" s="3332"/>
      <c r="BH99" s="3332"/>
      <c r="BI99" s="3332"/>
      <c r="BJ99" s="3332"/>
      <c r="BK99" s="3332"/>
      <c r="BL99" s="3332"/>
      <c r="BM99" s="3332"/>
      <c r="BN99" s="3332"/>
      <c r="BO99" s="3332"/>
      <c r="BP99" s="3332"/>
      <c r="BQ99" s="3332"/>
      <c r="BR99" s="3362"/>
    </row>
    <row r="100" customHeight="1" spans="1:70">
      <c r="A100" s="2717"/>
      <c r="B100" s="3183"/>
      <c r="C100" s="3184"/>
      <c r="D100" s="3184"/>
      <c r="E100" s="3184"/>
      <c r="F100" s="3184"/>
      <c r="G100" s="3184"/>
      <c r="H100" s="3184"/>
      <c r="I100" s="3213"/>
      <c r="J100" s="3209"/>
      <c r="K100" s="3209"/>
      <c r="L100" s="3209"/>
      <c r="M100" s="3209"/>
      <c r="N100" s="3209"/>
      <c r="O100" s="3209"/>
      <c r="P100" s="3209"/>
      <c r="Q100" s="3209"/>
      <c r="R100" s="3209"/>
      <c r="S100" s="3209"/>
      <c r="T100" s="3209"/>
      <c r="U100" s="3251"/>
      <c r="V100" s="2717"/>
      <c r="W100" s="3256" t="s">
        <v>263</v>
      </c>
      <c r="X100" s="3209"/>
      <c r="Y100" s="3209"/>
      <c r="Z100" s="3282"/>
      <c r="AA100" s="3283" t="s">
        <v>264</v>
      </c>
      <c r="AB100" s="3283"/>
      <c r="AC100" s="3283"/>
      <c r="AD100" s="3283"/>
      <c r="AE100" s="3283"/>
      <c r="AF100" s="3283"/>
      <c r="AG100" s="3283"/>
      <c r="AH100" s="3283"/>
      <c r="AI100" s="3283"/>
      <c r="AJ100" s="3299"/>
      <c r="AK100" s="3311" t="s">
        <v>265</v>
      </c>
      <c r="AL100" s="3283"/>
      <c r="AM100" s="3283"/>
      <c r="AN100" s="3283"/>
      <c r="AO100" s="3283"/>
      <c r="AP100" s="3283"/>
      <c r="AQ100" s="3321"/>
      <c r="AR100" s="3184">
        <v>5</v>
      </c>
      <c r="AS100" s="3340"/>
      <c r="AT100" s="2772"/>
      <c r="AU100" s="3333"/>
      <c r="AV100" s="3332"/>
      <c r="AW100" s="3332"/>
      <c r="AX100" s="3332"/>
      <c r="AY100" s="3332"/>
      <c r="AZ100" s="3332"/>
      <c r="BA100" s="3332"/>
      <c r="BB100" s="3332"/>
      <c r="BC100" s="3332"/>
      <c r="BD100" s="3332"/>
      <c r="BE100" s="3332"/>
      <c r="BF100" s="3332"/>
      <c r="BG100" s="3332"/>
      <c r="BH100" s="3332"/>
      <c r="BI100" s="3332"/>
      <c r="BJ100" s="3332"/>
      <c r="BK100" s="3332"/>
      <c r="BL100" s="3332"/>
      <c r="BM100" s="3332"/>
      <c r="BN100" s="3332"/>
      <c r="BO100" s="3332"/>
      <c r="BP100" s="3332"/>
      <c r="BQ100" s="3332"/>
      <c r="BR100" s="3362"/>
    </row>
    <row r="101" customHeight="1" spans="1:70">
      <c r="A101" s="2717"/>
      <c r="B101" s="3181"/>
      <c r="C101" s="3182"/>
      <c r="D101" s="3182"/>
      <c r="E101" s="3182"/>
      <c r="F101" s="3182"/>
      <c r="G101" s="3182"/>
      <c r="H101" s="3182"/>
      <c r="I101" s="3210"/>
      <c r="J101" s="3211"/>
      <c r="K101" s="3212"/>
      <c r="L101" s="3212"/>
      <c r="M101" s="3212"/>
      <c r="N101" s="3212"/>
      <c r="O101" s="3212"/>
      <c r="P101" s="3212"/>
      <c r="Q101" s="3212"/>
      <c r="R101" s="3212"/>
      <c r="S101" s="3212"/>
      <c r="T101" s="3212"/>
      <c r="U101" s="3254"/>
      <c r="V101" s="2717"/>
      <c r="W101" s="3255"/>
      <c r="X101" s="3212"/>
      <c r="Y101" s="3212"/>
      <c r="Z101" s="3279"/>
      <c r="AA101" s="3284"/>
      <c r="AB101" s="3285"/>
      <c r="AC101" s="3285"/>
      <c r="AD101" s="3285"/>
      <c r="AE101" s="3285"/>
      <c r="AF101" s="3285"/>
      <c r="AG101" s="3285"/>
      <c r="AH101" s="3285"/>
      <c r="AI101" s="3285"/>
      <c r="AJ101" s="3300"/>
      <c r="AK101" s="3312"/>
      <c r="AL101" s="3285"/>
      <c r="AM101" s="3285"/>
      <c r="AN101" s="3285"/>
      <c r="AO101" s="3285"/>
      <c r="AP101" s="3285"/>
      <c r="AQ101" s="3322"/>
      <c r="AR101" s="3320"/>
      <c r="AS101" s="3339"/>
      <c r="AT101" s="2772"/>
      <c r="AU101" s="3333"/>
      <c r="AV101" s="3332"/>
      <c r="AW101" s="3332"/>
      <c r="AX101" s="3332"/>
      <c r="AY101" s="3332"/>
      <c r="AZ101" s="3332"/>
      <c r="BA101" s="3332"/>
      <c r="BB101" s="3332"/>
      <c r="BC101" s="3332"/>
      <c r="BD101" s="3332"/>
      <c r="BE101" s="3332"/>
      <c r="BF101" s="3332"/>
      <c r="BG101" s="3332"/>
      <c r="BH101" s="3332"/>
      <c r="BI101" s="3332"/>
      <c r="BJ101" s="3332"/>
      <c r="BK101" s="3332"/>
      <c r="BL101" s="3332"/>
      <c r="BM101" s="3332"/>
      <c r="BN101" s="3332"/>
      <c r="BO101" s="3332"/>
      <c r="BP101" s="3332"/>
      <c r="BQ101" s="3332"/>
      <c r="BR101" s="3362"/>
    </row>
    <row r="102" customHeight="1" spans="1:70">
      <c r="A102" s="2717"/>
      <c r="B102" s="3183"/>
      <c r="C102" s="3184"/>
      <c r="D102" s="3184"/>
      <c r="E102" s="3184"/>
      <c r="F102" s="3184"/>
      <c r="G102" s="3184"/>
      <c r="H102" s="3184"/>
      <c r="I102" s="3213"/>
      <c r="J102" s="3209"/>
      <c r="K102" s="3209"/>
      <c r="L102" s="3209"/>
      <c r="M102" s="3209"/>
      <c r="N102" s="3209"/>
      <c r="O102" s="3209"/>
      <c r="P102" s="3209"/>
      <c r="Q102" s="3209"/>
      <c r="R102" s="3209"/>
      <c r="S102" s="3209"/>
      <c r="T102" s="3209"/>
      <c r="U102" s="3251"/>
      <c r="V102" s="2717"/>
      <c r="W102" s="3256"/>
      <c r="X102" s="3209"/>
      <c r="Y102" s="3209"/>
      <c r="Z102" s="3282"/>
      <c r="AA102" s="3286"/>
      <c r="AB102" s="3286"/>
      <c r="AC102" s="3286"/>
      <c r="AD102" s="3286"/>
      <c r="AE102" s="3286"/>
      <c r="AF102" s="3286"/>
      <c r="AG102" s="3286"/>
      <c r="AH102" s="3286"/>
      <c r="AI102" s="3286"/>
      <c r="AJ102" s="3301"/>
      <c r="AK102" s="3313"/>
      <c r="AL102" s="3286"/>
      <c r="AM102" s="3286"/>
      <c r="AN102" s="3286"/>
      <c r="AO102" s="3286"/>
      <c r="AP102" s="3286"/>
      <c r="AQ102" s="3323"/>
      <c r="AR102" s="3184"/>
      <c r="AS102" s="3340"/>
      <c r="AT102" s="2772"/>
      <c r="AU102" s="3333"/>
      <c r="AV102" s="3332"/>
      <c r="AW102" s="3332"/>
      <c r="AX102" s="3332"/>
      <c r="AY102" s="3332"/>
      <c r="AZ102" s="3332"/>
      <c r="BA102" s="3332"/>
      <c r="BB102" s="3332"/>
      <c r="BC102" s="3332"/>
      <c r="BD102" s="3332"/>
      <c r="BE102" s="3332"/>
      <c r="BF102" s="3332"/>
      <c r="BG102" s="3332"/>
      <c r="BH102" s="3332"/>
      <c r="BI102" s="3332"/>
      <c r="BJ102" s="3332"/>
      <c r="BK102" s="3332"/>
      <c r="BL102" s="3332"/>
      <c r="BM102" s="3332"/>
      <c r="BN102" s="3332"/>
      <c r="BO102" s="3332"/>
      <c r="BP102" s="3332"/>
      <c r="BQ102" s="3332"/>
      <c r="BR102" s="3362"/>
    </row>
    <row r="103" customHeight="1" spans="1:70">
      <c r="A103" s="2717"/>
      <c r="B103" s="3181"/>
      <c r="C103" s="3182"/>
      <c r="D103" s="3182"/>
      <c r="E103" s="3182"/>
      <c r="F103" s="3182"/>
      <c r="G103" s="3182"/>
      <c r="H103" s="3182"/>
      <c r="I103" s="3210"/>
      <c r="J103" s="3211"/>
      <c r="K103" s="3212"/>
      <c r="L103" s="3212"/>
      <c r="M103" s="3212"/>
      <c r="N103" s="3212"/>
      <c r="O103" s="3212"/>
      <c r="P103" s="3212"/>
      <c r="Q103" s="3212"/>
      <c r="R103" s="3212"/>
      <c r="S103" s="3212"/>
      <c r="T103" s="3212"/>
      <c r="U103" s="3254"/>
      <c r="V103" s="2717"/>
      <c r="W103" s="3255"/>
      <c r="X103" s="3212"/>
      <c r="Y103" s="3212"/>
      <c r="Z103" s="3279"/>
      <c r="AA103" s="3284"/>
      <c r="AB103" s="3285"/>
      <c r="AC103" s="3285"/>
      <c r="AD103" s="3285"/>
      <c r="AE103" s="3285"/>
      <c r="AF103" s="3285"/>
      <c r="AG103" s="3285"/>
      <c r="AH103" s="3285"/>
      <c r="AI103" s="3285"/>
      <c r="AJ103" s="3300"/>
      <c r="AK103" s="3312"/>
      <c r="AL103" s="3285"/>
      <c r="AM103" s="3285"/>
      <c r="AN103" s="3285"/>
      <c r="AO103" s="3285"/>
      <c r="AP103" s="3285"/>
      <c r="AQ103" s="3322"/>
      <c r="AR103" s="3320"/>
      <c r="AS103" s="3339"/>
      <c r="AT103" s="2772"/>
      <c r="AU103" s="3333"/>
      <c r="AV103" s="3332"/>
      <c r="AW103" s="3332"/>
      <c r="AX103" s="3332"/>
      <c r="AY103" s="3332"/>
      <c r="AZ103" s="3332"/>
      <c r="BA103" s="3332"/>
      <c r="BB103" s="3332"/>
      <c r="BC103" s="3332"/>
      <c r="BD103" s="3332"/>
      <c r="BE103" s="3332"/>
      <c r="BF103" s="3332"/>
      <c r="BG103" s="3332"/>
      <c r="BH103" s="3332"/>
      <c r="BI103" s="3332"/>
      <c r="BJ103" s="3332"/>
      <c r="BK103" s="3332"/>
      <c r="BL103" s="3332"/>
      <c r="BM103" s="3332"/>
      <c r="BN103" s="3332"/>
      <c r="BO103" s="3332"/>
      <c r="BP103" s="3332"/>
      <c r="BQ103" s="3332"/>
      <c r="BR103" s="3362"/>
    </row>
    <row r="104" customHeight="1" spans="1:70">
      <c r="A104" s="2717"/>
      <c r="B104" s="3183"/>
      <c r="C104" s="3184"/>
      <c r="D104" s="3184"/>
      <c r="E104" s="3184"/>
      <c r="F104" s="3184"/>
      <c r="G104" s="3184"/>
      <c r="H104" s="3184"/>
      <c r="I104" s="3213"/>
      <c r="J104" s="3209"/>
      <c r="K104" s="3209"/>
      <c r="L104" s="3209"/>
      <c r="M104" s="3209"/>
      <c r="N104" s="3209"/>
      <c r="O104" s="3209"/>
      <c r="P104" s="3209"/>
      <c r="Q104" s="3209"/>
      <c r="R104" s="3209"/>
      <c r="S104" s="3209"/>
      <c r="T104" s="3209"/>
      <c r="U104" s="3251"/>
      <c r="V104" s="2717"/>
      <c r="W104" s="3256"/>
      <c r="X104" s="3209"/>
      <c r="Y104" s="3209"/>
      <c r="Z104" s="3282"/>
      <c r="AA104" s="3286"/>
      <c r="AB104" s="3286"/>
      <c r="AC104" s="3286"/>
      <c r="AD104" s="3286"/>
      <c r="AE104" s="3286"/>
      <c r="AF104" s="3286"/>
      <c r="AG104" s="3286"/>
      <c r="AH104" s="3286"/>
      <c r="AI104" s="3286"/>
      <c r="AJ104" s="3301"/>
      <c r="AK104" s="3313"/>
      <c r="AL104" s="3286"/>
      <c r="AM104" s="3286"/>
      <c r="AN104" s="3286"/>
      <c r="AO104" s="3286"/>
      <c r="AP104" s="3286"/>
      <c r="AQ104" s="3323"/>
      <c r="AR104" s="3184"/>
      <c r="AS104" s="3340"/>
      <c r="AT104" s="2717"/>
      <c r="AU104" s="3333"/>
      <c r="AV104" s="3332"/>
      <c r="AW104" s="3332"/>
      <c r="AX104" s="3332"/>
      <c r="AY104" s="3332"/>
      <c r="AZ104" s="3332"/>
      <c r="BA104" s="3332"/>
      <c r="BB104" s="3332"/>
      <c r="BC104" s="3332"/>
      <c r="BD104" s="3332"/>
      <c r="BE104" s="3332"/>
      <c r="BF104" s="3332"/>
      <c r="BG104" s="3332"/>
      <c r="BH104" s="3332"/>
      <c r="BI104" s="3332"/>
      <c r="BJ104" s="3332"/>
      <c r="BK104" s="3332"/>
      <c r="BL104" s="3332"/>
      <c r="BM104" s="3332"/>
      <c r="BN104" s="3332"/>
      <c r="BO104" s="3332"/>
      <c r="BP104" s="3332"/>
      <c r="BQ104" s="3332"/>
      <c r="BR104" s="3362"/>
    </row>
    <row r="105" customHeight="1" spans="1:70">
      <c r="A105" s="2717"/>
      <c r="B105" s="3181"/>
      <c r="C105" s="3182"/>
      <c r="D105" s="3182"/>
      <c r="E105" s="3182"/>
      <c r="F105" s="3182"/>
      <c r="G105" s="3182"/>
      <c r="H105" s="3182"/>
      <c r="I105" s="3210"/>
      <c r="J105" s="3211"/>
      <c r="K105" s="3212"/>
      <c r="L105" s="3212"/>
      <c r="M105" s="3212"/>
      <c r="N105" s="3212"/>
      <c r="O105" s="3212"/>
      <c r="P105" s="3212"/>
      <c r="Q105" s="3212"/>
      <c r="R105" s="3212"/>
      <c r="S105" s="3212"/>
      <c r="T105" s="3212"/>
      <c r="U105" s="3254"/>
      <c r="V105" s="2717"/>
      <c r="W105" s="3255"/>
      <c r="X105" s="3212"/>
      <c r="Y105" s="3212"/>
      <c r="Z105" s="3279"/>
      <c r="AA105" s="3284"/>
      <c r="AB105" s="3285"/>
      <c r="AC105" s="3285"/>
      <c r="AD105" s="3285"/>
      <c r="AE105" s="3285"/>
      <c r="AF105" s="3285"/>
      <c r="AG105" s="3285"/>
      <c r="AH105" s="3285"/>
      <c r="AI105" s="3285"/>
      <c r="AJ105" s="3300"/>
      <c r="AK105" s="3312"/>
      <c r="AL105" s="3285"/>
      <c r="AM105" s="3285"/>
      <c r="AN105" s="3285"/>
      <c r="AO105" s="3285"/>
      <c r="AP105" s="3285"/>
      <c r="AQ105" s="3322"/>
      <c r="AR105" s="3320"/>
      <c r="AS105" s="3339"/>
      <c r="AT105" s="2717"/>
      <c r="AU105" s="3341" t="s">
        <v>266</v>
      </c>
      <c r="AV105" s="3342"/>
      <c r="AW105" s="3342"/>
      <c r="AX105" s="3342"/>
      <c r="AY105" s="3342"/>
      <c r="AZ105" s="3342"/>
      <c r="BA105" s="3342"/>
      <c r="BB105" s="3342"/>
      <c r="BC105" s="3342"/>
      <c r="BD105" s="3342"/>
      <c r="BE105" s="3342"/>
      <c r="BF105" s="3342"/>
      <c r="BG105" s="3342"/>
      <c r="BH105" s="3342"/>
      <c r="BI105" s="3342"/>
      <c r="BJ105" s="3342"/>
      <c r="BK105" s="3342"/>
      <c r="BL105" s="3342"/>
      <c r="BM105" s="3342"/>
      <c r="BN105" s="3342"/>
      <c r="BO105" s="3342"/>
      <c r="BP105" s="3342"/>
      <c r="BQ105" s="3342"/>
      <c r="BR105" s="3363"/>
    </row>
    <row r="106" customHeight="1" spans="1:70">
      <c r="A106" s="2717"/>
      <c r="B106" s="3183"/>
      <c r="C106" s="3184"/>
      <c r="D106" s="3184"/>
      <c r="E106" s="3184"/>
      <c r="F106" s="3184"/>
      <c r="G106" s="3184"/>
      <c r="H106" s="3184"/>
      <c r="I106" s="3213"/>
      <c r="J106" s="3209"/>
      <c r="K106" s="3209"/>
      <c r="L106" s="3209"/>
      <c r="M106" s="3209"/>
      <c r="N106" s="3209"/>
      <c r="O106" s="3209"/>
      <c r="P106" s="3209"/>
      <c r="Q106" s="3209"/>
      <c r="R106" s="3209"/>
      <c r="S106" s="3209"/>
      <c r="T106" s="3209"/>
      <c r="U106" s="3251"/>
      <c r="V106" s="2717"/>
      <c r="W106" s="3256"/>
      <c r="X106" s="3209"/>
      <c r="Y106" s="3209"/>
      <c r="Z106" s="3282"/>
      <c r="AA106" s="3286"/>
      <c r="AB106" s="3286"/>
      <c r="AC106" s="3286"/>
      <c r="AD106" s="3286"/>
      <c r="AE106" s="3286"/>
      <c r="AF106" s="3286"/>
      <c r="AG106" s="3286"/>
      <c r="AH106" s="3286"/>
      <c r="AI106" s="3286"/>
      <c r="AJ106" s="3301"/>
      <c r="AK106" s="3313"/>
      <c r="AL106" s="3286"/>
      <c r="AM106" s="3286"/>
      <c r="AN106" s="3286"/>
      <c r="AO106" s="3286"/>
      <c r="AP106" s="3286"/>
      <c r="AQ106" s="3323"/>
      <c r="AR106" s="3184"/>
      <c r="AS106" s="3340"/>
      <c r="AT106" s="2717"/>
      <c r="AU106" s="3343" t="str">
        <f>附表!AP22</f>
        <v>总统：
   约瑟夫·拜登（民主党）</v>
      </c>
      <c r="AV106" s="3344"/>
      <c r="AW106" s="3344"/>
      <c r="AX106" s="3344"/>
      <c r="AY106" s="3344"/>
      <c r="AZ106" s="3344"/>
      <c r="BA106" s="3344"/>
      <c r="BB106" s="3344"/>
      <c r="BC106" s="3344"/>
      <c r="BD106" s="3344"/>
      <c r="BE106" s="3344"/>
      <c r="BF106" s="3344"/>
      <c r="BG106" s="3344"/>
      <c r="BH106" s="3344"/>
      <c r="BI106" s="3344"/>
      <c r="BJ106" s="3344"/>
      <c r="BK106" s="3344"/>
      <c r="BL106" s="3344"/>
      <c r="BM106" s="3344"/>
      <c r="BN106" s="3344"/>
      <c r="BO106" s="3344"/>
      <c r="BP106" s="3344"/>
      <c r="BQ106" s="3344"/>
      <c r="BR106" s="3364"/>
    </row>
    <row r="107" customHeight="1" spans="1:70">
      <c r="A107" s="2717"/>
      <c r="B107" s="3181"/>
      <c r="C107" s="3182"/>
      <c r="D107" s="3182"/>
      <c r="E107" s="3182"/>
      <c r="F107" s="3182"/>
      <c r="G107" s="3182"/>
      <c r="H107" s="3182"/>
      <c r="I107" s="3210"/>
      <c r="J107" s="3211"/>
      <c r="K107" s="3212"/>
      <c r="L107" s="3212"/>
      <c r="M107" s="3212"/>
      <c r="N107" s="3212"/>
      <c r="O107" s="3212"/>
      <c r="P107" s="3212"/>
      <c r="Q107" s="3212"/>
      <c r="R107" s="3212"/>
      <c r="S107" s="3212"/>
      <c r="T107" s="3212"/>
      <c r="U107" s="3254"/>
      <c r="V107" s="2717"/>
      <c r="W107" s="3255"/>
      <c r="X107" s="3212"/>
      <c r="Y107" s="3212"/>
      <c r="Z107" s="3279"/>
      <c r="AA107" s="3284"/>
      <c r="AB107" s="3285"/>
      <c r="AC107" s="3285"/>
      <c r="AD107" s="3285"/>
      <c r="AE107" s="3285"/>
      <c r="AF107" s="3285"/>
      <c r="AG107" s="3285"/>
      <c r="AH107" s="3285"/>
      <c r="AI107" s="3285"/>
      <c r="AJ107" s="3300"/>
      <c r="AK107" s="3312"/>
      <c r="AL107" s="3285"/>
      <c r="AM107" s="3285"/>
      <c r="AN107" s="3285"/>
      <c r="AO107" s="3285"/>
      <c r="AP107" s="3285"/>
      <c r="AQ107" s="3322"/>
      <c r="AR107" s="3320"/>
      <c r="AS107" s="3339"/>
      <c r="AT107" s="2717"/>
      <c r="AU107" s="3345"/>
      <c r="AV107" s="3344"/>
      <c r="AW107" s="3344"/>
      <c r="AX107" s="3344"/>
      <c r="AY107" s="3344"/>
      <c r="AZ107" s="3344"/>
      <c r="BA107" s="3344"/>
      <c r="BB107" s="3344"/>
      <c r="BC107" s="3344"/>
      <c r="BD107" s="3344"/>
      <c r="BE107" s="3344"/>
      <c r="BF107" s="3344"/>
      <c r="BG107" s="3344"/>
      <c r="BH107" s="3344"/>
      <c r="BI107" s="3344"/>
      <c r="BJ107" s="3344"/>
      <c r="BK107" s="3344"/>
      <c r="BL107" s="3344"/>
      <c r="BM107" s="3344"/>
      <c r="BN107" s="3344"/>
      <c r="BO107" s="3344"/>
      <c r="BP107" s="3344"/>
      <c r="BQ107" s="3344"/>
      <c r="BR107" s="3364"/>
    </row>
    <row r="108" customHeight="1" spans="1:70">
      <c r="A108" s="2717"/>
      <c r="B108" s="3183"/>
      <c r="C108" s="3184"/>
      <c r="D108" s="3184"/>
      <c r="E108" s="3184"/>
      <c r="F108" s="3184"/>
      <c r="G108" s="3184"/>
      <c r="H108" s="3184"/>
      <c r="I108" s="3213"/>
      <c r="J108" s="3209"/>
      <c r="K108" s="3209"/>
      <c r="L108" s="3209"/>
      <c r="M108" s="3209"/>
      <c r="N108" s="3209"/>
      <c r="O108" s="3209"/>
      <c r="P108" s="3209"/>
      <c r="Q108" s="3209"/>
      <c r="R108" s="3209"/>
      <c r="S108" s="3209"/>
      <c r="T108" s="3209"/>
      <c r="U108" s="3251"/>
      <c r="V108" s="2717"/>
      <c r="W108" s="3256"/>
      <c r="X108" s="3209"/>
      <c r="Y108" s="3209"/>
      <c r="Z108" s="3282"/>
      <c r="AA108" s="3286"/>
      <c r="AB108" s="3286"/>
      <c r="AC108" s="3286"/>
      <c r="AD108" s="3286"/>
      <c r="AE108" s="3286"/>
      <c r="AF108" s="3286"/>
      <c r="AG108" s="3286"/>
      <c r="AH108" s="3286"/>
      <c r="AI108" s="3286"/>
      <c r="AJ108" s="3301"/>
      <c r="AK108" s="3313"/>
      <c r="AL108" s="3286"/>
      <c r="AM108" s="3286"/>
      <c r="AN108" s="3286"/>
      <c r="AO108" s="3286"/>
      <c r="AP108" s="3286"/>
      <c r="AQ108" s="3323"/>
      <c r="AR108" s="3184"/>
      <c r="AS108" s="3340"/>
      <c r="AT108" s="2772"/>
      <c r="AU108" s="3345"/>
      <c r="AV108" s="3344"/>
      <c r="AW108" s="3344"/>
      <c r="AX108" s="3344"/>
      <c r="AY108" s="3344"/>
      <c r="AZ108" s="3344"/>
      <c r="BA108" s="3344"/>
      <c r="BB108" s="3344"/>
      <c r="BC108" s="3344"/>
      <c r="BD108" s="3344"/>
      <c r="BE108" s="3344"/>
      <c r="BF108" s="3344"/>
      <c r="BG108" s="3344"/>
      <c r="BH108" s="3344"/>
      <c r="BI108" s="3344"/>
      <c r="BJ108" s="3344"/>
      <c r="BK108" s="3344"/>
      <c r="BL108" s="3344"/>
      <c r="BM108" s="3344"/>
      <c r="BN108" s="3344"/>
      <c r="BO108" s="3344"/>
      <c r="BP108" s="3344"/>
      <c r="BQ108" s="3344"/>
      <c r="BR108" s="3364"/>
    </row>
    <row r="109" customHeight="1" spans="1:70">
      <c r="A109" s="2717"/>
      <c r="B109" s="3181"/>
      <c r="C109" s="3182"/>
      <c r="D109" s="3182"/>
      <c r="E109" s="3182"/>
      <c r="F109" s="3182"/>
      <c r="G109" s="3182"/>
      <c r="H109" s="3182"/>
      <c r="I109" s="3210"/>
      <c r="J109" s="3211"/>
      <c r="K109" s="3212"/>
      <c r="L109" s="3212"/>
      <c r="M109" s="3212"/>
      <c r="N109" s="3212"/>
      <c r="O109" s="3212"/>
      <c r="P109" s="3212"/>
      <c r="Q109" s="3212"/>
      <c r="R109" s="3212"/>
      <c r="S109" s="3212"/>
      <c r="T109" s="3212"/>
      <c r="U109" s="3254"/>
      <c r="V109" s="2717"/>
      <c r="W109" s="3255"/>
      <c r="X109" s="3212"/>
      <c r="Y109" s="3212"/>
      <c r="Z109" s="3279"/>
      <c r="AA109" s="3284"/>
      <c r="AB109" s="3285"/>
      <c r="AC109" s="3285"/>
      <c r="AD109" s="3285"/>
      <c r="AE109" s="3285"/>
      <c r="AF109" s="3285"/>
      <c r="AG109" s="3285"/>
      <c r="AH109" s="3285"/>
      <c r="AI109" s="3285"/>
      <c r="AJ109" s="3300"/>
      <c r="AK109" s="3312"/>
      <c r="AL109" s="3285"/>
      <c r="AM109" s="3285"/>
      <c r="AN109" s="3285"/>
      <c r="AO109" s="3285"/>
      <c r="AP109" s="3285"/>
      <c r="AQ109" s="3322"/>
      <c r="AR109" s="3320"/>
      <c r="AS109" s="3339"/>
      <c r="AT109" s="2772"/>
      <c r="AU109" s="3345"/>
      <c r="AV109" s="3344"/>
      <c r="AW109" s="3344"/>
      <c r="AX109" s="3344"/>
      <c r="AY109" s="3344"/>
      <c r="AZ109" s="3344"/>
      <c r="BA109" s="3344"/>
      <c r="BB109" s="3344"/>
      <c r="BC109" s="3344"/>
      <c r="BD109" s="3344"/>
      <c r="BE109" s="3344"/>
      <c r="BF109" s="3344"/>
      <c r="BG109" s="3344"/>
      <c r="BH109" s="3344"/>
      <c r="BI109" s="3344"/>
      <c r="BJ109" s="3344"/>
      <c r="BK109" s="3344"/>
      <c r="BL109" s="3344"/>
      <c r="BM109" s="3344"/>
      <c r="BN109" s="3344"/>
      <c r="BO109" s="3344"/>
      <c r="BP109" s="3344"/>
      <c r="BQ109" s="3344"/>
      <c r="BR109" s="3364"/>
    </row>
    <row r="110" customHeight="1" spans="1:70">
      <c r="A110" s="2717"/>
      <c r="B110" s="3183"/>
      <c r="C110" s="3184"/>
      <c r="D110" s="3184"/>
      <c r="E110" s="3184"/>
      <c r="F110" s="3184"/>
      <c r="G110" s="3184"/>
      <c r="H110" s="3184"/>
      <c r="I110" s="3213"/>
      <c r="J110" s="3209"/>
      <c r="K110" s="3209"/>
      <c r="L110" s="3209"/>
      <c r="M110" s="3209"/>
      <c r="N110" s="3209"/>
      <c r="O110" s="3209"/>
      <c r="P110" s="3209"/>
      <c r="Q110" s="3209"/>
      <c r="R110" s="3209"/>
      <c r="S110" s="3209"/>
      <c r="T110" s="3209"/>
      <c r="U110" s="3251"/>
      <c r="V110" s="2717"/>
      <c r="W110" s="3256"/>
      <c r="X110" s="3209"/>
      <c r="Y110" s="3209"/>
      <c r="Z110" s="3282"/>
      <c r="AA110" s="3286"/>
      <c r="AB110" s="3286"/>
      <c r="AC110" s="3286"/>
      <c r="AD110" s="3286"/>
      <c r="AE110" s="3286"/>
      <c r="AF110" s="3286"/>
      <c r="AG110" s="3286"/>
      <c r="AH110" s="3286"/>
      <c r="AI110" s="3286"/>
      <c r="AJ110" s="3301"/>
      <c r="AK110" s="3313"/>
      <c r="AL110" s="3286"/>
      <c r="AM110" s="3286"/>
      <c r="AN110" s="3286"/>
      <c r="AO110" s="3286"/>
      <c r="AP110" s="3286"/>
      <c r="AQ110" s="3323"/>
      <c r="AR110" s="3184"/>
      <c r="AS110" s="3340"/>
      <c r="AT110" s="2717"/>
      <c r="AU110" s="3345"/>
      <c r="AV110" s="3344"/>
      <c r="AW110" s="3344"/>
      <c r="AX110" s="3344"/>
      <c r="AY110" s="3344"/>
      <c r="AZ110" s="3344"/>
      <c r="BA110" s="3344"/>
      <c r="BB110" s="3344"/>
      <c r="BC110" s="3344"/>
      <c r="BD110" s="3344"/>
      <c r="BE110" s="3344"/>
      <c r="BF110" s="3344"/>
      <c r="BG110" s="3344"/>
      <c r="BH110" s="3344"/>
      <c r="BI110" s="3344"/>
      <c r="BJ110" s="3344"/>
      <c r="BK110" s="3344"/>
      <c r="BL110" s="3344"/>
      <c r="BM110" s="3344"/>
      <c r="BN110" s="3344"/>
      <c r="BO110" s="3344"/>
      <c r="BP110" s="3344"/>
      <c r="BQ110" s="3344"/>
      <c r="BR110" s="3364"/>
    </row>
    <row r="111" customHeight="1" spans="1:70">
      <c r="A111" s="2717"/>
      <c r="B111" s="3181"/>
      <c r="C111" s="3182"/>
      <c r="D111" s="3182"/>
      <c r="E111" s="3182"/>
      <c r="F111" s="3182"/>
      <c r="G111" s="3182"/>
      <c r="H111" s="3182"/>
      <c r="I111" s="3210"/>
      <c r="J111" s="3211"/>
      <c r="K111" s="3212"/>
      <c r="L111" s="3212"/>
      <c r="M111" s="3212"/>
      <c r="N111" s="3212"/>
      <c r="O111" s="3212"/>
      <c r="P111" s="3212"/>
      <c r="Q111" s="3212"/>
      <c r="R111" s="3212"/>
      <c r="S111" s="3212"/>
      <c r="T111" s="3212"/>
      <c r="U111" s="3254"/>
      <c r="V111" s="2717"/>
      <c r="W111" s="3257"/>
      <c r="X111" s="3258"/>
      <c r="Y111" s="3258"/>
      <c r="Z111" s="3287"/>
      <c r="AA111" s="3288"/>
      <c r="AB111" s="3289"/>
      <c r="AC111" s="3289"/>
      <c r="AD111" s="3289"/>
      <c r="AE111" s="3289"/>
      <c r="AF111" s="3289"/>
      <c r="AG111" s="3289"/>
      <c r="AH111" s="3289"/>
      <c r="AI111" s="3289"/>
      <c r="AJ111" s="3289"/>
      <c r="AK111" s="3314"/>
      <c r="AL111" s="3289"/>
      <c r="AM111" s="3289"/>
      <c r="AN111" s="3289"/>
      <c r="AO111" s="3289"/>
      <c r="AP111" s="3289"/>
      <c r="AQ111" s="3324"/>
      <c r="AR111" s="3325"/>
      <c r="AS111" s="3346"/>
      <c r="AT111" s="2717"/>
      <c r="AU111" s="3345"/>
      <c r="AV111" s="3344"/>
      <c r="AW111" s="3344"/>
      <c r="AX111" s="3344"/>
      <c r="AY111" s="3344"/>
      <c r="AZ111" s="3344"/>
      <c r="BA111" s="3344"/>
      <c r="BB111" s="3344"/>
      <c r="BC111" s="3344"/>
      <c r="BD111" s="3344"/>
      <c r="BE111" s="3344"/>
      <c r="BF111" s="3344"/>
      <c r="BG111" s="3344"/>
      <c r="BH111" s="3344"/>
      <c r="BI111" s="3344"/>
      <c r="BJ111" s="3344"/>
      <c r="BK111" s="3344"/>
      <c r="BL111" s="3344"/>
      <c r="BM111" s="3344"/>
      <c r="BN111" s="3344"/>
      <c r="BO111" s="3344"/>
      <c r="BP111" s="3344"/>
      <c r="BQ111" s="3344"/>
      <c r="BR111" s="3364"/>
    </row>
    <row r="112" customHeight="1" spans="1:70">
      <c r="A112" s="2717"/>
      <c r="B112" s="3183"/>
      <c r="C112" s="3184"/>
      <c r="D112" s="3184"/>
      <c r="E112" s="3184"/>
      <c r="F112" s="3184"/>
      <c r="G112" s="3184"/>
      <c r="H112" s="3184"/>
      <c r="I112" s="3213"/>
      <c r="J112" s="3209"/>
      <c r="K112" s="3209"/>
      <c r="L112" s="3209"/>
      <c r="M112" s="3209"/>
      <c r="N112" s="3209"/>
      <c r="O112" s="3209"/>
      <c r="P112" s="3209"/>
      <c r="Q112" s="3209"/>
      <c r="R112" s="3209"/>
      <c r="S112" s="3209"/>
      <c r="T112" s="3209"/>
      <c r="U112" s="3251"/>
      <c r="V112" s="2717"/>
      <c r="W112" s="2717"/>
      <c r="X112" s="2717"/>
      <c r="Y112" s="3290"/>
      <c r="Z112" s="2717"/>
      <c r="AA112" s="2717"/>
      <c r="AB112" s="2717"/>
      <c r="AC112" s="2717"/>
      <c r="AD112" s="2717"/>
      <c r="AE112" s="2717"/>
      <c r="AF112" s="2717"/>
      <c r="AG112" s="2717"/>
      <c r="AH112" s="2717"/>
      <c r="AI112" s="2717"/>
      <c r="AJ112" s="2717"/>
      <c r="AK112" s="2717"/>
      <c r="AL112" s="2717"/>
      <c r="AM112" s="2717"/>
      <c r="AN112" s="2717"/>
      <c r="AO112" s="2717"/>
      <c r="AP112" s="2717"/>
      <c r="AQ112" s="2717"/>
      <c r="AR112" s="2717"/>
      <c r="AS112" s="2717"/>
      <c r="AT112" s="2717"/>
      <c r="AU112" s="3345"/>
      <c r="AV112" s="3344"/>
      <c r="AW112" s="3344"/>
      <c r="AX112" s="3344"/>
      <c r="AY112" s="3344"/>
      <c r="AZ112" s="3344"/>
      <c r="BA112" s="3344"/>
      <c r="BB112" s="3344"/>
      <c r="BC112" s="3344"/>
      <c r="BD112" s="3344"/>
      <c r="BE112" s="3344"/>
      <c r="BF112" s="3344"/>
      <c r="BG112" s="3344"/>
      <c r="BH112" s="3344"/>
      <c r="BI112" s="3344"/>
      <c r="BJ112" s="3344"/>
      <c r="BK112" s="3344"/>
      <c r="BL112" s="3344"/>
      <c r="BM112" s="3344"/>
      <c r="BN112" s="3344"/>
      <c r="BO112" s="3344"/>
      <c r="BP112" s="3344"/>
      <c r="BQ112" s="3344"/>
      <c r="BR112" s="3364"/>
    </row>
    <row r="113" customHeight="1" spans="1:70">
      <c r="A113" s="2717"/>
      <c r="B113" s="3185"/>
      <c r="C113" s="3186"/>
      <c r="D113" s="3186"/>
      <c r="E113" s="3186"/>
      <c r="F113" s="3186"/>
      <c r="G113" s="3186"/>
      <c r="H113" s="3186"/>
      <c r="I113" s="3214"/>
      <c r="J113" s="3215"/>
      <c r="K113" s="3216"/>
      <c r="L113" s="3216"/>
      <c r="M113" s="3216"/>
      <c r="N113" s="3216"/>
      <c r="O113" s="3216"/>
      <c r="P113" s="3216"/>
      <c r="Q113" s="3216"/>
      <c r="R113" s="3216"/>
      <c r="S113" s="3216"/>
      <c r="T113" s="3216"/>
      <c r="U113" s="3259"/>
      <c r="V113" s="2717"/>
      <c r="W113" s="3260" t="s">
        <v>267</v>
      </c>
      <c r="X113" s="3261"/>
      <c r="Y113" s="3261"/>
      <c r="Z113" s="3261"/>
      <c r="AA113" s="3261"/>
      <c r="AB113" s="3261"/>
      <c r="AC113" s="3261"/>
      <c r="AD113" s="3261"/>
      <c r="AE113" s="3261"/>
      <c r="AF113" s="3261"/>
      <c r="AG113" s="3261"/>
      <c r="AH113" s="3261"/>
      <c r="AI113" s="3261"/>
      <c r="AJ113" s="3261"/>
      <c r="AK113" s="3261"/>
      <c r="AL113" s="3261"/>
      <c r="AM113" s="3261"/>
      <c r="AN113" s="3261"/>
      <c r="AO113" s="3261"/>
      <c r="AP113" s="3261"/>
      <c r="AQ113" s="3261"/>
      <c r="AR113" s="3261"/>
      <c r="AS113" s="3347"/>
      <c r="AT113" s="2717"/>
      <c r="AU113" s="3345"/>
      <c r="AV113" s="3344"/>
      <c r="AW113" s="3344"/>
      <c r="AX113" s="3344"/>
      <c r="AY113" s="3344"/>
      <c r="AZ113" s="3344"/>
      <c r="BA113" s="3344"/>
      <c r="BB113" s="3344"/>
      <c r="BC113" s="3344"/>
      <c r="BD113" s="3344"/>
      <c r="BE113" s="3344"/>
      <c r="BF113" s="3344"/>
      <c r="BG113" s="3344"/>
      <c r="BH113" s="3344"/>
      <c r="BI113" s="3344"/>
      <c r="BJ113" s="3344"/>
      <c r="BK113" s="3344"/>
      <c r="BL113" s="3344"/>
      <c r="BM113" s="3344"/>
      <c r="BN113" s="3344"/>
      <c r="BO113" s="3344"/>
      <c r="BP113" s="3344"/>
      <c r="BQ113" s="3344"/>
      <c r="BR113" s="3364"/>
    </row>
    <row r="114" customHeight="1" spans="1:70">
      <c r="A114" s="2717"/>
      <c r="B114" s="3187" t="s">
        <v>268</v>
      </c>
      <c r="C114" s="3188"/>
      <c r="D114" s="3189"/>
      <c r="E114" s="3200" t="s">
        <v>269</v>
      </c>
      <c r="F114" s="3201"/>
      <c r="G114" s="3201"/>
      <c r="H114" s="3201"/>
      <c r="I114" s="3217"/>
      <c r="J114" s="3218" t="str">
        <f>IF(E115="无","","SAN值减少"&amp;附表!C34&amp;"        备注："&amp;附表!E34&amp;"可选技能见【简化卡】下方")</f>
        <v/>
      </c>
      <c r="K114" s="3219"/>
      <c r="L114" s="3219"/>
      <c r="M114" s="3219"/>
      <c r="N114" s="3219"/>
      <c r="O114" s="3219"/>
      <c r="P114" s="3219"/>
      <c r="Q114" s="3219"/>
      <c r="R114" s="3219"/>
      <c r="S114" s="3219"/>
      <c r="T114" s="3219"/>
      <c r="U114" s="3262"/>
      <c r="V114" s="2717"/>
      <c r="W114" s="3263" t="s">
        <v>270</v>
      </c>
      <c r="X114" s="3264"/>
      <c r="Y114" s="3291" t="s">
        <v>271</v>
      </c>
      <c r="Z114" s="3264"/>
      <c r="AA114" s="3264"/>
      <c r="AB114" s="3264"/>
      <c r="AC114" s="3291" t="s">
        <v>272</v>
      </c>
      <c r="AD114" s="3264"/>
      <c r="AE114" s="3264"/>
      <c r="AF114" s="3264"/>
      <c r="AG114" s="3264"/>
      <c r="AH114" s="3302" t="s">
        <v>273</v>
      </c>
      <c r="AI114" s="3303"/>
      <c r="AJ114" s="3303"/>
      <c r="AK114" s="3303"/>
      <c r="AL114" s="3303"/>
      <c r="AM114" s="3303"/>
      <c r="AN114" s="3303"/>
      <c r="AO114" s="3303"/>
      <c r="AP114" s="3303"/>
      <c r="AQ114" s="3303"/>
      <c r="AR114" s="3303"/>
      <c r="AS114" s="3348"/>
      <c r="AT114" s="2717"/>
      <c r="AU114" s="3345"/>
      <c r="AV114" s="3344"/>
      <c r="AW114" s="3344"/>
      <c r="AX114" s="3344"/>
      <c r="AY114" s="3344"/>
      <c r="AZ114" s="3344"/>
      <c r="BA114" s="3344"/>
      <c r="BB114" s="3344"/>
      <c r="BC114" s="3344"/>
      <c r="BD114" s="3344"/>
      <c r="BE114" s="3344"/>
      <c r="BF114" s="3344"/>
      <c r="BG114" s="3344"/>
      <c r="BH114" s="3344"/>
      <c r="BI114" s="3344"/>
      <c r="BJ114" s="3344"/>
      <c r="BK114" s="3344"/>
      <c r="BL114" s="3344"/>
      <c r="BM114" s="3344"/>
      <c r="BN114" s="3344"/>
      <c r="BO114" s="3344"/>
      <c r="BP114" s="3344"/>
      <c r="BQ114" s="3344"/>
      <c r="BR114" s="3364"/>
    </row>
    <row r="115" customHeight="1" spans="1:70">
      <c r="A115" s="2717"/>
      <c r="B115" s="3190"/>
      <c r="C115" s="3188"/>
      <c r="D115" s="3189"/>
      <c r="E115" s="3202" t="s">
        <v>178</v>
      </c>
      <c r="F115" s="3202"/>
      <c r="G115" s="3202"/>
      <c r="H115" s="3202"/>
      <c r="I115" s="3220"/>
      <c r="J115" s="3221"/>
      <c r="K115" s="3221"/>
      <c r="L115" s="3221"/>
      <c r="M115" s="3221"/>
      <c r="N115" s="3221"/>
      <c r="O115" s="3221"/>
      <c r="P115" s="3221"/>
      <c r="Q115" s="3221"/>
      <c r="R115" s="3221"/>
      <c r="S115" s="3221"/>
      <c r="T115" s="3221"/>
      <c r="U115" s="3265"/>
      <c r="V115" s="2717"/>
      <c r="W115" s="3266" t="s">
        <v>274</v>
      </c>
      <c r="X115" s="3267"/>
      <c r="Y115" s="3267" t="s">
        <v>275</v>
      </c>
      <c r="Z115" s="3267"/>
      <c r="AA115" s="3267"/>
      <c r="AB115" s="3267"/>
      <c r="AC115" s="3293" t="s">
        <v>276</v>
      </c>
      <c r="AD115" s="3293"/>
      <c r="AE115" s="3293"/>
      <c r="AF115" s="3293"/>
      <c r="AG115" s="3293"/>
      <c r="AH115" s="3304" t="s">
        <v>277</v>
      </c>
      <c r="AI115" s="3304"/>
      <c r="AJ115" s="3304"/>
      <c r="AK115" s="3304"/>
      <c r="AL115" s="3304"/>
      <c r="AM115" s="3304"/>
      <c r="AN115" s="3304"/>
      <c r="AO115" s="3304"/>
      <c r="AP115" s="3304"/>
      <c r="AQ115" s="3304"/>
      <c r="AR115" s="3304"/>
      <c r="AS115" s="3349"/>
      <c r="AT115" s="2717"/>
      <c r="AU115" s="3345"/>
      <c r="AV115" s="3344"/>
      <c r="AW115" s="3344"/>
      <c r="AX115" s="3344"/>
      <c r="AY115" s="3344"/>
      <c r="AZ115" s="3344"/>
      <c r="BA115" s="3344"/>
      <c r="BB115" s="3344"/>
      <c r="BC115" s="3344"/>
      <c r="BD115" s="3344"/>
      <c r="BE115" s="3344"/>
      <c r="BF115" s="3344"/>
      <c r="BG115" s="3344"/>
      <c r="BH115" s="3344"/>
      <c r="BI115" s="3344"/>
      <c r="BJ115" s="3344"/>
      <c r="BK115" s="3344"/>
      <c r="BL115" s="3344"/>
      <c r="BM115" s="3344"/>
      <c r="BN115" s="3344"/>
      <c r="BO115" s="3344"/>
      <c r="BP115" s="3344"/>
      <c r="BQ115" s="3344"/>
      <c r="BR115" s="3364"/>
    </row>
    <row r="116" customHeight="1" spans="1:70">
      <c r="A116" s="2717"/>
      <c r="B116" s="3190"/>
      <c r="C116" s="3188"/>
      <c r="D116" s="3189"/>
      <c r="E116" s="3203" t="s">
        <v>278</v>
      </c>
      <c r="F116" s="3204"/>
      <c r="G116" s="3204"/>
      <c r="H116" s="3204"/>
      <c r="I116" s="3222"/>
      <c r="J116" s="3221"/>
      <c r="K116" s="3221"/>
      <c r="L116" s="3221"/>
      <c r="M116" s="3221"/>
      <c r="N116" s="3221"/>
      <c r="O116" s="3221"/>
      <c r="P116" s="3221"/>
      <c r="Q116" s="3221"/>
      <c r="R116" s="3221"/>
      <c r="S116" s="3221"/>
      <c r="T116" s="3221"/>
      <c r="U116" s="3265"/>
      <c r="V116" s="2717"/>
      <c r="W116" s="3268"/>
      <c r="X116" s="3269"/>
      <c r="Y116" s="3292"/>
      <c r="Z116" s="3269"/>
      <c r="AA116" s="3269"/>
      <c r="AB116" s="3269"/>
      <c r="AC116" s="3294"/>
      <c r="AD116" s="3295"/>
      <c r="AE116" s="3295"/>
      <c r="AF116" s="3295"/>
      <c r="AG116" s="3295"/>
      <c r="AH116" s="3305"/>
      <c r="AI116" s="3306"/>
      <c r="AJ116" s="3306"/>
      <c r="AK116" s="3306"/>
      <c r="AL116" s="3306"/>
      <c r="AM116" s="3306"/>
      <c r="AN116" s="3306"/>
      <c r="AO116" s="3306"/>
      <c r="AP116" s="3306"/>
      <c r="AQ116" s="3306"/>
      <c r="AR116" s="3306"/>
      <c r="AS116" s="3350"/>
      <c r="AT116" s="2717"/>
      <c r="AU116" s="3345"/>
      <c r="AV116" s="3344"/>
      <c r="AW116" s="3344"/>
      <c r="AX116" s="3344"/>
      <c r="AY116" s="3344"/>
      <c r="AZ116" s="3344"/>
      <c r="BA116" s="3344"/>
      <c r="BB116" s="3344"/>
      <c r="BC116" s="3344"/>
      <c r="BD116" s="3344"/>
      <c r="BE116" s="3344"/>
      <c r="BF116" s="3344"/>
      <c r="BG116" s="3344"/>
      <c r="BH116" s="3344"/>
      <c r="BI116" s="3344"/>
      <c r="BJ116" s="3344"/>
      <c r="BK116" s="3344"/>
      <c r="BL116" s="3344"/>
      <c r="BM116" s="3344"/>
      <c r="BN116" s="3344"/>
      <c r="BO116" s="3344"/>
      <c r="BP116" s="3344"/>
      <c r="BQ116" s="3344"/>
      <c r="BR116" s="3364"/>
    </row>
    <row r="117" customHeight="1" spans="1:70">
      <c r="A117" s="2717"/>
      <c r="B117" s="3191"/>
      <c r="C117" s="3192"/>
      <c r="D117" s="3193"/>
      <c r="E117" s="3205"/>
      <c r="F117" s="3206"/>
      <c r="G117" s="3206"/>
      <c r="H117" s="3206"/>
      <c r="I117" s="3223"/>
      <c r="J117" s="3224"/>
      <c r="K117" s="3224"/>
      <c r="L117" s="3224"/>
      <c r="M117" s="3224"/>
      <c r="N117" s="3224"/>
      <c r="O117" s="3224"/>
      <c r="P117" s="3224"/>
      <c r="Q117" s="3224"/>
      <c r="R117" s="3224"/>
      <c r="S117" s="3224"/>
      <c r="T117" s="3224"/>
      <c r="U117" s="3270"/>
      <c r="V117" s="2717"/>
      <c r="W117" s="3266"/>
      <c r="X117" s="3267"/>
      <c r="Y117" s="3267"/>
      <c r="Z117" s="3267"/>
      <c r="AA117" s="3267"/>
      <c r="AB117" s="3267"/>
      <c r="AC117" s="3293"/>
      <c r="AD117" s="3293"/>
      <c r="AE117" s="3293"/>
      <c r="AF117" s="3293"/>
      <c r="AG117" s="3293"/>
      <c r="AH117" s="3304"/>
      <c r="AI117" s="3304"/>
      <c r="AJ117" s="3304"/>
      <c r="AK117" s="3304"/>
      <c r="AL117" s="3304"/>
      <c r="AM117" s="3304"/>
      <c r="AN117" s="3304"/>
      <c r="AO117" s="3304"/>
      <c r="AP117" s="3304"/>
      <c r="AQ117" s="3304"/>
      <c r="AR117" s="3304"/>
      <c r="AS117" s="3349"/>
      <c r="AT117" s="2717"/>
      <c r="AU117" s="3345"/>
      <c r="AV117" s="3344"/>
      <c r="AW117" s="3344"/>
      <c r="AX117" s="3344"/>
      <c r="AY117" s="3344"/>
      <c r="AZ117" s="3344"/>
      <c r="BA117" s="3344"/>
      <c r="BB117" s="3344"/>
      <c r="BC117" s="3344"/>
      <c r="BD117" s="3344"/>
      <c r="BE117" s="3344"/>
      <c r="BF117" s="3344"/>
      <c r="BG117" s="3344"/>
      <c r="BH117" s="3344"/>
      <c r="BI117" s="3344"/>
      <c r="BJ117" s="3344"/>
      <c r="BK117" s="3344"/>
      <c r="BL117" s="3344"/>
      <c r="BM117" s="3344"/>
      <c r="BN117" s="3344"/>
      <c r="BO117" s="3344"/>
      <c r="BP117" s="3344"/>
      <c r="BQ117" s="3344"/>
      <c r="BR117" s="3364"/>
    </row>
    <row r="118" customHeight="1" spans="1:70">
      <c r="A118" s="2717"/>
      <c r="B118" s="3001"/>
      <c r="C118" s="3001"/>
      <c r="D118" s="3001"/>
      <c r="E118" s="3001"/>
      <c r="F118" s="3001"/>
      <c r="G118" s="3001"/>
      <c r="H118" s="3001"/>
      <c r="I118" s="3001"/>
      <c r="J118" s="3001"/>
      <c r="K118" s="3001"/>
      <c r="L118" s="3001"/>
      <c r="M118" s="3001"/>
      <c r="N118" s="3001"/>
      <c r="O118" s="3001"/>
      <c r="P118" s="3001"/>
      <c r="Q118" s="3001"/>
      <c r="R118" s="3001"/>
      <c r="S118" s="3001"/>
      <c r="T118" s="3001"/>
      <c r="U118" s="3001"/>
      <c r="V118" s="2717"/>
      <c r="W118" s="3268"/>
      <c r="X118" s="3269"/>
      <c r="Y118" s="3292"/>
      <c r="Z118" s="3269"/>
      <c r="AA118" s="3269"/>
      <c r="AB118" s="3269"/>
      <c r="AC118" s="3294"/>
      <c r="AD118" s="3295"/>
      <c r="AE118" s="3295"/>
      <c r="AF118" s="3295"/>
      <c r="AG118" s="3295"/>
      <c r="AH118" s="3305"/>
      <c r="AI118" s="3306"/>
      <c r="AJ118" s="3306"/>
      <c r="AK118" s="3306"/>
      <c r="AL118" s="3306"/>
      <c r="AM118" s="3306"/>
      <c r="AN118" s="3306"/>
      <c r="AO118" s="3306"/>
      <c r="AP118" s="3306"/>
      <c r="AQ118" s="3306"/>
      <c r="AR118" s="3306"/>
      <c r="AS118" s="3350"/>
      <c r="AT118" s="2717"/>
      <c r="AU118" s="3345"/>
      <c r="AV118" s="3344"/>
      <c r="AW118" s="3344"/>
      <c r="AX118" s="3344"/>
      <c r="AY118" s="3344"/>
      <c r="AZ118" s="3344"/>
      <c r="BA118" s="3344"/>
      <c r="BB118" s="3344"/>
      <c r="BC118" s="3344"/>
      <c r="BD118" s="3344"/>
      <c r="BE118" s="3344"/>
      <c r="BF118" s="3344"/>
      <c r="BG118" s="3344"/>
      <c r="BH118" s="3344"/>
      <c r="BI118" s="3344"/>
      <c r="BJ118" s="3344"/>
      <c r="BK118" s="3344"/>
      <c r="BL118" s="3344"/>
      <c r="BM118" s="3344"/>
      <c r="BN118" s="3344"/>
      <c r="BO118" s="3344"/>
      <c r="BP118" s="3344"/>
      <c r="BQ118" s="3344"/>
      <c r="BR118" s="3364"/>
    </row>
    <row r="119" customHeight="1" spans="1:70">
      <c r="A119" s="2717"/>
      <c r="B119" s="2773" t="s">
        <v>279</v>
      </c>
      <c r="C119" s="2774"/>
      <c r="D119" s="2774"/>
      <c r="E119" s="2774"/>
      <c r="F119" s="2774"/>
      <c r="G119" s="2774"/>
      <c r="H119" s="2774"/>
      <c r="I119" s="2774"/>
      <c r="J119" s="2774"/>
      <c r="K119" s="2774"/>
      <c r="L119" s="2774"/>
      <c r="M119" s="2774"/>
      <c r="N119" s="2774"/>
      <c r="O119" s="2774"/>
      <c r="P119" s="2774"/>
      <c r="Q119" s="2774"/>
      <c r="R119" s="2774"/>
      <c r="S119" s="2774"/>
      <c r="T119" s="2774"/>
      <c r="U119" s="2918"/>
      <c r="V119" s="2717"/>
      <c r="W119" s="3266"/>
      <c r="X119" s="3267"/>
      <c r="Y119" s="3267"/>
      <c r="Z119" s="3267"/>
      <c r="AA119" s="3267"/>
      <c r="AB119" s="3267"/>
      <c r="AC119" s="3293"/>
      <c r="AD119" s="3293"/>
      <c r="AE119" s="3293"/>
      <c r="AF119" s="3293"/>
      <c r="AG119" s="3293"/>
      <c r="AH119" s="3304"/>
      <c r="AI119" s="3304"/>
      <c r="AJ119" s="3304"/>
      <c r="AK119" s="3304"/>
      <c r="AL119" s="3304"/>
      <c r="AM119" s="3304"/>
      <c r="AN119" s="3304"/>
      <c r="AO119" s="3304"/>
      <c r="AP119" s="3304"/>
      <c r="AQ119" s="3304"/>
      <c r="AR119" s="3304"/>
      <c r="AS119" s="3349"/>
      <c r="AT119" s="2717"/>
      <c r="AU119" s="3345"/>
      <c r="AV119" s="3344"/>
      <c r="AW119" s="3344"/>
      <c r="AX119" s="3344"/>
      <c r="AY119" s="3344"/>
      <c r="AZ119" s="3344"/>
      <c r="BA119" s="3344"/>
      <c r="BB119" s="3344"/>
      <c r="BC119" s="3344"/>
      <c r="BD119" s="3344"/>
      <c r="BE119" s="3344"/>
      <c r="BF119" s="3344"/>
      <c r="BG119" s="3344"/>
      <c r="BH119" s="3344"/>
      <c r="BI119" s="3344"/>
      <c r="BJ119" s="3344"/>
      <c r="BK119" s="3344"/>
      <c r="BL119" s="3344"/>
      <c r="BM119" s="3344"/>
      <c r="BN119" s="3344"/>
      <c r="BO119" s="3344"/>
      <c r="BP119" s="3344"/>
      <c r="BQ119" s="3344"/>
      <c r="BR119" s="3364"/>
    </row>
    <row r="120" customHeight="1" spans="1:70">
      <c r="A120" s="2717"/>
      <c r="B120" s="3019" t="s">
        <v>280</v>
      </c>
      <c r="C120" s="3020"/>
      <c r="D120" s="3020"/>
      <c r="E120" s="3020"/>
      <c r="F120" s="3020" t="s">
        <v>281</v>
      </c>
      <c r="G120" s="3020"/>
      <c r="H120" s="3020"/>
      <c r="I120" s="3020"/>
      <c r="J120" s="3020"/>
      <c r="K120" s="3020"/>
      <c r="L120" s="3020" t="s">
        <v>282</v>
      </c>
      <c r="M120" s="3020"/>
      <c r="N120" s="3020" t="s">
        <v>283</v>
      </c>
      <c r="O120" s="3020"/>
      <c r="P120" s="3020" t="s">
        <v>284</v>
      </c>
      <c r="Q120" s="3020"/>
      <c r="R120" s="3020" t="s">
        <v>285</v>
      </c>
      <c r="S120" s="3020"/>
      <c r="T120" s="3020" t="s">
        <v>286</v>
      </c>
      <c r="U120" s="3271"/>
      <c r="V120" s="2717"/>
      <c r="W120" s="3268"/>
      <c r="X120" s="3269"/>
      <c r="Y120" s="3292"/>
      <c r="Z120" s="3269"/>
      <c r="AA120" s="3269"/>
      <c r="AB120" s="3269"/>
      <c r="AC120" s="3294"/>
      <c r="AD120" s="3295"/>
      <c r="AE120" s="3295"/>
      <c r="AF120" s="3295"/>
      <c r="AG120" s="3295"/>
      <c r="AH120" s="3305"/>
      <c r="AI120" s="3306"/>
      <c r="AJ120" s="3306"/>
      <c r="AK120" s="3306"/>
      <c r="AL120" s="3306"/>
      <c r="AM120" s="3306"/>
      <c r="AN120" s="3306"/>
      <c r="AO120" s="3306"/>
      <c r="AP120" s="3306"/>
      <c r="AQ120" s="3306"/>
      <c r="AR120" s="3306"/>
      <c r="AS120" s="3350"/>
      <c r="AT120" s="2717"/>
      <c r="AU120" s="3345"/>
      <c r="AV120" s="3344"/>
      <c r="AW120" s="3344"/>
      <c r="AX120" s="3344"/>
      <c r="AY120" s="3344"/>
      <c r="AZ120" s="3344"/>
      <c r="BA120" s="3344"/>
      <c r="BB120" s="3344"/>
      <c r="BC120" s="3344"/>
      <c r="BD120" s="3344"/>
      <c r="BE120" s="3344"/>
      <c r="BF120" s="3344"/>
      <c r="BG120" s="3344"/>
      <c r="BH120" s="3344"/>
      <c r="BI120" s="3344"/>
      <c r="BJ120" s="3344"/>
      <c r="BK120" s="3344"/>
      <c r="BL120" s="3344"/>
      <c r="BM120" s="3344"/>
      <c r="BN120" s="3344"/>
      <c r="BO120" s="3344"/>
      <c r="BP120" s="3344"/>
      <c r="BQ120" s="3344"/>
      <c r="BR120" s="3364"/>
    </row>
    <row r="121" customHeight="1" spans="1:70">
      <c r="A121" s="2717"/>
      <c r="B121" s="3019"/>
      <c r="C121" s="3020"/>
      <c r="D121" s="3020"/>
      <c r="E121" s="3020"/>
      <c r="F121" s="3020" t="s">
        <v>287</v>
      </c>
      <c r="G121" s="3020"/>
      <c r="H121" s="3020"/>
      <c r="I121" s="3020"/>
      <c r="J121" s="3020"/>
      <c r="K121" s="3020"/>
      <c r="L121" s="2926" t="s">
        <v>288</v>
      </c>
      <c r="M121" s="2926"/>
      <c r="N121" s="2926" t="s">
        <v>289</v>
      </c>
      <c r="O121" s="2926"/>
      <c r="P121" s="2926" t="s">
        <v>290</v>
      </c>
      <c r="Q121" s="2926"/>
      <c r="R121" s="2926" t="s">
        <v>291</v>
      </c>
      <c r="S121" s="2926"/>
      <c r="T121" s="3226">
        <v>1</v>
      </c>
      <c r="U121" s="3272"/>
      <c r="V121" s="2717"/>
      <c r="W121" s="3266"/>
      <c r="X121" s="3267"/>
      <c r="Y121" s="3267"/>
      <c r="Z121" s="3267"/>
      <c r="AA121" s="3267"/>
      <c r="AB121" s="3267"/>
      <c r="AC121" s="3293"/>
      <c r="AD121" s="3293"/>
      <c r="AE121" s="3293"/>
      <c r="AF121" s="3293"/>
      <c r="AG121" s="3293"/>
      <c r="AH121" s="3304"/>
      <c r="AI121" s="3304"/>
      <c r="AJ121" s="3304"/>
      <c r="AK121" s="3304"/>
      <c r="AL121" s="3304"/>
      <c r="AM121" s="3304"/>
      <c r="AN121" s="3304"/>
      <c r="AO121" s="3304"/>
      <c r="AP121" s="3304"/>
      <c r="AQ121" s="3304"/>
      <c r="AR121" s="3304"/>
      <c r="AS121" s="3349"/>
      <c r="AT121" s="2717"/>
      <c r="AU121" s="3345"/>
      <c r="AV121" s="3344"/>
      <c r="AW121" s="3344"/>
      <c r="AX121" s="3344"/>
      <c r="AY121" s="3344"/>
      <c r="AZ121" s="3344"/>
      <c r="BA121" s="3344"/>
      <c r="BB121" s="3344"/>
      <c r="BC121" s="3344"/>
      <c r="BD121" s="3344"/>
      <c r="BE121" s="3344"/>
      <c r="BF121" s="3344"/>
      <c r="BG121" s="3344"/>
      <c r="BH121" s="3344"/>
      <c r="BI121" s="3344"/>
      <c r="BJ121" s="3344"/>
      <c r="BK121" s="3344"/>
      <c r="BL121" s="3344"/>
      <c r="BM121" s="3344"/>
      <c r="BN121" s="3344"/>
      <c r="BO121" s="3344"/>
      <c r="BP121" s="3344"/>
      <c r="BQ121" s="3344"/>
      <c r="BR121" s="3364"/>
    </row>
    <row r="122" customHeight="1" spans="1:70">
      <c r="A122" s="2717"/>
      <c r="B122" s="3019"/>
      <c r="C122" s="3020"/>
      <c r="D122" s="3020"/>
      <c r="E122" s="3020"/>
      <c r="F122" s="3020"/>
      <c r="G122" s="3020"/>
      <c r="H122" s="3020"/>
      <c r="I122" s="3020"/>
      <c r="J122" s="3020"/>
      <c r="K122" s="3020"/>
      <c r="L122" s="2926"/>
      <c r="M122" s="2926"/>
      <c r="N122" s="2926"/>
      <c r="O122" s="2926"/>
      <c r="P122" s="2926"/>
      <c r="Q122" s="2926"/>
      <c r="R122" s="2926"/>
      <c r="S122" s="2926"/>
      <c r="T122" s="3226"/>
      <c r="U122" s="3272"/>
      <c r="V122" s="2717"/>
      <c r="W122" s="3268"/>
      <c r="X122" s="3269"/>
      <c r="Y122" s="3292"/>
      <c r="Z122" s="3269"/>
      <c r="AA122" s="3269"/>
      <c r="AB122" s="3269"/>
      <c r="AC122" s="3294"/>
      <c r="AD122" s="3295"/>
      <c r="AE122" s="3295"/>
      <c r="AF122" s="3295"/>
      <c r="AG122" s="3295"/>
      <c r="AH122" s="3305"/>
      <c r="AI122" s="3306"/>
      <c r="AJ122" s="3306"/>
      <c r="AK122" s="3306"/>
      <c r="AL122" s="3306"/>
      <c r="AM122" s="3306"/>
      <c r="AN122" s="3306"/>
      <c r="AO122" s="3306"/>
      <c r="AP122" s="3306"/>
      <c r="AQ122" s="3306"/>
      <c r="AR122" s="3306"/>
      <c r="AS122" s="3350"/>
      <c r="AT122" s="3351"/>
      <c r="AU122" s="3345"/>
      <c r="AV122" s="3344"/>
      <c r="AW122" s="3344"/>
      <c r="AX122" s="3344"/>
      <c r="AY122" s="3344"/>
      <c r="AZ122" s="3344"/>
      <c r="BA122" s="3344"/>
      <c r="BB122" s="3344"/>
      <c r="BC122" s="3344"/>
      <c r="BD122" s="3344"/>
      <c r="BE122" s="3344"/>
      <c r="BF122" s="3344"/>
      <c r="BG122" s="3344"/>
      <c r="BH122" s="3344"/>
      <c r="BI122" s="3344"/>
      <c r="BJ122" s="3344"/>
      <c r="BK122" s="3344"/>
      <c r="BL122" s="3344"/>
      <c r="BM122" s="3344"/>
      <c r="BN122" s="3344"/>
      <c r="BO122" s="3344"/>
      <c r="BP122" s="3344"/>
      <c r="BQ122" s="3344"/>
      <c r="BR122" s="3364"/>
    </row>
    <row r="123" customHeight="1" spans="1:70">
      <c r="A123" s="2717"/>
      <c r="B123" s="3019" t="s">
        <v>292</v>
      </c>
      <c r="C123" s="3020"/>
      <c r="D123" s="3020"/>
      <c r="E123" s="3020"/>
      <c r="F123" s="3020"/>
      <c r="G123" s="3020"/>
      <c r="H123" s="3020"/>
      <c r="I123" s="3020"/>
      <c r="J123" s="3020"/>
      <c r="K123" s="3020"/>
      <c r="L123" s="3020"/>
      <c r="M123" s="3020"/>
      <c r="N123" s="3020"/>
      <c r="O123" s="3020"/>
      <c r="P123" s="3020"/>
      <c r="Q123" s="3020"/>
      <c r="R123" s="3020"/>
      <c r="S123" s="3020"/>
      <c r="T123" s="3020"/>
      <c r="U123" s="3273"/>
      <c r="V123" s="2717"/>
      <c r="W123" s="3266"/>
      <c r="X123" s="3267"/>
      <c r="Y123" s="3267"/>
      <c r="Z123" s="3267"/>
      <c r="AA123" s="3267"/>
      <c r="AB123" s="3267"/>
      <c r="AC123" s="3293"/>
      <c r="AD123" s="3293"/>
      <c r="AE123" s="3293"/>
      <c r="AF123" s="3293"/>
      <c r="AG123" s="3293"/>
      <c r="AH123" s="3304"/>
      <c r="AI123" s="3304"/>
      <c r="AJ123" s="3304"/>
      <c r="AK123" s="3304"/>
      <c r="AL123" s="3304"/>
      <c r="AM123" s="3304"/>
      <c r="AN123" s="3304"/>
      <c r="AO123" s="3304"/>
      <c r="AP123" s="3304"/>
      <c r="AQ123" s="3304"/>
      <c r="AR123" s="3304"/>
      <c r="AS123" s="3349"/>
      <c r="AT123" s="3351"/>
      <c r="AU123" s="3345"/>
      <c r="AV123" s="3344"/>
      <c r="AW123" s="3344"/>
      <c r="AX123" s="3344"/>
      <c r="AY123" s="3344"/>
      <c r="AZ123" s="3344"/>
      <c r="BA123" s="3344"/>
      <c r="BB123" s="3344"/>
      <c r="BC123" s="3344"/>
      <c r="BD123" s="3344"/>
      <c r="BE123" s="3344"/>
      <c r="BF123" s="3344"/>
      <c r="BG123" s="3344"/>
      <c r="BH123" s="3344"/>
      <c r="BI123" s="3344"/>
      <c r="BJ123" s="3344"/>
      <c r="BK123" s="3344"/>
      <c r="BL123" s="3344"/>
      <c r="BM123" s="3344"/>
      <c r="BN123" s="3344"/>
      <c r="BO123" s="3344"/>
      <c r="BP123" s="3344"/>
      <c r="BQ123" s="3344"/>
      <c r="BR123" s="3364"/>
    </row>
    <row r="124" customHeight="1" spans="1:70">
      <c r="A124" s="2717"/>
      <c r="B124" s="3019"/>
      <c r="C124" s="3020"/>
      <c r="D124" s="3020"/>
      <c r="E124" s="3020"/>
      <c r="F124" s="3020"/>
      <c r="G124" s="3020"/>
      <c r="H124" s="3020"/>
      <c r="I124" s="3020"/>
      <c r="J124" s="3020"/>
      <c r="K124" s="3020"/>
      <c r="L124" s="3020"/>
      <c r="M124" s="3020"/>
      <c r="N124" s="3020"/>
      <c r="O124" s="3020"/>
      <c r="P124" s="3020"/>
      <c r="Q124" s="3020"/>
      <c r="R124" s="3020"/>
      <c r="S124" s="3020"/>
      <c r="T124" s="3020"/>
      <c r="U124" s="3273"/>
      <c r="V124" s="2717"/>
      <c r="W124" s="3268"/>
      <c r="X124" s="3269"/>
      <c r="Y124" s="3292"/>
      <c r="Z124" s="3269"/>
      <c r="AA124" s="3269"/>
      <c r="AB124" s="3269"/>
      <c r="AC124" s="3294"/>
      <c r="AD124" s="3295"/>
      <c r="AE124" s="3295"/>
      <c r="AF124" s="3295"/>
      <c r="AG124" s="3295"/>
      <c r="AH124" s="3305"/>
      <c r="AI124" s="3306"/>
      <c r="AJ124" s="3306"/>
      <c r="AK124" s="3306"/>
      <c r="AL124" s="3306"/>
      <c r="AM124" s="3306"/>
      <c r="AN124" s="3306"/>
      <c r="AO124" s="3306"/>
      <c r="AP124" s="3306"/>
      <c r="AQ124" s="3306"/>
      <c r="AR124" s="3306"/>
      <c r="AS124" s="3350"/>
      <c r="AT124" s="2717"/>
      <c r="AU124" s="3345"/>
      <c r="AV124" s="3344"/>
      <c r="AW124" s="3344"/>
      <c r="AX124" s="3344"/>
      <c r="AY124" s="3344"/>
      <c r="AZ124" s="3344"/>
      <c r="BA124" s="3344"/>
      <c r="BB124" s="3344"/>
      <c r="BC124" s="3344"/>
      <c r="BD124" s="3344"/>
      <c r="BE124" s="3344"/>
      <c r="BF124" s="3344"/>
      <c r="BG124" s="3344"/>
      <c r="BH124" s="3344"/>
      <c r="BI124" s="3344"/>
      <c r="BJ124" s="3344"/>
      <c r="BK124" s="3344"/>
      <c r="BL124" s="3344"/>
      <c r="BM124" s="3344"/>
      <c r="BN124" s="3344"/>
      <c r="BO124" s="3344"/>
      <c r="BP124" s="3344"/>
      <c r="BQ124" s="3344"/>
      <c r="BR124" s="3364"/>
    </row>
    <row r="125" customHeight="1" spans="1:70">
      <c r="A125" s="2717"/>
      <c r="B125" s="3019" t="s">
        <v>293</v>
      </c>
      <c r="C125" s="3020"/>
      <c r="D125" s="3020"/>
      <c r="E125" s="3020"/>
      <c r="F125" s="3020"/>
      <c r="G125" s="3020"/>
      <c r="H125" s="3020"/>
      <c r="I125" s="3020"/>
      <c r="J125" s="3020"/>
      <c r="K125" s="3020"/>
      <c r="L125" s="3020" t="s">
        <v>294</v>
      </c>
      <c r="M125" s="3020"/>
      <c r="N125" s="3020"/>
      <c r="O125" s="3020"/>
      <c r="P125" s="3020"/>
      <c r="Q125" s="3020"/>
      <c r="R125" s="3020"/>
      <c r="S125" s="3020"/>
      <c r="T125" s="3020"/>
      <c r="U125" s="3273"/>
      <c r="V125" s="2717"/>
      <c r="W125" s="3266"/>
      <c r="X125" s="3267"/>
      <c r="Y125" s="3267"/>
      <c r="Z125" s="3267"/>
      <c r="AA125" s="3267"/>
      <c r="AB125" s="3267"/>
      <c r="AC125" s="3293"/>
      <c r="AD125" s="3293"/>
      <c r="AE125" s="3293"/>
      <c r="AF125" s="3293"/>
      <c r="AG125" s="3293"/>
      <c r="AH125" s="3304"/>
      <c r="AI125" s="3304"/>
      <c r="AJ125" s="3304"/>
      <c r="AK125" s="3304"/>
      <c r="AL125" s="3304"/>
      <c r="AM125" s="3304"/>
      <c r="AN125" s="3304"/>
      <c r="AO125" s="3304"/>
      <c r="AP125" s="3304"/>
      <c r="AQ125" s="3304"/>
      <c r="AR125" s="3304"/>
      <c r="AS125" s="3349"/>
      <c r="AT125" s="2717"/>
      <c r="AU125" s="3345"/>
      <c r="AV125" s="3344"/>
      <c r="AW125" s="3344"/>
      <c r="AX125" s="3344"/>
      <c r="AY125" s="3344"/>
      <c r="AZ125" s="3344"/>
      <c r="BA125" s="3344"/>
      <c r="BB125" s="3344"/>
      <c r="BC125" s="3344"/>
      <c r="BD125" s="3344"/>
      <c r="BE125" s="3344"/>
      <c r="BF125" s="3344"/>
      <c r="BG125" s="3344"/>
      <c r="BH125" s="3344"/>
      <c r="BI125" s="3344"/>
      <c r="BJ125" s="3344"/>
      <c r="BK125" s="3344"/>
      <c r="BL125" s="3344"/>
      <c r="BM125" s="3344"/>
      <c r="BN125" s="3344"/>
      <c r="BO125" s="3344"/>
      <c r="BP125" s="3344"/>
      <c r="BQ125" s="3344"/>
      <c r="BR125" s="3364"/>
    </row>
    <row r="126" customHeight="1" spans="1:70">
      <c r="A126" s="2717"/>
      <c r="B126" s="3019" t="s">
        <v>295</v>
      </c>
      <c r="C126" s="3020"/>
      <c r="D126" s="3020" t="s">
        <v>296</v>
      </c>
      <c r="E126" s="3020"/>
      <c r="F126" s="3020"/>
      <c r="G126" s="3020"/>
      <c r="H126" s="3020"/>
      <c r="I126" s="3020"/>
      <c r="J126" s="3020"/>
      <c r="K126" s="3020"/>
      <c r="L126" s="3020"/>
      <c r="M126" s="3020"/>
      <c r="N126" s="3020"/>
      <c r="O126" s="3020"/>
      <c r="P126" s="3020"/>
      <c r="Q126" s="3020"/>
      <c r="R126" s="3020"/>
      <c r="S126" s="3020"/>
      <c r="T126" s="3020"/>
      <c r="U126" s="3273"/>
      <c r="V126" s="2717"/>
      <c r="W126" s="3268"/>
      <c r="X126" s="3269"/>
      <c r="Y126" s="3292"/>
      <c r="Z126" s="3269"/>
      <c r="AA126" s="3269"/>
      <c r="AB126" s="3269"/>
      <c r="AC126" s="3294"/>
      <c r="AD126" s="3295"/>
      <c r="AE126" s="3295"/>
      <c r="AF126" s="3295"/>
      <c r="AG126" s="3295"/>
      <c r="AH126" s="3305"/>
      <c r="AI126" s="3306"/>
      <c r="AJ126" s="3306"/>
      <c r="AK126" s="3306"/>
      <c r="AL126" s="3306"/>
      <c r="AM126" s="3306"/>
      <c r="AN126" s="3306"/>
      <c r="AO126" s="3306"/>
      <c r="AP126" s="3306"/>
      <c r="AQ126" s="3306"/>
      <c r="AR126" s="3306"/>
      <c r="AS126" s="3350"/>
      <c r="AT126" s="2717"/>
      <c r="AU126" s="3345"/>
      <c r="AV126" s="3344"/>
      <c r="AW126" s="3344"/>
      <c r="AX126" s="3344"/>
      <c r="AY126" s="3344"/>
      <c r="AZ126" s="3344"/>
      <c r="BA126" s="3344"/>
      <c r="BB126" s="3344"/>
      <c r="BC126" s="3344"/>
      <c r="BD126" s="3344"/>
      <c r="BE126" s="3344"/>
      <c r="BF126" s="3344"/>
      <c r="BG126" s="3344"/>
      <c r="BH126" s="3344"/>
      <c r="BI126" s="3344"/>
      <c r="BJ126" s="3344"/>
      <c r="BK126" s="3344"/>
      <c r="BL126" s="3344"/>
      <c r="BM126" s="3344"/>
      <c r="BN126" s="3344"/>
      <c r="BO126" s="3344"/>
      <c r="BP126" s="3344"/>
      <c r="BQ126" s="3344"/>
      <c r="BR126" s="3364"/>
    </row>
    <row r="127" customHeight="1" spans="1:70">
      <c r="A127" s="2717"/>
      <c r="B127" s="3019" t="s">
        <v>297</v>
      </c>
      <c r="C127" s="3020"/>
      <c r="D127" s="3020" t="s">
        <v>298</v>
      </c>
      <c r="E127" s="3020"/>
      <c r="F127" s="3020"/>
      <c r="G127" s="3020"/>
      <c r="H127" s="3020"/>
      <c r="I127" s="3020"/>
      <c r="J127" s="3020"/>
      <c r="K127" s="3020"/>
      <c r="L127" s="3020"/>
      <c r="M127" s="3020"/>
      <c r="N127" s="3020"/>
      <c r="O127" s="3020"/>
      <c r="P127" s="3020"/>
      <c r="Q127" s="3020"/>
      <c r="R127" s="3020"/>
      <c r="S127" s="3020"/>
      <c r="T127" s="3020"/>
      <c r="U127" s="3273"/>
      <c r="V127" s="2717"/>
      <c r="W127" s="3274"/>
      <c r="X127" s="3275"/>
      <c r="Y127" s="3275"/>
      <c r="Z127" s="3275"/>
      <c r="AA127" s="3275"/>
      <c r="AB127" s="3275"/>
      <c r="AC127" s="3296"/>
      <c r="AD127" s="3296"/>
      <c r="AE127" s="3296"/>
      <c r="AF127" s="3296"/>
      <c r="AG127" s="3296"/>
      <c r="AH127" s="3307"/>
      <c r="AI127" s="3307"/>
      <c r="AJ127" s="3307"/>
      <c r="AK127" s="3307"/>
      <c r="AL127" s="3307"/>
      <c r="AM127" s="3307"/>
      <c r="AN127" s="3307"/>
      <c r="AO127" s="3307"/>
      <c r="AP127" s="3307"/>
      <c r="AQ127" s="3307"/>
      <c r="AR127" s="3307"/>
      <c r="AS127" s="3352"/>
      <c r="AT127" s="2717"/>
      <c r="AU127" s="3345"/>
      <c r="AV127" s="3344"/>
      <c r="AW127" s="3344"/>
      <c r="AX127" s="3344"/>
      <c r="AY127" s="3344"/>
      <c r="AZ127" s="3344"/>
      <c r="BA127" s="3344"/>
      <c r="BB127" s="3344"/>
      <c r="BC127" s="3344"/>
      <c r="BD127" s="3344"/>
      <c r="BE127" s="3344"/>
      <c r="BF127" s="3344"/>
      <c r="BG127" s="3344"/>
      <c r="BH127" s="3344"/>
      <c r="BI127" s="3344"/>
      <c r="BJ127" s="3344"/>
      <c r="BK127" s="3344"/>
      <c r="BL127" s="3344"/>
      <c r="BM127" s="3344"/>
      <c r="BN127" s="3344"/>
      <c r="BO127" s="3344"/>
      <c r="BP127" s="3344"/>
      <c r="BQ127" s="3344"/>
      <c r="BR127" s="3364"/>
    </row>
    <row r="128" customHeight="1" spans="1:70">
      <c r="A128" s="2717"/>
      <c r="B128" s="3019" t="s">
        <v>299</v>
      </c>
      <c r="C128" s="3020"/>
      <c r="D128" s="3020" t="s">
        <v>300</v>
      </c>
      <c r="E128" s="3020"/>
      <c r="F128" s="3020"/>
      <c r="G128" s="3020"/>
      <c r="H128" s="3020"/>
      <c r="I128" s="3020"/>
      <c r="J128" s="3020"/>
      <c r="K128" s="3020"/>
      <c r="L128" s="3020"/>
      <c r="M128" s="3020"/>
      <c r="N128" s="3020"/>
      <c r="O128" s="3020"/>
      <c r="P128" s="3020"/>
      <c r="Q128" s="3020"/>
      <c r="R128" s="3020"/>
      <c r="S128" s="3020"/>
      <c r="T128" s="3020"/>
      <c r="U128" s="3273"/>
      <c r="V128" s="2717"/>
      <c r="W128" s="2717"/>
      <c r="X128" s="2717"/>
      <c r="Y128" s="3290"/>
      <c r="Z128" s="2717"/>
      <c r="AA128" s="2717"/>
      <c r="AB128" s="2717"/>
      <c r="AC128" s="2717"/>
      <c r="AD128" s="2717"/>
      <c r="AE128" s="2717"/>
      <c r="AF128" s="2717"/>
      <c r="AG128" s="2717"/>
      <c r="AH128" s="2717"/>
      <c r="AI128" s="2717"/>
      <c r="AJ128" s="2717"/>
      <c r="AK128" s="2717"/>
      <c r="AL128" s="2717"/>
      <c r="AM128" s="2772"/>
      <c r="AN128" s="2772"/>
      <c r="AO128" s="2772"/>
      <c r="AP128" s="2772"/>
      <c r="AQ128" s="2772"/>
      <c r="AR128" s="2772"/>
      <c r="AS128" s="2772"/>
      <c r="AT128" s="2717"/>
      <c r="AU128" s="3345"/>
      <c r="AV128" s="3344"/>
      <c r="AW128" s="3344"/>
      <c r="AX128" s="3344"/>
      <c r="AY128" s="3344"/>
      <c r="AZ128" s="3344"/>
      <c r="BA128" s="3344"/>
      <c r="BB128" s="3344"/>
      <c r="BC128" s="3344"/>
      <c r="BD128" s="3344"/>
      <c r="BE128" s="3344"/>
      <c r="BF128" s="3344"/>
      <c r="BG128" s="3344"/>
      <c r="BH128" s="3344"/>
      <c r="BI128" s="3344"/>
      <c r="BJ128" s="3344"/>
      <c r="BK128" s="3344"/>
      <c r="BL128" s="3344"/>
      <c r="BM128" s="3344"/>
      <c r="BN128" s="3344"/>
      <c r="BO128" s="3344"/>
      <c r="BP128" s="3344"/>
      <c r="BQ128" s="3344"/>
      <c r="BR128" s="3364"/>
    </row>
    <row r="129" customHeight="1" spans="1:70">
      <c r="A129" s="2717"/>
      <c r="B129" s="3019"/>
      <c r="C129" s="3020"/>
      <c r="D129" s="3020"/>
      <c r="E129" s="3020"/>
      <c r="F129" s="3020"/>
      <c r="G129" s="3020"/>
      <c r="H129" s="3020"/>
      <c r="I129" s="3020"/>
      <c r="J129" s="3020"/>
      <c r="K129" s="3020"/>
      <c r="L129" s="3020"/>
      <c r="M129" s="3020"/>
      <c r="N129" s="3020"/>
      <c r="O129" s="3020"/>
      <c r="P129" s="3020"/>
      <c r="Q129" s="3020"/>
      <c r="R129" s="3020"/>
      <c r="S129" s="3020"/>
      <c r="T129" s="3020"/>
      <c r="U129" s="3273"/>
      <c r="V129" s="2717"/>
      <c r="W129" s="3175" t="s">
        <v>301</v>
      </c>
      <c r="X129" s="3176"/>
      <c r="Y129" s="3176"/>
      <c r="Z129" s="3176"/>
      <c r="AA129" s="3176"/>
      <c r="AB129" s="3176"/>
      <c r="AC129" s="3176"/>
      <c r="AD129" s="3176"/>
      <c r="AE129" s="3176"/>
      <c r="AF129" s="3176"/>
      <c r="AG129" s="3176"/>
      <c r="AH129" s="3176"/>
      <c r="AI129" s="3176"/>
      <c r="AJ129" s="3176"/>
      <c r="AK129" s="3176"/>
      <c r="AL129" s="3176"/>
      <c r="AM129" s="3176"/>
      <c r="AN129" s="3176"/>
      <c r="AO129" s="3176"/>
      <c r="AP129" s="3176"/>
      <c r="AQ129" s="3176"/>
      <c r="AR129" s="3176"/>
      <c r="AS129" s="3245"/>
      <c r="AT129" s="2717"/>
      <c r="AU129" s="3341" t="s">
        <v>302</v>
      </c>
      <c r="AV129" s="3342"/>
      <c r="AW129" s="3342"/>
      <c r="AX129" s="3342"/>
      <c r="AY129" s="3342"/>
      <c r="AZ129" s="3342"/>
      <c r="BA129" s="3342"/>
      <c r="BB129" s="3342"/>
      <c r="BC129" s="3342"/>
      <c r="BD129" s="3342"/>
      <c r="BE129" s="3342"/>
      <c r="BF129" s="3342"/>
      <c r="BG129" s="3342"/>
      <c r="BH129" s="3342"/>
      <c r="BI129" s="3342"/>
      <c r="BJ129" s="3342"/>
      <c r="BK129" s="3342"/>
      <c r="BL129" s="3342"/>
      <c r="BM129" s="3342"/>
      <c r="BN129" s="3342"/>
      <c r="BO129" s="3342"/>
      <c r="BP129" s="3342"/>
      <c r="BQ129" s="3342"/>
      <c r="BR129" s="3363"/>
    </row>
    <row r="130" customHeight="1" spans="1:70">
      <c r="A130" s="2717"/>
      <c r="B130" s="3027" t="s">
        <v>303</v>
      </c>
      <c r="C130" s="3028"/>
      <c r="D130" s="3028"/>
      <c r="E130" s="3028"/>
      <c r="F130" s="3028"/>
      <c r="G130" s="3028"/>
      <c r="H130" s="3028"/>
      <c r="I130" s="3028"/>
      <c r="J130" s="3028"/>
      <c r="K130" s="3028"/>
      <c r="L130" s="3028" t="s">
        <v>304</v>
      </c>
      <c r="M130" s="3028"/>
      <c r="N130" s="3028"/>
      <c r="O130" s="3028"/>
      <c r="P130" s="3028"/>
      <c r="Q130" s="3028"/>
      <c r="R130" s="3028"/>
      <c r="S130" s="3028"/>
      <c r="T130" s="3028"/>
      <c r="U130" s="3387"/>
      <c r="V130" s="2717"/>
      <c r="W130" s="3388" t="s">
        <v>6</v>
      </c>
      <c r="X130" s="3389"/>
      <c r="Y130" s="3389"/>
      <c r="Z130" s="3389"/>
      <c r="AA130" s="3408" t="s">
        <v>8</v>
      </c>
      <c r="AB130" s="3389"/>
      <c r="AC130" s="3389"/>
      <c r="AD130" s="3408" t="s">
        <v>305</v>
      </c>
      <c r="AE130" s="3389"/>
      <c r="AF130" s="3389"/>
      <c r="AG130" s="3389"/>
      <c r="AH130" s="3389"/>
      <c r="AI130" s="3389"/>
      <c r="AJ130" s="3389"/>
      <c r="AK130" s="3389"/>
      <c r="AL130" s="3408" t="s">
        <v>306</v>
      </c>
      <c r="AM130" s="3389"/>
      <c r="AN130" s="3389"/>
      <c r="AO130" s="3389"/>
      <c r="AP130" s="3408" t="s">
        <v>307</v>
      </c>
      <c r="AQ130" s="3389"/>
      <c r="AR130" s="3389"/>
      <c r="AS130" s="3430"/>
      <c r="AT130" s="2717"/>
      <c r="AU130" s="3431" t="s">
        <v>308</v>
      </c>
      <c r="AV130" s="3432"/>
      <c r="AW130" s="3432"/>
      <c r="AX130" s="3432"/>
      <c r="AY130" s="3432"/>
      <c r="AZ130" s="3446" t="s">
        <v>309</v>
      </c>
      <c r="BA130" s="3449"/>
      <c r="BB130" s="3449"/>
      <c r="BC130" s="3449"/>
      <c r="BD130" s="3449"/>
      <c r="BE130" s="3449"/>
      <c r="BF130" s="3449"/>
      <c r="BG130" s="3452" t="str">
        <f>IF(AZ130=附表!AT29,"要搜索的年份：","当前年份"&amp;G8&amp;"年")</f>
        <v>当前年份2023年</v>
      </c>
      <c r="BH130" s="3453"/>
      <c r="BI130" s="3453"/>
      <c r="BJ130" s="3453"/>
      <c r="BK130" s="3453"/>
      <c r="BL130" s="3454">
        <v>1920</v>
      </c>
      <c r="BM130" s="3455"/>
      <c r="BN130" s="3455"/>
      <c r="BO130" s="3455"/>
      <c r="BP130" s="3455"/>
      <c r="BQ130" s="3455"/>
      <c r="BR130" s="3456"/>
    </row>
    <row r="131" customHeight="1" spans="1:70">
      <c r="A131" s="2772"/>
      <c r="B131" s="3365" t="s">
        <v>310</v>
      </c>
      <c r="C131" s="3366"/>
      <c r="D131" s="3366"/>
      <c r="E131" s="3366"/>
      <c r="F131" s="3366"/>
      <c r="G131" s="3366"/>
      <c r="H131" s="3366"/>
      <c r="I131" s="3366"/>
      <c r="J131" s="3366"/>
      <c r="K131" s="3366"/>
      <c r="L131" s="3366"/>
      <c r="M131" s="3366"/>
      <c r="N131" s="3366"/>
      <c r="O131" s="3366"/>
      <c r="P131" s="3366"/>
      <c r="Q131" s="3366"/>
      <c r="R131" s="3366"/>
      <c r="S131" s="3366"/>
      <c r="T131" s="3366"/>
      <c r="U131" s="3390"/>
      <c r="V131" s="2717"/>
      <c r="W131" s="3391"/>
      <c r="X131" s="3392"/>
      <c r="Y131" s="3392"/>
      <c r="Z131" s="3409"/>
      <c r="AA131" s="3410" t="s">
        <v>311</v>
      </c>
      <c r="AB131" s="3410"/>
      <c r="AC131" s="3410"/>
      <c r="AD131" s="3420" t="s">
        <v>312</v>
      </c>
      <c r="AE131" s="3421"/>
      <c r="AF131" s="3421"/>
      <c r="AG131" s="3421"/>
      <c r="AH131" s="3421"/>
      <c r="AI131" s="3421"/>
      <c r="AJ131" s="3421"/>
      <c r="AK131" s="3428"/>
      <c r="AL131" s="3421" t="s">
        <v>313</v>
      </c>
      <c r="AM131" s="3421"/>
      <c r="AN131" s="3421"/>
      <c r="AO131" s="3421"/>
      <c r="AP131" s="3420" t="s">
        <v>314</v>
      </c>
      <c r="AQ131" s="3421"/>
      <c r="AR131" s="3421"/>
      <c r="AS131" s="3433"/>
      <c r="AT131" s="2717"/>
      <c r="AU131" s="3434">
        <f>附表!BA14</f>
        <v>0</v>
      </c>
      <c r="AV131" s="3435"/>
      <c r="AW131" s="3435"/>
      <c r="AX131" s="3435"/>
      <c r="AY131" s="3435"/>
      <c r="AZ131" s="3435"/>
      <c r="BA131" s="3435"/>
      <c r="BB131" s="3435"/>
      <c r="BC131" s="3435"/>
      <c r="BD131" s="3435"/>
      <c r="BE131" s="3435"/>
      <c r="BF131" s="3435"/>
      <c r="BG131" s="3435"/>
      <c r="BH131" s="3435"/>
      <c r="BI131" s="3435"/>
      <c r="BJ131" s="3435"/>
      <c r="BK131" s="3435"/>
      <c r="BL131" s="3435"/>
      <c r="BM131" s="3435"/>
      <c r="BN131" s="3435"/>
      <c r="BO131" s="3435"/>
      <c r="BP131" s="3435"/>
      <c r="BQ131" s="3435"/>
      <c r="BR131" s="3457"/>
    </row>
    <row r="132" customHeight="1" spans="1:70">
      <c r="A132" s="2772"/>
      <c r="B132" s="2880" t="s">
        <v>315</v>
      </c>
      <c r="C132" s="2722"/>
      <c r="D132" s="2722"/>
      <c r="E132" s="2722"/>
      <c r="F132" s="2722"/>
      <c r="G132" s="3371" t="s">
        <v>281</v>
      </c>
      <c r="H132" s="3371"/>
      <c r="I132" s="3371"/>
      <c r="J132" s="3371"/>
      <c r="K132" s="3371"/>
      <c r="L132" s="3371"/>
      <c r="M132" s="3371"/>
      <c r="N132" s="2722" t="s">
        <v>282</v>
      </c>
      <c r="O132" s="2722"/>
      <c r="P132" s="2722"/>
      <c r="Q132" s="2722"/>
      <c r="R132" s="2722" t="s">
        <v>283</v>
      </c>
      <c r="S132" s="2722"/>
      <c r="T132" s="2722"/>
      <c r="U132" s="2986"/>
      <c r="V132" s="2717"/>
      <c r="W132" s="3393"/>
      <c r="X132" s="3394"/>
      <c r="Y132" s="3394"/>
      <c r="Z132" s="3411"/>
      <c r="AA132" s="3412"/>
      <c r="AB132" s="3413"/>
      <c r="AC132" s="3413"/>
      <c r="AD132" s="3422"/>
      <c r="AE132" s="3413"/>
      <c r="AF132" s="3413"/>
      <c r="AG132" s="3413"/>
      <c r="AH132" s="3413"/>
      <c r="AI132" s="3413"/>
      <c r="AJ132" s="3413"/>
      <c r="AK132" s="3429"/>
      <c r="AL132" s="3416"/>
      <c r="AM132" s="3413"/>
      <c r="AN132" s="3413"/>
      <c r="AO132" s="3413"/>
      <c r="AP132" s="3422"/>
      <c r="AQ132" s="3413"/>
      <c r="AR132" s="3413"/>
      <c r="AS132" s="3436"/>
      <c r="AT132" s="2717"/>
      <c r="AU132" s="3437"/>
      <c r="AV132" s="3435"/>
      <c r="AW132" s="3435"/>
      <c r="AX132" s="3435"/>
      <c r="AY132" s="3435"/>
      <c r="AZ132" s="3435"/>
      <c r="BA132" s="3435"/>
      <c r="BB132" s="3435"/>
      <c r="BC132" s="3435"/>
      <c r="BD132" s="3435"/>
      <c r="BE132" s="3435"/>
      <c r="BF132" s="3435"/>
      <c r="BG132" s="3435"/>
      <c r="BH132" s="3435"/>
      <c r="BI132" s="3435"/>
      <c r="BJ132" s="3435"/>
      <c r="BK132" s="3435"/>
      <c r="BL132" s="3435"/>
      <c r="BM132" s="3435"/>
      <c r="BN132" s="3435"/>
      <c r="BO132" s="3435"/>
      <c r="BP132" s="3435"/>
      <c r="BQ132" s="3435"/>
      <c r="BR132" s="3457"/>
    </row>
    <row r="133" customHeight="1" spans="1:70">
      <c r="A133" s="2772"/>
      <c r="B133" s="2880"/>
      <c r="C133" s="2722"/>
      <c r="D133" s="2722"/>
      <c r="E133" s="2722"/>
      <c r="F133" s="2722"/>
      <c r="G133" s="3371" t="s">
        <v>316</v>
      </c>
      <c r="H133" s="3371"/>
      <c r="I133" s="3371"/>
      <c r="J133" s="3371"/>
      <c r="K133" s="3371"/>
      <c r="L133" s="3371"/>
      <c r="M133" s="3371"/>
      <c r="N133" s="2722" t="s">
        <v>317</v>
      </c>
      <c r="O133" s="2722"/>
      <c r="P133" s="2722"/>
      <c r="Q133" s="2722"/>
      <c r="R133" s="2722" t="s">
        <v>318</v>
      </c>
      <c r="S133" s="2722"/>
      <c r="T133" s="2722"/>
      <c r="U133" s="2986"/>
      <c r="V133" s="2717"/>
      <c r="W133" s="3395"/>
      <c r="X133" s="3396"/>
      <c r="Y133" s="3396"/>
      <c r="Z133" s="3414"/>
      <c r="AA133" s="3396"/>
      <c r="AB133" s="3396"/>
      <c r="AC133" s="3396"/>
      <c r="AD133" s="3213"/>
      <c r="AE133" s="3396"/>
      <c r="AF133" s="3396"/>
      <c r="AG133" s="3396"/>
      <c r="AH133" s="3396"/>
      <c r="AI133" s="3396"/>
      <c r="AJ133" s="3396"/>
      <c r="AK133" s="3414"/>
      <c r="AL133" s="3396"/>
      <c r="AM133" s="3396"/>
      <c r="AN133" s="3396"/>
      <c r="AO133" s="3396"/>
      <c r="AP133" s="3213"/>
      <c r="AQ133" s="3396"/>
      <c r="AR133" s="3396"/>
      <c r="AS133" s="3438"/>
      <c r="AT133" s="2717"/>
      <c r="AU133" s="3437"/>
      <c r="AV133" s="3435"/>
      <c r="AW133" s="3435"/>
      <c r="AX133" s="3435"/>
      <c r="AY133" s="3435"/>
      <c r="AZ133" s="3435"/>
      <c r="BA133" s="3435"/>
      <c r="BB133" s="3435"/>
      <c r="BC133" s="3435"/>
      <c r="BD133" s="3435"/>
      <c r="BE133" s="3435"/>
      <c r="BF133" s="3435"/>
      <c r="BG133" s="3435"/>
      <c r="BH133" s="3435"/>
      <c r="BI133" s="3435"/>
      <c r="BJ133" s="3435"/>
      <c r="BK133" s="3435"/>
      <c r="BL133" s="3435"/>
      <c r="BM133" s="3435"/>
      <c r="BN133" s="3435"/>
      <c r="BO133" s="3435"/>
      <c r="BP133" s="3435"/>
      <c r="BQ133" s="3435"/>
      <c r="BR133" s="3457"/>
    </row>
    <row r="134" customHeight="1" spans="1:70">
      <c r="A134" s="2772"/>
      <c r="B134" s="2880"/>
      <c r="C134" s="2722"/>
      <c r="D134" s="2722"/>
      <c r="E134" s="2722"/>
      <c r="F134" s="2722"/>
      <c r="G134" s="3371"/>
      <c r="H134" s="3371"/>
      <c r="I134" s="3371"/>
      <c r="J134" s="3371"/>
      <c r="K134" s="3371"/>
      <c r="L134" s="3371"/>
      <c r="M134" s="3371"/>
      <c r="N134" s="2722"/>
      <c r="O134" s="2722"/>
      <c r="P134" s="2722"/>
      <c r="Q134" s="2722"/>
      <c r="R134" s="2722"/>
      <c r="S134" s="2722"/>
      <c r="T134" s="2722"/>
      <c r="U134" s="2986"/>
      <c r="V134" s="2717"/>
      <c r="W134" s="3393"/>
      <c r="X134" s="3394"/>
      <c r="Y134" s="3394"/>
      <c r="Z134" s="3415"/>
      <c r="AA134" s="3416"/>
      <c r="AB134" s="3413"/>
      <c r="AC134" s="3413"/>
      <c r="AD134" s="3422"/>
      <c r="AE134" s="3413"/>
      <c r="AF134" s="3413"/>
      <c r="AG134" s="3413"/>
      <c r="AH134" s="3413"/>
      <c r="AI134" s="3413"/>
      <c r="AJ134" s="3413"/>
      <c r="AK134" s="3429"/>
      <c r="AL134" s="3416"/>
      <c r="AM134" s="3413"/>
      <c r="AN134" s="3413"/>
      <c r="AO134" s="3413"/>
      <c r="AP134" s="3422"/>
      <c r="AQ134" s="3413"/>
      <c r="AR134" s="3413"/>
      <c r="AS134" s="3436"/>
      <c r="AT134" s="2717"/>
      <c r="AU134" s="3437"/>
      <c r="AV134" s="3435"/>
      <c r="AW134" s="3435"/>
      <c r="AX134" s="3435"/>
      <c r="AY134" s="3435"/>
      <c r="AZ134" s="3435"/>
      <c r="BA134" s="3435"/>
      <c r="BB134" s="3435"/>
      <c r="BC134" s="3435"/>
      <c r="BD134" s="3435"/>
      <c r="BE134" s="3435"/>
      <c r="BF134" s="3435"/>
      <c r="BG134" s="3435"/>
      <c r="BH134" s="3435"/>
      <c r="BI134" s="3435"/>
      <c r="BJ134" s="3435"/>
      <c r="BK134" s="3435"/>
      <c r="BL134" s="3435"/>
      <c r="BM134" s="3435"/>
      <c r="BN134" s="3435"/>
      <c r="BO134" s="3435"/>
      <c r="BP134" s="3435"/>
      <c r="BQ134" s="3435"/>
      <c r="BR134" s="3457"/>
    </row>
    <row r="135" customHeight="1" spans="1:70">
      <c r="A135" s="2772"/>
      <c r="B135" s="2880" t="s">
        <v>319</v>
      </c>
      <c r="C135" s="2722"/>
      <c r="D135" s="2722"/>
      <c r="E135" s="2722"/>
      <c r="F135" s="2722"/>
      <c r="G135" s="2722" t="s">
        <v>320</v>
      </c>
      <c r="H135" s="2722"/>
      <c r="I135" s="2722"/>
      <c r="J135" s="2722"/>
      <c r="K135" s="2722"/>
      <c r="L135" s="2722"/>
      <c r="M135" s="2722"/>
      <c r="N135" s="2722" t="s">
        <v>321</v>
      </c>
      <c r="O135" s="2722"/>
      <c r="P135" s="2722"/>
      <c r="Q135" s="2722"/>
      <c r="R135" s="2722" t="s">
        <v>322</v>
      </c>
      <c r="S135" s="2722"/>
      <c r="T135" s="2722"/>
      <c r="U135" s="2986"/>
      <c r="V135" s="2717"/>
      <c r="W135" s="3395"/>
      <c r="X135" s="3396"/>
      <c r="Y135" s="3396"/>
      <c r="Z135" s="3414"/>
      <c r="AA135" s="3396"/>
      <c r="AB135" s="3396"/>
      <c r="AC135" s="3396"/>
      <c r="AD135" s="3213"/>
      <c r="AE135" s="3396"/>
      <c r="AF135" s="3396"/>
      <c r="AG135" s="3396"/>
      <c r="AH135" s="3396"/>
      <c r="AI135" s="3396"/>
      <c r="AJ135" s="3396"/>
      <c r="AK135" s="3414"/>
      <c r="AL135" s="3396"/>
      <c r="AM135" s="3396"/>
      <c r="AN135" s="3396"/>
      <c r="AO135" s="3396"/>
      <c r="AP135" s="3213"/>
      <c r="AQ135" s="3396"/>
      <c r="AR135" s="3396"/>
      <c r="AS135" s="3438"/>
      <c r="AT135" s="2717"/>
      <c r="AU135" s="3437"/>
      <c r="AV135" s="3435"/>
      <c r="AW135" s="3435"/>
      <c r="AX135" s="3435"/>
      <c r="AY135" s="3435"/>
      <c r="AZ135" s="3435"/>
      <c r="BA135" s="3435"/>
      <c r="BB135" s="3435"/>
      <c r="BC135" s="3435"/>
      <c r="BD135" s="3435"/>
      <c r="BE135" s="3435"/>
      <c r="BF135" s="3435"/>
      <c r="BG135" s="3435"/>
      <c r="BH135" s="3435"/>
      <c r="BI135" s="3435"/>
      <c r="BJ135" s="3435"/>
      <c r="BK135" s="3435"/>
      <c r="BL135" s="3435"/>
      <c r="BM135" s="3435"/>
      <c r="BN135" s="3435"/>
      <c r="BO135" s="3435"/>
      <c r="BP135" s="3435"/>
      <c r="BQ135" s="3435"/>
      <c r="BR135" s="3457"/>
    </row>
    <row r="136" customHeight="1" spans="1:70">
      <c r="A136" s="2772"/>
      <c r="B136" s="2880"/>
      <c r="C136" s="2722"/>
      <c r="D136" s="2722"/>
      <c r="E136" s="2722"/>
      <c r="F136" s="2722"/>
      <c r="G136" s="2722"/>
      <c r="H136" s="2722"/>
      <c r="I136" s="2722"/>
      <c r="J136" s="2722"/>
      <c r="K136" s="2722"/>
      <c r="L136" s="2722"/>
      <c r="M136" s="2722"/>
      <c r="N136" s="2722"/>
      <c r="O136" s="2722"/>
      <c r="P136" s="2722"/>
      <c r="Q136" s="2722"/>
      <c r="R136" s="2722"/>
      <c r="S136" s="2722"/>
      <c r="T136" s="2722"/>
      <c r="U136" s="2986"/>
      <c r="V136" s="2717"/>
      <c r="W136" s="3393"/>
      <c r="X136" s="3394"/>
      <c r="Y136" s="3394"/>
      <c r="Z136" s="3415"/>
      <c r="AA136" s="3416"/>
      <c r="AB136" s="3413"/>
      <c r="AC136" s="3413"/>
      <c r="AD136" s="3422"/>
      <c r="AE136" s="3413"/>
      <c r="AF136" s="3413"/>
      <c r="AG136" s="3413"/>
      <c r="AH136" s="3413"/>
      <c r="AI136" s="3413"/>
      <c r="AJ136" s="3413"/>
      <c r="AK136" s="3429"/>
      <c r="AL136" s="3416"/>
      <c r="AM136" s="3413"/>
      <c r="AN136" s="3413"/>
      <c r="AO136" s="3413"/>
      <c r="AP136" s="3422"/>
      <c r="AQ136" s="3413"/>
      <c r="AR136" s="3413"/>
      <c r="AS136" s="3436"/>
      <c r="AT136" s="2717"/>
      <c r="AU136" s="3437"/>
      <c r="AV136" s="3435"/>
      <c r="AW136" s="3435"/>
      <c r="AX136" s="3435"/>
      <c r="AY136" s="3435"/>
      <c r="AZ136" s="3435"/>
      <c r="BA136" s="3435"/>
      <c r="BB136" s="3435"/>
      <c r="BC136" s="3435"/>
      <c r="BD136" s="3435"/>
      <c r="BE136" s="3435"/>
      <c r="BF136" s="3435"/>
      <c r="BG136" s="3435"/>
      <c r="BH136" s="3435"/>
      <c r="BI136" s="3435"/>
      <c r="BJ136" s="3435"/>
      <c r="BK136" s="3435"/>
      <c r="BL136" s="3435"/>
      <c r="BM136" s="3435"/>
      <c r="BN136" s="3435"/>
      <c r="BO136" s="3435"/>
      <c r="BP136" s="3435"/>
      <c r="BQ136" s="3435"/>
      <c r="BR136" s="3457"/>
    </row>
    <row r="137" customHeight="1" spans="1:70">
      <c r="A137" s="2772"/>
      <c r="B137" s="3367" t="s">
        <v>323</v>
      </c>
      <c r="C137" s="3368"/>
      <c r="D137" s="3368"/>
      <c r="E137" s="3368" t="s">
        <v>324</v>
      </c>
      <c r="F137" s="3368"/>
      <c r="G137" s="3368"/>
      <c r="H137" s="3368"/>
      <c r="I137" s="3368"/>
      <c r="J137" s="3368"/>
      <c r="K137" s="3368"/>
      <c r="L137" s="3368"/>
      <c r="M137" s="3368"/>
      <c r="N137" s="3368"/>
      <c r="O137" s="3368"/>
      <c r="P137" s="3368"/>
      <c r="Q137" s="3368"/>
      <c r="R137" s="3368"/>
      <c r="S137" s="3368"/>
      <c r="T137" s="3368"/>
      <c r="U137" s="3397"/>
      <c r="V137" s="2717"/>
      <c r="W137" s="3183"/>
      <c r="X137" s="3184"/>
      <c r="Y137" s="3184"/>
      <c r="Z137" s="3184"/>
      <c r="AA137" s="3414"/>
      <c r="AB137" s="3184"/>
      <c r="AC137" s="3213"/>
      <c r="AD137" s="3184"/>
      <c r="AE137" s="3184"/>
      <c r="AF137" s="3184"/>
      <c r="AG137" s="3184"/>
      <c r="AH137" s="3184"/>
      <c r="AI137" s="3184"/>
      <c r="AJ137" s="3184"/>
      <c r="AK137" s="3184"/>
      <c r="AL137" s="3414"/>
      <c r="AM137" s="3184"/>
      <c r="AN137" s="3184"/>
      <c r="AO137" s="3213"/>
      <c r="AP137" s="3184"/>
      <c r="AQ137" s="3184"/>
      <c r="AR137" s="3184"/>
      <c r="AS137" s="3340"/>
      <c r="AT137" s="2717"/>
      <c r="AU137" s="3437"/>
      <c r="AV137" s="3435"/>
      <c r="AW137" s="3435"/>
      <c r="AX137" s="3435"/>
      <c r="AY137" s="3435"/>
      <c r="AZ137" s="3435"/>
      <c r="BA137" s="3435"/>
      <c r="BB137" s="3435"/>
      <c r="BC137" s="3435"/>
      <c r="BD137" s="3435"/>
      <c r="BE137" s="3435"/>
      <c r="BF137" s="3435"/>
      <c r="BG137" s="3435"/>
      <c r="BH137" s="3435"/>
      <c r="BI137" s="3435"/>
      <c r="BJ137" s="3435"/>
      <c r="BK137" s="3435"/>
      <c r="BL137" s="3435"/>
      <c r="BM137" s="3435"/>
      <c r="BN137" s="3435"/>
      <c r="BO137" s="3435"/>
      <c r="BP137" s="3435"/>
      <c r="BQ137" s="3435"/>
      <c r="BR137" s="3457"/>
    </row>
    <row r="138" customHeight="1" spans="1:70">
      <c r="A138" s="2772"/>
      <c r="B138" s="3367" t="s">
        <v>325</v>
      </c>
      <c r="C138" s="3368"/>
      <c r="D138" s="3368"/>
      <c r="E138" s="3368" t="s">
        <v>326</v>
      </c>
      <c r="F138" s="3368"/>
      <c r="G138" s="3368"/>
      <c r="H138" s="3368"/>
      <c r="I138" s="3368"/>
      <c r="J138" s="3368"/>
      <c r="K138" s="3368"/>
      <c r="L138" s="3368"/>
      <c r="M138" s="3368"/>
      <c r="N138" s="3368"/>
      <c r="O138" s="3368"/>
      <c r="P138" s="3368"/>
      <c r="Q138" s="3368"/>
      <c r="R138" s="3368"/>
      <c r="S138" s="3368"/>
      <c r="T138" s="3368"/>
      <c r="U138" s="3397"/>
      <c r="V138" s="2717"/>
      <c r="W138" s="3398"/>
      <c r="X138" s="3399"/>
      <c r="Y138" s="3399"/>
      <c r="Z138" s="3399"/>
      <c r="AA138" s="3417"/>
      <c r="AB138" s="3418"/>
      <c r="AC138" s="3423"/>
      <c r="AD138" s="3424"/>
      <c r="AE138" s="3418"/>
      <c r="AF138" s="3418"/>
      <c r="AG138" s="3418"/>
      <c r="AH138" s="3418"/>
      <c r="AI138" s="3418"/>
      <c r="AJ138" s="3418"/>
      <c r="AK138" s="3418"/>
      <c r="AL138" s="3417"/>
      <c r="AM138" s="3418"/>
      <c r="AN138" s="3418"/>
      <c r="AO138" s="3423"/>
      <c r="AP138" s="3424"/>
      <c r="AQ138" s="3418"/>
      <c r="AR138" s="3418"/>
      <c r="AS138" s="3439"/>
      <c r="AT138" s="2717"/>
      <c r="AU138" s="3437"/>
      <c r="AV138" s="3435"/>
      <c r="AW138" s="3435"/>
      <c r="AX138" s="3435"/>
      <c r="AY138" s="3435"/>
      <c r="AZ138" s="3435"/>
      <c r="BA138" s="3435"/>
      <c r="BB138" s="3435"/>
      <c r="BC138" s="3435"/>
      <c r="BD138" s="3435"/>
      <c r="BE138" s="3435"/>
      <c r="BF138" s="3435"/>
      <c r="BG138" s="3435"/>
      <c r="BH138" s="3435"/>
      <c r="BI138" s="3435"/>
      <c r="BJ138" s="3435"/>
      <c r="BK138" s="3435"/>
      <c r="BL138" s="3435"/>
      <c r="BM138" s="3435"/>
      <c r="BN138" s="3435"/>
      <c r="BO138" s="3435"/>
      <c r="BP138" s="3435"/>
      <c r="BQ138" s="3435"/>
      <c r="BR138" s="3457"/>
    </row>
    <row r="139" customHeight="1" spans="1:70">
      <c r="A139" s="2772"/>
      <c r="B139" s="3367" t="s">
        <v>327</v>
      </c>
      <c r="C139" s="3368"/>
      <c r="D139" s="3368"/>
      <c r="E139" s="3368" t="s">
        <v>328</v>
      </c>
      <c r="F139" s="3368"/>
      <c r="G139" s="3368"/>
      <c r="H139" s="3368"/>
      <c r="I139" s="3368"/>
      <c r="J139" s="3368"/>
      <c r="K139" s="3368"/>
      <c r="L139" s="3368"/>
      <c r="M139" s="3368"/>
      <c r="N139" s="3368"/>
      <c r="O139" s="3368"/>
      <c r="P139" s="3368"/>
      <c r="Q139" s="3374"/>
      <c r="R139" s="3374"/>
      <c r="S139" s="3374"/>
      <c r="T139" s="3374"/>
      <c r="U139" s="3400"/>
      <c r="V139" s="2717"/>
      <c r="W139" s="3183"/>
      <c r="X139" s="3184"/>
      <c r="Y139" s="3184"/>
      <c r="Z139" s="3184"/>
      <c r="AA139" s="3414"/>
      <c r="AB139" s="3184"/>
      <c r="AC139" s="3213"/>
      <c r="AD139" s="3184"/>
      <c r="AE139" s="3184"/>
      <c r="AF139" s="3184"/>
      <c r="AG139" s="3184"/>
      <c r="AH139" s="3184"/>
      <c r="AI139" s="3184"/>
      <c r="AJ139" s="3184"/>
      <c r="AK139" s="3184"/>
      <c r="AL139" s="3414"/>
      <c r="AM139" s="3184"/>
      <c r="AN139" s="3184"/>
      <c r="AO139" s="3213"/>
      <c r="AP139" s="3184"/>
      <c r="AQ139" s="3184"/>
      <c r="AR139" s="3184"/>
      <c r="AS139" s="3340"/>
      <c r="AT139" s="2717"/>
      <c r="AU139" s="3437"/>
      <c r="AV139" s="3435"/>
      <c r="AW139" s="3435"/>
      <c r="AX139" s="3435"/>
      <c r="AY139" s="3435"/>
      <c r="AZ139" s="3435"/>
      <c r="BA139" s="3435"/>
      <c r="BB139" s="3435"/>
      <c r="BC139" s="3435"/>
      <c r="BD139" s="3435"/>
      <c r="BE139" s="3435"/>
      <c r="BF139" s="3435"/>
      <c r="BG139" s="3435"/>
      <c r="BH139" s="3435"/>
      <c r="BI139" s="3435"/>
      <c r="BJ139" s="3435"/>
      <c r="BK139" s="3435"/>
      <c r="BL139" s="3435"/>
      <c r="BM139" s="3435"/>
      <c r="BN139" s="3435"/>
      <c r="BO139" s="3435"/>
      <c r="BP139" s="3435"/>
      <c r="BQ139" s="3435"/>
      <c r="BR139" s="3457"/>
    </row>
    <row r="140" customHeight="1" spans="1:70">
      <c r="A140" s="2772"/>
      <c r="B140" s="2880" t="s">
        <v>323</v>
      </c>
      <c r="C140" s="2722"/>
      <c r="D140" s="2722"/>
      <c r="E140" s="2722"/>
      <c r="F140" s="2722"/>
      <c r="G140" s="2722"/>
      <c r="H140" s="2722" t="s">
        <v>325</v>
      </c>
      <c r="I140" s="2722"/>
      <c r="J140" s="2722"/>
      <c r="K140" s="2722"/>
      <c r="L140" s="2722"/>
      <c r="M140" s="2722" t="s">
        <v>327</v>
      </c>
      <c r="N140" s="2722"/>
      <c r="O140" s="2722"/>
      <c r="P140" s="2955"/>
      <c r="Q140" s="3375" t="s">
        <v>329</v>
      </c>
      <c r="R140" s="3376"/>
      <c r="S140" s="3377">
        <v>1</v>
      </c>
      <c r="T140" s="3378"/>
      <c r="U140" s="3401"/>
      <c r="V140" s="2717"/>
      <c r="W140" s="3398"/>
      <c r="X140" s="3399"/>
      <c r="Y140" s="3399"/>
      <c r="Z140" s="3399"/>
      <c r="AA140" s="3417"/>
      <c r="AB140" s="3418"/>
      <c r="AC140" s="3423"/>
      <c r="AD140" s="3424"/>
      <c r="AE140" s="3418"/>
      <c r="AF140" s="3418"/>
      <c r="AG140" s="3418"/>
      <c r="AH140" s="3418"/>
      <c r="AI140" s="3418"/>
      <c r="AJ140" s="3418"/>
      <c r="AK140" s="3418"/>
      <c r="AL140" s="3417"/>
      <c r="AM140" s="3418"/>
      <c r="AN140" s="3418"/>
      <c r="AO140" s="3423"/>
      <c r="AP140" s="3424"/>
      <c r="AQ140" s="3418"/>
      <c r="AR140" s="3418"/>
      <c r="AS140" s="3439"/>
      <c r="AT140" s="2717"/>
      <c r="AU140" s="3437"/>
      <c r="AV140" s="3435"/>
      <c r="AW140" s="3435"/>
      <c r="AX140" s="3435"/>
      <c r="AY140" s="3435"/>
      <c r="AZ140" s="3435"/>
      <c r="BA140" s="3435"/>
      <c r="BB140" s="3435"/>
      <c r="BC140" s="3435"/>
      <c r="BD140" s="3435"/>
      <c r="BE140" s="3435"/>
      <c r="BF140" s="3435"/>
      <c r="BG140" s="3435"/>
      <c r="BH140" s="3435"/>
      <c r="BI140" s="3435"/>
      <c r="BJ140" s="3435"/>
      <c r="BK140" s="3435"/>
      <c r="BL140" s="3435"/>
      <c r="BM140" s="3435"/>
      <c r="BN140" s="3435"/>
      <c r="BO140" s="3435"/>
      <c r="BP140" s="3435"/>
      <c r="BQ140" s="3435"/>
      <c r="BR140" s="3457"/>
    </row>
    <row r="141" customHeight="1" spans="1:70">
      <c r="A141" s="2772"/>
      <c r="B141" s="3367" t="s">
        <v>330</v>
      </c>
      <c r="C141" s="3368"/>
      <c r="D141" s="3368"/>
      <c r="E141" s="3368"/>
      <c r="F141" s="3368"/>
      <c r="G141" s="3368"/>
      <c r="H141" s="3368" t="s">
        <v>331</v>
      </c>
      <c r="I141" s="3368"/>
      <c r="J141" s="3368"/>
      <c r="K141" s="3368"/>
      <c r="L141" s="3368"/>
      <c r="M141" s="3368" t="s">
        <v>332</v>
      </c>
      <c r="N141" s="3368"/>
      <c r="O141" s="3368"/>
      <c r="P141" s="3373"/>
      <c r="Q141" s="3379" t="s">
        <v>333</v>
      </c>
      <c r="R141" s="3380"/>
      <c r="S141" s="3380"/>
      <c r="T141" s="3380"/>
      <c r="U141" s="3402"/>
      <c r="V141" s="2717"/>
      <c r="W141" s="3183"/>
      <c r="X141" s="3184"/>
      <c r="Y141" s="3184"/>
      <c r="Z141" s="3184"/>
      <c r="AA141" s="3414"/>
      <c r="AB141" s="3184"/>
      <c r="AC141" s="3213"/>
      <c r="AD141" s="3184"/>
      <c r="AE141" s="3184"/>
      <c r="AF141" s="3184"/>
      <c r="AG141" s="3184"/>
      <c r="AH141" s="3184"/>
      <c r="AI141" s="3184"/>
      <c r="AJ141" s="3184"/>
      <c r="AK141" s="3184"/>
      <c r="AL141" s="3414"/>
      <c r="AM141" s="3184"/>
      <c r="AN141" s="3184"/>
      <c r="AO141" s="3213"/>
      <c r="AP141" s="3184"/>
      <c r="AQ141" s="3184"/>
      <c r="AR141" s="3184"/>
      <c r="AS141" s="3340"/>
      <c r="AT141" s="2717"/>
      <c r="AU141" s="3437"/>
      <c r="AV141" s="3435"/>
      <c r="AW141" s="3435"/>
      <c r="AX141" s="3435"/>
      <c r="AY141" s="3435"/>
      <c r="AZ141" s="3435"/>
      <c r="BA141" s="3435"/>
      <c r="BB141" s="3435"/>
      <c r="BC141" s="3435"/>
      <c r="BD141" s="3435"/>
      <c r="BE141" s="3435"/>
      <c r="BF141" s="3435"/>
      <c r="BG141" s="3435"/>
      <c r="BH141" s="3435"/>
      <c r="BI141" s="3435"/>
      <c r="BJ141" s="3435"/>
      <c r="BK141" s="3435"/>
      <c r="BL141" s="3435"/>
      <c r="BM141" s="3435"/>
      <c r="BN141" s="3435"/>
      <c r="BO141" s="3435"/>
      <c r="BP141" s="3435"/>
      <c r="BQ141" s="3435"/>
      <c r="BR141" s="3457"/>
    </row>
    <row r="142" customHeight="1" spans="1:70">
      <c r="A142" s="2772"/>
      <c r="B142" s="3367"/>
      <c r="C142" s="3368"/>
      <c r="D142" s="3368"/>
      <c r="E142" s="3368"/>
      <c r="F142" s="3368"/>
      <c r="G142" s="3368"/>
      <c r="H142" s="3368"/>
      <c r="I142" s="3368"/>
      <c r="J142" s="3368"/>
      <c r="K142" s="3368"/>
      <c r="L142" s="3368"/>
      <c r="M142" s="3368"/>
      <c r="N142" s="3368"/>
      <c r="O142" s="3368"/>
      <c r="P142" s="3373"/>
      <c r="Q142" s="3381" t="str">
        <f>IF(S140=1,"失忆",IF(S140=2,"假性残疾",IF(S140=3,"暴力倾向",IF(S140=4,"偏执",IF(S140=5,"人际依赖",IF(S140=6,"昏厥",IF(S140=7,"逃避行为",IF(S140=8,"歇斯底里",IF(S140=9,"恐惧",IF(S140=10,"躁狂",))))))))))</f>
        <v>失忆</v>
      </c>
      <c r="R142" s="3382"/>
      <c r="S142" s="3382"/>
      <c r="T142" s="3382"/>
      <c r="U142" s="3403"/>
      <c r="V142" s="2717"/>
      <c r="W142" s="3398"/>
      <c r="X142" s="3399"/>
      <c r="Y142" s="3399"/>
      <c r="Z142" s="3399"/>
      <c r="AA142" s="3417"/>
      <c r="AB142" s="3418"/>
      <c r="AC142" s="3423"/>
      <c r="AD142" s="3424"/>
      <c r="AE142" s="3418"/>
      <c r="AF142" s="3418"/>
      <c r="AG142" s="3418"/>
      <c r="AH142" s="3418"/>
      <c r="AI142" s="3418"/>
      <c r="AJ142" s="3418"/>
      <c r="AK142" s="3418"/>
      <c r="AL142" s="3417"/>
      <c r="AM142" s="3418"/>
      <c r="AN142" s="3418"/>
      <c r="AO142" s="3423"/>
      <c r="AP142" s="3424"/>
      <c r="AQ142" s="3418"/>
      <c r="AR142" s="3418"/>
      <c r="AS142" s="3439"/>
      <c r="AT142" s="2717"/>
      <c r="AU142" s="3437"/>
      <c r="AV142" s="3435"/>
      <c r="AW142" s="3435"/>
      <c r="AX142" s="3435"/>
      <c r="AY142" s="3435"/>
      <c r="AZ142" s="3435"/>
      <c r="BA142" s="3435"/>
      <c r="BB142" s="3435"/>
      <c r="BC142" s="3435"/>
      <c r="BD142" s="3435"/>
      <c r="BE142" s="3435"/>
      <c r="BF142" s="3435"/>
      <c r="BG142" s="3435"/>
      <c r="BH142" s="3435"/>
      <c r="BI142" s="3435"/>
      <c r="BJ142" s="3435"/>
      <c r="BK142" s="3435"/>
      <c r="BL142" s="3435"/>
      <c r="BM142" s="3435"/>
      <c r="BN142" s="3435"/>
      <c r="BO142" s="3435"/>
      <c r="BP142" s="3435"/>
      <c r="BQ142" s="3435"/>
      <c r="BR142" s="3457"/>
    </row>
    <row r="143" customHeight="1" spans="1:70">
      <c r="A143" s="2772"/>
      <c r="B143" s="3367"/>
      <c r="C143" s="3368"/>
      <c r="D143" s="3368"/>
      <c r="E143" s="3368"/>
      <c r="F143" s="3368"/>
      <c r="G143" s="3368"/>
      <c r="H143" s="3368"/>
      <c r="I143" s="3368"/>
      <c r="J143" s="3368"/>
      <c r="K143" s="3368"/>
      <c r="L143" s="3368"/>
      <c r="M143" s="3368"/>
      <c r="N143" s="3368"/>
      <c r="O143" s="3368"/>
      <c r="P143" s="3373"/>
      <c r="Q143" s="3383"/>
      <c r="R143" s="3382"/>
      <c r="S143" s="3382"/>
      <c r="T143" s="3382"/>
      <c r="U143" s="3403"/>
      <c r="V143" s="2717"/>
      <c r="W143" s="3183"/>
      <c r="X143" s="3184"/>
      <c r="Y143" s="3184"/>
      <c r="Z143" s="3184"/>
      <c r="AA143" s="3414"/>
      <c r="AB143" s="3184"/>
      <c r="AC143" s="3213"/>
      <c r="AD143" s="3184"/>
      <c r="AE143" s="3184"/>
      <c r="AF143" s="3184"/>
      <c r="AG143" s="3184"/>
      <c r="AH143" s="3184"/>
      <c r="AI143" s="3184"/>
      <c r="AJ143" s="3184"/>
      <c r="AK143" s="3184"/>
      <c r="AL143" s="3414"/>
      <c r="AM143" s="3184"/>
      <c r="AN143" s="3184"/>
      <c r="AO143" s="3213"/>
      <c r="AP143" s="3184"/>
      <c r="AQ143" s="3184"/>
      <c r="AR143" s="3184"/>
      <c r="AS143" s="3340"/>
      <c r="AT143" s="2717"/>
      <c r="AU143" s="3437"/>
      <c r="AV143" s="3435"/>
      <c r="AW143" s="3435"/>
      <c r="AX143" s="3435"/>
      <c r="AY143" s="3435"/>
      <c r="AZ143" s="3435"/>
      <c r="BA143" s="3435"/>
      <c r="BB143" s="3435"/>
      <c r="BC143" s="3435"/>
      <c r="BD143" s="3435"/>
      <c r="BE143" s="3435"/>
      <c r="BF143" s="3435"/>
      <c r="BG143" s="3435"/>
      <c r="BH143" s="3435"/>
      <c r="BI143" s="3435"/>
      <c r="BJ143" s="3435"/>
      <c r="BK143" s="3435"/>
      <c r="BL143" s="3435"/>
      <c r="BM143" s="3435"/>
      <c r="BN143" s="3435"/>
      <c r="BO143" s="3435"/>
      <c r="BP143" s="3435"/>
      <c r="BQ143" s="3435"/>
      <c r="BR143" s="3457"/>
    </row>
    <row r="144" customHeight="1" spans="1:70">
      <c r="A144" s="2772"/>
      <c r="B144" s="3367"/>
      <c r="C144" s="3368"/>
      <c r="D144" s="3368"/>
      <c r="E144" s="3368"/>
      <c r="F144" s="3368"/>
      <c r="G144" s="3368"/>
      <c r="H144" s="3368"/>
      <c r="I144" s="3368"/>
      <c r="J144" s="3368"/>
      <c r="K144" s="3368"/>
      <c r="L144" s="3368"/>
      <c r="M144" s="3368"/>
      <c r="N144" s="3368"/>
      <c r="O144" s="3368"/>
      <c r="P144" s="3373"/>
      <c r="Q144" s="3384"/>
      <c r="R144" s="3385"/>
      <c r="S144" s="3385"/>
      <c r="T144" s="3385"/>
      <c r="U144" s="3404"/>
      <c r="V144" s="2717"/>
      <c r="W144" s="3398"/>
      <c r="X144" s="3399"/>
      <c r="Y144" s="3399"/>
      <c r="Z144" s="3399"/>
      <c r="AA144" s="3417"/>
      <c r="AB144" s="3418"/>
      <c r="AC144" s="3423"/>
      <c r="AD144" s="3424"/>
      <c r="AE144" s="3418"/>
      <c r="AF144" s="3418"/>
      <c r="AG144" s="3418"/>
      <c r="AH144" s="3418"/>
      <c r="AI144" s="3418"/>
      <c r="AJ144" s="3418"/>
      <c r="AK144" s="3418"/>
      <c r="AL144" s="3417"/>
      <c r="AM144" s="3418"/>
      <c r="AN144" s="3418"/>
      <c r="AO144" s="3423"/>
      <c r="AP144" s="3424"/>
      <c r="AQ144" s="3418"/>
      <c r="AR144" s="3418"/>
      <c r="AS144" s="3439"/>
      <c r="AT144" s="2717"/>
      <c r="AU144" s="3440" t="s">
        <v>334</v>
      </c>
      <c r="AV144" s="3441"/>
      <c r="AW144" s="3441"/>
      <c r="AX144" s="3441"/>
      <c r="AY144" s="3441"/>
      <c r="AZ144" s="3441"/>
      <c r="BA144" s="3441"/>
      <c r="BB144" s="3441"/>
      <c r="BC144" s="3450" t="s">
        <v>335</v>
      </c>
      <c r="BD144" s="3441"/>
      <c r="BE144" s="3441"/>
      <c r="BF144" s="3441"/>
      <c r="BG144" s="3441"/>
      <c r="BH144" s="3441"/>
      <c r="BI144" s="3441"/>
      <c r="BJ144" s="3441"/>
      <c r="BK144" s="3450" t="s">
        <v>336</v>
      </c>
      <c r="BL144" s="3441"/>
      <c r="BM144" s="3441"/>
      <c r="BN144" s="3441"/>
      <c r="BO144" s="3441"/>
      <c r="BP144" s="3441"/>
      <c r="BQ144" s="3441"/>
      <c r="BR144" s="3458"/>
    </row>
    <row r="145" customHeight="1" spans="1:70">
      <c r="A145" s="2717"/>
      <c r="B145" s="3369" t="s">
        <v>337</v>
      </c>
      <c r="C145" s="2931"/>
      <c r="D145" s="2931"/>
      <c r="E145" s="2931"/>
      <c r="F145" s="2931"/>
      <c r="G145" s="2931"/>
      <c r="H145" s="2931"/>
      <c r="I145" s="2931"/>
      <c r="J145" s="2931"/>
      <c r="K145" s="2931"/>
      <c r="L145" s="2931"/>
      <c r="M145" s="2931"/>
      <c r="N145" s="2931"/>
      <c r="O145" s="2931"/>
      <c r="P145" s="2931"/>
      <c r="Q145" s="3386"/>
      <c r="R145" s="3386"/>
      <c r="S145" s="3386"/>
      <c r="T145" s="3386"/>
      <c r="U145" s="3405"/>
      <c r="V145" s="2717"/>
      <c r="W145" s="3406"/>
      <c r="X145" s="3407"/>
      <c r="Y145" s="3407"/>
      <c r="Z145" s="3407"/>
      <c r="AA145" s="3419"/>
      <c r="AB145" s="3407"/>
      <c r="AC145" s="3425"/>
      <c r="AD145" s="3407"/>
      <c r="AE145" s="3407"/>
      <c r="AF145" s="3407"/>
      <c r="AG145" s="3407"/>
      <c r="AH145" s="3407"/>
      <c r="AI145" s="3407"/>
      <c r="AJ145" s="3407"/>
      <c r="AK145" s="3407"/>
      <c r="AL145" s="3419"/>
      <c r="AM145" s="3407"/>
      <c r="AN145" s="3407"/>
      <c r="AO145" s="3425"/>
      <c r="AP145" s="3407"/>
      <c r="AQ145" s="3407"/>
      <c r="AR145" s="3407"/>
      <c r="AS145" s="3442"/>
      <c r="AT145" s="2717"/>
      <c r="AU145" s="3443" t="s">
        <v>338</v>
      </c>
      <c r="AV145" s="3444"/>
      <c r="AW145" s="3444"/>
      <c r="AX145" s="3444"/>
      <c r="AY145" s="3447"/>
      <c r="AZ145" s="3448"/>
      <c r="BA145" s="3448"/>
      <c r="BB145" s="3448"/>
      <c r="BC145" s="3451" t="s">
        <v>338</v>
      </c>
      <c r="BD145" s="3444"/>
      <c r="BE145" s="3444"/>
      <c r="BF145" s="3444"/>
      <c r="BG145" s="3447"/>
      <c r="BH145" s="3448"/>
      <c r="BI145" s="3448"/>
      <c r="BJ145" s="3448"/>
      <c r="BK145" s="3451" t="s">
        <v>338</v>
      </c>
      <c r="BL145" s="3444"/>
      <c r="BM145" s="3444"/>
      <c r="BN145" s="3444"/>
      <c r="BO145" s="3447"/>
      <c r="BP145" s="3448"/>
      <c r="BQ145" s="3448"/>
      <c r="BR145" s="3459"/>
    </row>
    <row r="146" customHeight="1" spans="1:70">
      <c r="A146" s="2717"/>
      <c r="B146" s="2717" t="s">
        <v>339</v>
      </c>
      <c r="C146" s="2717"/>
      <c r="D146" s="2717"/>
      <c r="E146" s="2717"/>
      <c r="F146" s="2717"/>
      <c r="G146" s="2717"/>
      <c r="H146" s="2717"/>
      <c r="I146" s="2717"/>
      <c r="J146" s="2717"/>
      <c r="K146" s="2717"/>
      <c r="L146" s="2717"/>
      <c r="M146" s="2717"/>
      <c r="N146" s="2717"/>
      <c r="O146" s="2717"/>
      <c r="P146" s="2717"/>
      <c r="Q146" s="2717"/>
      <c r="R146" s="2717"/>
      <c r="S146" s="2717"/>
      <c r="T146" s="2717"/>
      <c r="U146" s="2717"/>
      <c r="V146" s="2717"/>
      <c r="W146" s="2717"/>
      <c r="X146" s="2717"/>
      <c r="Y146" s="2717"/>
      <c r="Z146" s="2717"/>
      <c r="AA146" s="2717"/>
      <c r="AB146" s="2717"/>
      <c r="AC146" s="2717"/>
      <c r="AD146" s="2717"/>
      <c r="AE146" s="2717"/>
      <c r="AF146" s="2717"/>
      <c r="AG146" s="2717"/>
      <c r="AH146" s="2717"/>
      <c r="AI146" s="3427"/>
      <c r="AJ146" s="3427"/>
      <c r="AK146" s="3427"/>
      <c r="AL146" s="3427"/>
      <c r="AM146" s="3427"/>
      <c r="AN146" s="3427"/>
      <c r="AO146" s="3427"/>
      <c r="AP146" s="3427"/>
      <c r="AQ146" s="2717"/>
      <c r="AR146" s="2717"/>
      <c r="AS146" s="2717"/>
      <c r="AT146" s="2717"/>
      <c r="AU146" s="3445" t="s">
        <v>340</v>
      </c>
      <c r="AV146" s="3445"/>
      <c r="AW146" s="3445"/>
      <c r="AX146" s="3445"/>
      <c r="AY146" s="3445"/>
      <c r="AZ146" s="3445"/>
      <c r="BA146" s="3445"/>
      <c r="BB146" s="3445"/>
      <c r="BC146" s="3445"/>
      <c r="BD146" s="3445"/>
      <c r="BE146" s="3445"/>
      <c r="BF146" s="3445"/>
      <c r="BG146" s="3445"/>
      <c r="BH146" s="3445"/>
      <c r="BI146" s="3445"/>
      <c r="BJ146" s="3445"/>
      <c r="BK146" s="3445"/>
      <c r="BL146" s="3445"/>
      <c r="BM146" s="3445"/>
      <c r="BN146" s="3445"/>
      <c r="BO146" s="3445"/>
      <c r="BP146" s="3445"/>
      <c r="BQ146" s="3445"/>
      <c r="BR146" s="3445"/>
    </row>
    <row r="147" customHeight="1" spans="1:70">
      <c r="A147" s="2717"/>
      <c r="B147" s="2717"/>
      <c r="C147" s="2717"/>
      <c r="D147" s="2717"/>
      <c r="E147" s="2717"/>
      <c r="F147" s="2717"/>
      <c r="G147" s="2717"/>
      <c r="H147" s="2717"/>
      <c r="I147" s="2717"/>
      <c r="J147" s="2717"/>
      <c r="K147" s="2717"/>
      <c r="L147" s="2717"/>
      <c r="M147" s="2717"/>
      <c r="N147" s="2717"/>
      <c r="O147" s="2717"/>
      <c r="P147" s="2717"/>
      <c r="Q147" s="2717"/>
      <c r="R147" s="2717"/>
      <c r="S147" s="2717"/>
      <c r="T147" s="2717"/>
      <c r="U147" s="2717"/>
      <c r="V147" s="2717"/>
      <c r="W147" s="2717"/>
      <c r="X147" s="2717"/>
      <c r="Y147" s="2717"/>
      <c r="Z147" s="2717"/>
      <c r="AA147" s="2717"/>
      <c r="AB147" s="2717"/>
      <c r="AC147" s="2717"/>
      <c r="AD147" s="2717"/>
      <c r="AE147" s="2717"/>
      <c r="AF147" s="2717"/>
      <c r="AG147" s="2717"/>
      <c r="AH147" s="2717"/>
      <c r="AI147" s="2717"/>
      <c r="AJ147" s="2717"/>
      <c r="AK147" s="2717"/>
      <c r="AL147" s="2717"/>
      <c r="AM147" s="2717"/>
      <c r="AN147" s="3427"/>
      <c r="AO147" s="3427"/>
      <c r="AP147" s="3427"/>
      <c r="AQ147" s="2717"/>
      <c r="AR147" s="2717"/>
      <c r="AS147" s="2717"/>
      <c r="AT147" s="2717"/>
      <c r="AU147" s="2717"/>
      <c r="AV147" s="2717"/>
      <c r="AW147" s="2717"/>
      <c r="AX147" s="2717"/>
      <c r="AY147" s="2717"/>
      <c r="AZ147" s="2717"/>
      <c r="BA147" s="2717"/>
      <c r="BB147" s="2717"/>
      <c r="BC147" s="2717"/>
      <c r="BD147" s="2717"/>
      <c r="BE147" s="2717"/>
      <c r="BF147" s="2717"/>
      <c r="BG147" s="2717"/>
      <c r="BH147" s="2717"/>
      <c r="BI147" s="2717"/>
      <c r="BJ147" s="2717"/>
      <c r="BK147" s="2717"/>
      <c r="BL147" s="2717"/>
      <c r="BM147" s="2717"/>
      <c r="BN147" s="2717"/>
      <c r="BO147" s="2717"/>
      <c r="BP147" s="2717"/>
      <c r="BQ147" s="2717"/>
      <c r="BR147" s="2717"/>
    </row>
    <row r="148" customHeight="1" spans="1:70">
      <c r="A148" s="2717"/>
      <c r="B148" s="3370" t="s">
        <v>341</v>
      </c>
      <c r="C148" s="3370"/>
      <c r="D148" s="3370"/>
      <c r="E148" s="3370"/>
      <c r="F148" s="3370"/>
      <c r="G148" s="3370"/>
      <c r="H148" s="3370"/>
      <c r="I148" s="3370"/>
      <c r="J148" s="3370"/>
      <c r="K148" s="3370"/>
      <c r="L148" s="3370"/>
      <c r="M148" s="3370"/>
      <c r="N148" s="2717"/>
      <c r="O148" s="3370" t="s">
        <v>342</v>
      </c>
      <c r="P148" s="3370"/>
      <c r="Q148" s="3370"/>
      <c r="R148" s="3370"/>
      <c r="S148" s="3370"/>
      <c r="T148" s="3370"/>
      <c r="U148" s="3370"/>
      <c r="V148" s="3370"/>
      <c r="W148" s="3370"/>
      <c r="X148" s="3370"/>
      <c r="Y148" s="3370"/>
      <c r="Z148" s="2717"/>
      <c r="AA148" s="2717"/>
      <c r="AB148" s="3370" t="s">
        <v>343</v>
      </c>
      <c r="AC148" s="3370"/>
      <c r="AD148" s="3370"/>
      <c r="AE148" s="3370"/>
      <c r="AF148" s="3370"/>
      <c r="AG148" s="3370"/>
      <c r="AH148" s="3370"/>
      <c r="AI148" s="3370"/>
      <c r="AJ148" s="3370"/>
      <c r="AK148" s="3370"/>
      <c r="AL148" s="3370"/>
      <c r="AM148" s="2717"/>
      <c r="AN148" s="2717"/>
      <c r="AO148" s="2717"/>
      <c r="AP148" s="3370" t="s">
        <v>344</v>
      </c>
      <c r="AQ148" s="3370"/>
      <c r="AR148" s="3370"/>
      <c r="AS148" s="3370"/>
      <c r="AT148" s="3370"/>
      <c r="AU148" s="3370"/>
      <c r="AV148" s="3370"/>
      <c r="AW148" s="3370"/>
      <c r="AX148" s="3370"/>
      <c r="AY148" s="3370"/>
      <c r="AZ148" s="3370"/>
      <c r="BA148" s="3370"/>
      <c r="BB148" s="3370"/>
      <c r="BC148" s="3370"/>
      <c r="BD148" s="3370"/>
      <c r="BE148" s="2717"/>
      <c r="BF148" s="2717"/>
      <c r="BG148" s="2717"/>
      <c r="BH148" s="2717"/>
      <c r="BI148" s="2717"/>
      <c r="BJ148" s="2717"/>
      <c r="BK148" s="2717"/>
      <c r="BL148" s="2717"/>
      <c r="BM148" s="2717"/>
      <c r="BN148" s="2717"/>
      <c r="BO148" s="2717"/>
      <c r="BP148" s="2717"/>
      <c r="BQ148" s="2717"/>
      <c r="BR148" s="2717"/>
    </row>
    <row r="149" customHeight="1" spans="1:70">
      <c r="A149" s="2717"/>
      <c r="B149" s="3370"/>
      <c r="C149" s="3370"/>
      <c r="D149" s="3370"/>
      <c r="E149" s="3370"/>
      <c r="F149" s="3370"/>
      <c r="G149" s="3370"/>
      <c r="H149" s="3370"/>
      <c r="I149" s="3370"/>
      <c r="J149" s="3370"/>
      <c r="K149" s="3370"/>
      <c r="L149" s="3370"/>
      <c r="M149" s="3370"/>
      <c r="N149" s="2717"/>
      <c r="O149" s="3370"/>
      <c r="P149" s="3370"/>
      <c r="Q149" s="3370"/>
      <c r="R149" s="3370"/>
      <c r="S149" s="3370"/>
      <c r="T149" s="3370"/>
      <c r="U149" s="3370"/>
      <c r="V149" s="3370"/>
      <c r="W149" s="3370"/>
      <c r="X149" s="3370"/>
      <c r="Y149" s="3370"/>
      <c r="Z149" s="2717"/>
      <c r="AA149" s="2717"/>
      <c r="AB149" s="3370"/>
      <c r="AC149" s="3370"/>
      <c r="AD149" s="3370"/>
      <c r="AE149" s="3370"/>
      <c r="AF149" s="3370"/>
      <c r="AG149" s="3370"/>
      <c r="AH149" s="3370"/>
      <c r="AI149" s="3370"/>
      <c r="AJ149" s="3370"/>
      <c r="AK149" s="3370"/>
      <c r="AL149" s="3370"/>
      <c r="AM149" s="2717"/>
      <c r="AN149" s="2717"/>
      <c r="AO149" s="2717"/>
      <c r="AP149" s="3370"/>
      <c r="AQ149" s="3370"/>
      <c r="AR149" s="3370"/>
      <c r="AS149" s="3370"/>
      <c r="AT149" s="3370"/>
      <c r="AU149" s="3370"/>
      <c r="AV149" s="3370"/>
      <c r="AW149" s="3370"/>
      <c r="AX149" s="3370"/>
      <c r="AY149" s="3370"/>
      <c r="AZ149" s="3370"/>
      <c r="BA149" s="3370"/>
      <c r="BB149" s="3370"/>
      <c r="BC149" s="3370"/>
      <c r="BD149" s="3370"/>
      <c r="BE149" s="2717"/>
      <c r="BF149" s="2717"/>
      <c r="BG149" s="2717"/>
      <c r="BH149" s="2717"/>
      <c r="BI149" s="2717"/>
      <c r="BJ149" s="2717"/>
      <c r="BK149" s="2717"/>
      <c r="BL149" s="2717"/>
      <c r="BM149" s="2717"/>
      <c r="BN149" s="2717"/>
      <c r="BO149" s="2717"/>
      <c r="BP149" s="2717"/>
      <c r="BQ149" s="2717"/>
      <c r="BR149" s="2717"/>
    </row>
    <row r="151" customHeight="1" spans="2:25">
      <c r="B151" s="1704"/>
      <c r="C151" s="1704"/>
      <c r="D151" s="1704"/>
      <c r="E151" s="1704"/>
      <c r="F151" s="1704"/>
      <c r="G151" s="1704"/>
      <c r="H151" s="1704"/>
      <c r="I151" s="1704"/>
      <c r="L151" s="1704"/>
      <c r="R151" s="1704"/>
      <c r="S151" s="1704"/>
      <c r="T151" s="1704"/>
      <c r="U151" s="1704"/>
      <c r="V151" s="1704"/>
      <c r="W151" s="1704"/>
      <c r="X151" s="1704"/>
      <c r="Y151" s="1704"/>
    </row>
    <row r="152" customHeight="1" spans="31:31">
      <c r="AE152" s="3426"/>
    </row>
    <row r="159" customHeight="1" spans="5:6">
      <c r="E159" s="3372"/>
      <c r="F159" s="3372"/>
    </row>
    <row r="165" customHeight="1" spans="50:51">
      <c r="AX165" s="1704"/>
      <c r="AY165" s="1704"/>
    </row>
    <row r="166" customHeight="1" spans="50:51">
      <c r="AX166" s="1704"/>
      <c r="AY166" s="1704"/>
    </row>
    <row r="167" customHeight="1" spans="50:51">
      <c r="AX167" s="1704"/>
      <c r="AY167" s="1704"/>
    </row>
    <row r="168" customHeight="1" spans="50:51">
      <c r="AX168" s="1704"/>
      <c r="AY168" s="1704"/>
    </row>
    <row r="169" customHeight="1" spans="50:51">
      <c r="AX169" s="1704"/>
      <c r="AY169" s="1704"/>
    </row>
    <row r="170" customHeight="1" spans="50:51">
      <c r="AX170" s="1704"/>
      <c r="AY170" s="1704"/>
    </row>
    <row r="171" customHeight="1" spans="50:51">
      <c r="AX171" s="1704"/>
      <c r="AY171" s="1704"/>
    </row>
    <row r="172" customHeight="1" spans="50:51">
      <c r="AX172" s="1704"/>
      <c r="AY172" s="1704"/>
    </row>
    <row r="173" customHeight="1" spans="34:51">
      <c r="AH173" s="1704"/>
      <c r="AI173" s="1704"/>
      <c r="AJ173" s="1704"/>
      <c r="AK173" s="1704"/>
      <c r="AL173" s="1704"/>
      <c r="AM173" s="1704"/>
      <c r="AN173" s="1704"/>
      <c r="AO173" s="1704"/>
      <c r="AP173" s="1704"/>
      <c r="AQ173" s="1704"/>
      <c r="AR173" s="1704"/>
      <c r="AS173" s="1704"/>
      <c r="AT173" s="1704"/>
      <c r="AV173" s="1704"/>
      <c r="AW173" s="1704"/>
      <c r="AX173" s="1704"/>
      <c r="AY173" s="1704"/>
    </row>
    <row r="174" customHeight="1" spans="34:51">
      <c r="AH174" s="1704"/>
      <c r="AI174" s="1704"/>
      <c r="AJ174" s="1704"/>
      <c r="AK174" s="1704"/>
      <c r="AL174" s="1704"/>
      <c r="AM174" s="1704"/>
      <c r="AN174" s="1704"/>
      <c r="AO174" s="1704"/>
      <c r="AP174" s="1704"/>
      <c r="AQ174" s="1704"/>
      <c r="AR174" s="1704"/>
      <c r="AS174" s="1704"/>
      <c r="AT174" s="1704"/>
      <c r="AV174" s="1704"/>
      <c r="AW174" s="1704"/>
      <c r="AX174" s="1704"/>
      <c r="AY174" s="1704"/>
    </row>
    <row r="175" customHeight="1" spans="34:51">
      <c r="AH175" s="1704"/>
      <c r="AI175" s="1704"/>
      <c r="AJ175" s="1704"/>
      <c r="AK175" s="1704"/>
      <c r="AL175" s="1704"/>
      <c r="AM175" s="1704"/>
      <c r="AN175" s="1704"/>
      <c r="AO175" s="1704"/>
      <c r="AP175" s="1704"/>
      <c r="AQ175" s="1704"/>
      <c r="AR175" s="1704"/>
      <c r="AS175" s="1704"/>
      <c r="AT175" s="1704"/>
      <c r="AV175" s="1704"/>
      <c r="AW175" s="1704"/>
      <c r="AX175" s="1704"/>
      <c r="AY175" s="1704"/>
    </row>
    <row r="176" customHeight="1" spans="34:51">
      <c r="AH176" s="1704"/>
      <c r="AI176" s="1704"/>
      <c r="AJ176" s="1704"/>
      <c r="AK176" s="1704"/>
      <c r="AL176" s="1704"/>
      <c r="AM176" s="1704"/>
      <c r="AN176" s="1704"/>
      <c r="AO176" s="1704"/>
      <c r="AP176" s="1704"/>
      <c r="AQ176" s="1704"/>
      <c r="AR176" s="1704"/>
      <c r="AS176" s="1704"/>
      <c r="AT176" s="1704"/>
      <c r="AV176" s="1704"/>
      <c r="AW176" s="1704"/>
      <c r="AX176" s="1704"/>
      <c r="AY176" s="1704"/>
    </row>
    <row r="177" customHeight="1" spans="34:51">
      <c r="AH177" s="1704"/>
      <c r="AI177" s="1704"/>
      <c r="AJ177" s="1704"/>
      <c r="AK177" s="1704"/>
      <c r="AL177" s="1704"/>
      <c r="AM177" s="1704"/>
      <c r="AN177" s="1704"/>
      <c r="AO177" s="1704"/>
      <c r="AP177" s="1704"/>
      <c r="AQ177" s="1704"/>
      <c r="AR177" s="1704"/>
      <c r="AS177" s="1704"/>
      <c r="AT177" s="1704"/>
      <c r="AV177" s="1704"/>
      <c r="AW177" s="1704"/>
      <c r="AX177" s="1704"/>
      <c r="AY177" s="1704"/>
    </row>
    <row r="178" customHeight="1" spans="34:51">
      <c r="AH178" s="1704"/>
      <c r="AI178" s="1704"/>
      <c r="AJ178" s="1704"/>
      <c r="AK178" s="1704"/>
      <c r="AL178" s="1704"/>
      <c r="AM178" s="1704"/>
      <c r="AN178" s="1704"/>
      <c r="AO178" s="1704"/>
      <c r="AP178" s="1704"/>
      <c r="AQ178" s="1704"/>
      <c r="AR178" s="1704"/>
      <c r="AS178" s="1704"/>
      <c r="AT178" s="1704"/>
      <c r="AV178" s="1704"/>
      <c r="AW178" s="1704"/>
      <c r="AX178" s="1704"/>
      <c r="AY178" s="1704"/>
    </row>
    <row r="179" customHeight="1" spans="34:46">
      <c r="AH179" s="1704"/>
      <c r="AI179" s="1704"/>
      <c r="AJ179" s="1704"/>
      <c r="AK179" s="1704"/>
      <c r="AL179" s="1704"/>
      <c r="AM179" s="1704"/>
      <c r="AN179" s="1704"/>
      <c r="AO179" s="1704"/>
      <c r="AP179" s="1704"/>
      <c r="AQ179" s="1704"/>
      <c r="AR179" s="1704"/>
      <c r="AS179" s="1704"/>
      <c r="AT179" s="1704"/>
    </row>
    <row r="180" customHeight="1" spans="34:46">
      <c r="AH180" s="1704"/>
      <c r="AI180" s="1704"/>
      <c r="AJ180" s="1704"/>
      <c r="AK180" s="1704"/>
      <c r="AL180" s="1704"/>
      <c r="AM180" s="1704"/>
      <c r="AN180" s="1704"/>
      <c r="AO180" s="1704"/>
      <c r="AP180" s="1704"/>
      <c r="AQ180" s="1704"/>
      <c r="AR180" s="1704"/>
      <c r="AS180" s="1704"/>
      <c r="AT180" s="1704"/>
    </row>
    <row r="181" customHeight="1" spans="34:46">
      <c r="AH181" s="1704"/>
      <c r="AI181" s="1704"/>
      <c r="AJ181" s="1704"/>
      <c r="AK181" s="1704"/>
      <c r="AL181" s="1704"/>
      <c r="AM181" s="1704"/>
      <c r="AN181" s="1704"/>
      <c r="AO181" s="1704"/>
      <c r="AP181" s="1704"/>
      <c r="AQ181" s="1704"/>
      <c r="AR181" s="1704"/>
      <c r="AS181" s="1704"/>
      <c r="AT181" s="1704"/>
    </row>
    <row r="182" customHeight="1" spans="34:46">
      <c r="AH182" s="1704"/>
      <c r="AI182" s="1704"/>
      <c r="AJ182" s="1704"/>
      <c r="AK182" s="1704"/>
      <c r="AL182" s="1704"/>
      <c r="AM182" s="1704"/>
      <c r="AN182" s="1704"/>
      <c r="AO182" s="1704"/>
      <c r="AP182" s="1704"/>
      <c r="AQ182" s="1704"/>
      <c r="AR182" s="1704"/>
      <c r="AS182" s="1704"/>
      <c r="AT182" s="1704"/>
    </row>
  </sheetData>
  <sheetProtection sheet="1" selectLockedCells="1" formatCells="0" objects="1"/>
  <protectedRanges>
    <protectedRange sqref="AB38 AB35:AC37 AB32:AB34 AB29:AC31 AB28 AB17:AC27 L28:P28 F47:F50 F43:G46 H35 H39 F24:G34 F21:F23 F17:G20 AE7 Q10:S11 I10:S10 B10 AA3:AH8 W3:Y8 K4:K5 AB2:AB8 B1:B8 K12:R12 T12:AB12 Y10:Y11 B13:X15 B16:L16 R16:W16 J17:J21 J22 J23 X16:AE16 AN16:AS16 J43:J50 F42 F35:F37 F39:F41 F38 AG12:AI12 AC12:AD12 J39 J24:J35 AB39:AC41 AF17:AF41 AF45:AF47 T38:V38 U39:W41 U17:W37 T42:V42 U43:W50 AQ17:AS47 AJ3:AJ6 AK7:AK8 AJ7:AJ8" name="技能表以上"/>
    <protectedRange sqref="B51:AS51 AM52:AS52 AM59 W61 B78 B102 W120 AH96:AM97 D61:K61 W129 X74:Y75 X78:Y79 X78:Y79 C61 W122 W124 X76:Y77 X62:Y71 X74:Y75 X72:Y73 X72:Y73" name="技能表往下"/>
    <protectedRange sqref="AA10:AA11" name="技能表以上_2"/>
    <protectedRange sqref="B52:S54" name="技能表往下_1"/>
    <protectedRange sqref="G55:AJ57" name="技能表往下_2"/>
    <protectedRange sqref="AC42:AC47" name="技能表以上_1"/>
    <protectedRange sqref="AB42:AB47" name="技能表以上_1_1"/>
    <protectedRange sqref="S17:S50" name="技能表以上_3"/>
    <protectedRange sqref="AO17:AO47" name="技能表以上_4"/>
  </protectedRanges>
  <mergeCells count="1452">
    <mergeCell ref="B1:BR1"/>
    <mergeCell ref="B2:Q2"/>
    <mergeCell ref="S2:U2"/>
    <mergeCell ref="V2:Z2"/>
    <mergeCell ref="AA2:AB2"/>
    <mergeCell ref="AG2:AJ2"/>
    <mergeCell ref="AU2:BR2"/>
    <mergeCell ref="B3:D3"/>
    <mergeCell ref="E3:I3"/>
    <mergeCell ref="J3:L3"/>
    <mergeCell ref="M3:Q3"/>
    <mergeCell ref="W3:X3"/>
    <mergeCell ref="AC3:AD3"/>
    <mergeCell ref="AI3:AJ3"/>
    <mergeCell ref="B4:D4"/>
    <mergeCell ref="E4:I4"/>
    <mergeCell ref="J4:L4"/>
    <mergeCell ref="M4:Q4"/>
    <mergeCell ref="W4:X4"/>
    <mergeCell ref="AC4:AD4"/>
    <mergeCell ref="AI4:AJ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R10:AS10"/>
    <mergeCell ref="I11:J11"/>
    <mergeCell ref="R11:S11"/>
    <mergeCell ref="AA11:AB11"/>
    <mergeCell ref="AI11:AJ11"/>
    <mergeCell ref="AR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B15:AS15"/>
    <mergeCell ref="B16:C16"/>
    <mergeCell ref="D16:E16"/>
    <mergeCell ref="F16:I16"/>
    <mergeCell ref="J16:K16"/>
    <mergeCell ref="L16:M16"/>
    <mergeCell ref="N16:O16"/>
    <mergeCell ref="P16:Q16"/>
    <mergeCell ref="R16:W16"/>
    <mergeCell ref="X16:Y16"/>
    <mergeCell ref="Z16:AA16"/>
    <mergeCell ref="AB16:AE16"/>
    <mergeCell ref="AF16:AG16"/>
    <mergeCell ref="AH16:AI16"/>
    <mergeCell ref="AJ16:AK16"/>
    <mergeCell ref="AL16:AM16"/>
    <mergeCell ref="AN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BA18"/>
    <mergeCell ref="BB18:BR18"/>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N19:AO19"/>
    <mergeCell ref="AP19:AQ19"/>
    <mergeCell ref="AR19:AS19"/>
    <mergeCell ref="AU19:BA19"/>
    <mergeCell ref="BB19:BI19"/>
    <mergeCell ref="BJ19:BR19"/>
    <mergeCell ref="B20:C20"/>
    <mergeCell ref="D20:E20"/>
    <mergeCell ref="F20:I20"/>
    <mergeCell ref="J20:K20"/>
    <mergeCell ref="L20:M20"/>
    <mergeCell ref="N20:O20"/>
    <mergeCell ref="P20:Q20"/>
    <mergeCell ref="R20:S20"/>
    <mergeCell ref="T20:U20"/>
    <mergeCell ref="V20:W20"/>
    <mergeCell ref="X20:Y20"/>
    <mergeCell ref="Z20:AA20"/>
    <mergeCell ref="AB20:AE20"/>
    <mergeCell ref="AF20:AG20"/>
    <mergeCell ref="AH20:AI20"/>
    <mergeCell ref="AJ20:AK20"/>
    <mergeCell ref="AL20:AM20"/>
    <mergeCell ref="AN20:AO20"/>
    <mergeCell ref="AP20:AQ20"/>
    <mergeCell ref="AR20:AS20"/>
    <mergeCell ref="BB20:BI20"/>
    <mergeCell ref="BJ20:BR20"/>
    <mergeCell ref="B21:C21"/>
    <mergeCell ref="D21:E21"/>
    <mergeCell ref="F21:G21"/>
    <mergeCell ref="H21:I21"/>
    <mergeCell ref="J21:K21"/>
    <mergeCell ref="L21:M21"/>
    <mergeCell ref="N21:O21"/>
    <mergeCell ref="P21:Q21"/>
    <mergeCell ref="R21:S21"/>
    <mergeCell ref="T21:U21"/>
    <mergeCell ref="V21:W21"/>
    <mergeCell ref="X21:Y21"/>
    <mergeCell ref="Z21:AA21"/>
    <mergeCell ref="AB21:AE21"/>
    <mergeCell ref="AF21:AG21"/>
    <mergeCell ref="AH21:AI21"/>
    <mergeCell ref="AJ21:AK21"/>
    <mergeCell ref="AL21:AM21"/>
    <mergeCell ref="AN21:AO21"/>
    <mergeCell ref="AP21:AQ21"/>
    <mergeCell ref="AR21:AS21"/>
    <mergeCell ref="BB21:BI21"/>
    <mergeCell ref="BJ21:BR21"/>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AL22:AM22"/>
    <mergeCell ref="AN22:AO22"/>
    <mergeCell ref="AP22:AQ22"/>
    <mergeCell ref="AR22:AS22"/>
    <mergeCell ref="BB22:BI22"/>
    <mergeCell ref="BJ22:BR22"/>
    <mergeCell ref="B23:C23"/>
    <mergeCell ref="D23:E23"/>
    <mergeCell ref="F23:G23"/>
    <mergeCell ref="H23:I23"/>
    <mergeCell ref="J23:K23"/>
    <mergeCell ref="L23:M23"/>
    <mergeCell ref="N23:O23"/>
    <mergeCell ref="P23:Q23"/>
    <mergeCell ref="R23:S23"/>
    <mergeCell ref="T23:U23"/>
    <mergeCell ref="V23:W23"/>
    <mergeCell ref="X23:Y23"/>
    <mergeCell ref="Z23:AA23"/>
    <mergeCell ref="AB23:AE23"/>
    <mergeCell ref="AF23:AG23"/>
    <mergeCell ref="AH23:AI23"/>
    <mergeCell ref="AJ23:AK23"/>
    <mergeCell ref="AL23:AM23"/>
    <mergeCell ref="AN23:AO23"/>
    <mergeCell ref="AP23:AQ23"/>
    <mergeCell ref="AR23:AS23"/>
    <mergeCell ref="AU23:BA23"/>
    <mergeCell ref="BB23:BI23"/>
    <mergeCell ref="BJ23:BR23"/>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R24"/>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R26"/>
    <mergeCell ref="B27:C27"/>
    <mergeCell ref="D27:E27"/>
    <mergeCell ref="F27:I27"/>
    <mergeCell ref="J27:K27"/>
    <mergeCell ref="L27:M27"/>
    <mergeCell ref="N27:O27"/>
    <mergeCell ref="P27:Q27"/>
    <mergeCell ref="R27:S27"/>
    <mergeCell ref="T27:U27"/>
    <mergeCell ref="V27:W27"/>
    <mergeCell ref="X27:Y27"/>
    <mergeCell ref="Z27:AA27"/>
    <mergeCell ref="AB27:AE27"/>
    <mergeCell ref="AF27:AG27"/>
    <mergeCell ref="AH27:AI27"/>
    <mergeCell ref="AJ27:AK27"/>
    <mergeCell ref="AL27:AM27"/>
    <mergeCell ref="AN27:AO27"/>
    <mergeCell ref="AP27:AQ27"/>
    <mergeCell ref="AR27:AS27"/>
    <mergeCell ref="AU27:AZ27"/>
    <mergeCell ref="BA27:BB27"/>
    <mergeCell ref="BC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C28"/>
    <mergeCell ref="AD28:AE28"/>
    <mergeCell ref="AF28:AG28"/>
    <mergeCell ref="AH28:AI28"/>
    <mergeCell ref="AJ28:AK28"/>
    <mergeCell ref="AL28:AM28"/>
    <mergeCell ref="AN28:AO28"/>
    <mergeCell ref="AP28:AQ28"/>
    <mergeCell ref="AR28:AS28"/>
    <mergeCell ref="AU28:BB28"/>
    <mergeCell ref="BC28:BF28"/>
    <mergeCell ref="BG28:BJ28"/>
    <mergeCell ref="BK28:BN28"/>
    <mergeCell ref="BO28:BR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29:AO29"/>
    <mergeCell ref="AP29:AQ29"/>
    <mergeCell ref="AR29:AS29"/>
    <mergeCell ref="BC29:BF29"/>
    <mergeCell ref="BG29:BJ29"/>
    <mergeCell ref="B30:C30"/>
    <mergeCell ref="D30:E30"/>
    <mergeCell ref="F30:I30"/>
    <mergeCell ref="J30:K30"/>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AN30:AO30"/>
    <mergeCell ref="AP30:AQ30"/>
    <mergeCell ref="AR30:AS30"/>
    <mergeCell ref="BC30:BJ30"/>
    <mergeCell ref="B31:C31"/>
    <mergeCell ref="D31:E31"/>
    <mergeCell ref="F31:I31"/>
    <mergeCell ref="J31:K31"/>
    <mergeCell ref="L31:M31"/>
    <mergeCell ref="N31:O31"/>
    <mergeCell ref="P31:Q31"/>
    <mergeCell ref="R31:S31"/>
    <mergeCell ref="T31:U31"/>
    <mergeCell ref="V31:W31"/>
    <mergeCell ref="X31:Y31"/>
    <mergeCell ref="Z31:AA31"/>
    <mergeCell ref="AB31:AE31"/>
    <mergeCell ref="AF31:AG31"/>
    <mergeCell ref="AH31:AI31"/>
    <mergeCell ref="AJ31:AK31"/>
    <mergeCell ref="AL31:AM31"/>
    <mergeCell ref="AN31:AO31"/>
    <mergeCell ref="AP31:AQ31"/>
    <mergeCell ref="AR31:AS31"/>
    <mergeCell ref="B32:C32"/>
    <mergeCell ref="D32:E32"/>
    <mergeCell ref="F32:I32"/>
    <mergeCell ref="J32:K32"/>
    <mergeCell ref="L32:M32"/>
    <mergeCell ref="N32:O32"/>
    <mergeCell ref="P32:Q32"/>
    <mergeCell ref="R32:S32"/>
    <mergeCell ref="T32:U32"/>
    <mergeCell ref="V32:W32"/>
    <mergeCell ref="X32:Y32"/>
    <mergeCell ref="Z32:AA32"/>
    <mergeCell ref="AB32:AC32"/>
    <mergeCell ref="AD32:AE32"/>
    <mergeCell ref="AF32:AG32"/>
    <mergeCell ref="AH32:AI32"/>
    <mergeCell ref="AJ32:AK32"/>
    <mergeCell ref="AL32:AM32"/>
    <mergeCell ref="AN32:AO32"/>
    <mergeCell ref="AP32:AQ32"/>
    <mergeCell ref="AR32:AS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B34:C34"/>
    <mergeCell ref="D34:E34"/>
    <mergeCell ref="F34:I34"/>
    <mergeCell ref="J34:K34"/>
    <mergeCell ref="L34:M34"/>
    <mergeCell ref="N34:O34"/>
    <mergeCell ref="P34:Q34"/>
    <mergeCell ref="R34:S34"/>
    <mergeCell ref="T34:U34"/>
    <mergeCell ref="V34:W34"/>
    <mergeCell ref="X34:Y34"/>
    <mergeCell ref="Z34:AA34"/>
    <mergeCell ref="AB34:AC34"/>
    <mergeCell ref="AD34:AE34"/>
    <mergeCell ref="AF34:AG34"/>
    <mergeCell ref="AH34:AI34"/>
    <mergeCell ref="AJ34:AK34"/>
    <mergeCell ref="AL34:AM34"/>
    <mergeCell ref="AN34:AO34"/>
    <mergeCell ref="AP34:AQ34"/>
    <mergeCell ref="AR34:AS34"/>
    <mergeCell ref="BC34:BJ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R36"/>
    <mergeCell ref="B37:C37"/>
    <mergeCell ref="D37:E37"/>
    <mergeCell ref="F37:G37"/>
    <mergeCell ref="H37:I37"/>
    <mergeCell ref="J37:K37"/>
    <mergeCell ref="L37:M37"/>
    <mergeCell ref="N37:O37"/>
    <mergeCell ref="P37:Q37"/>
    <mergeCell ref="R37:S37"/>
    <mergeCell ref="T37:U37"/>
    <mergeCell ref="V37:W37"/>
    <mergeCell ref="X37:Y37"/>
    <mergeCell ref="Z37:AA37"/>
    <mergeCell ref="AB37:AE37"/>
    <mergeCell ref="AF37:AG37"/>
    <mergeCell ref="AH37:AI37"/>
    <mergeCell ref="AJ37:AK37"/>
    <mergeCell ref="AL37:AM37"/>
    <mergeCell ref="AN37:AO37"/>
    <mergeCell ref="AP37:AQ37"/>
    <mergeCell ref="AR37:AS37"/>
    <mergeCell ref="AU37:BB37"/>
    <mergeCell ref="BK37:BN37"/>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C38"/>
    <mergeCell ref="AD38:AE38"/>
    <mergeCell ref="AF38:AG38"/>
    <mergeCell ref="AH38:AI38"/>
    <mergeCell ref="AJ38:AK38"/>
    <mergeCell ref="AL38:AM38"/>
    <mergeCell ref="AN38:AO38"/>
    <mergeCell ref="AP38:AQ38"/>
    <mergeCell ref="AR38:AS38"/>
    <mergeCell ref="AU38:BB38"/>
    <mergeCell ref="BK38:BN38"/>
    <mergeCell ref="BO38:BR38"/>
    <mergeCell ref="B39:C39"/>
    <mergeCell ref="D39:E39"/>
    <mergeCell ref="F39:G39"/>
    <mergeCell ref="H39:I39"/>
    <mergeCell ref="J39:K39"/>
    <mergeCell ref="L39:M39"/>
    <mergeCell ref="N39:O39"/>
    <mergeCell ref="P39:Q39"/>
    <mergeCell ref="R39:S39"/>
    <mergeCell ref="T39:U39"/>
    <mergeCell ref="V39:W39"/>
    <mergeCell ref="X39:Y39"/>
    <mergeCell ref="Z39:AA39"/>
    <mergeCell ref="AB39:AE39"/>
    <mergeCell ref="AF39:AG39"/>
    <mergeCell ref="AH39:AI39"/>
    <mergeCell ref="AJ39:AK39"/>
    <mergeCell ref="AL39:AM39"/>
    <mergeCell ref="AN39:AO39"/>
    <mergeCell ref="AP39:AQ39"/>
    <mergeCell ref="AR39:AS39"/>
    <mergeCell ref="B40:C40"/>
    <mergeCell ref="D40:E40"/>
    <mergeCell ref="F40:G40"/>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AL40:AM40"/>
    <mergeCell ref="AN40:AO40"/>
    <mergeCell ref="AP40:AQ40"/>
    <mergeCell ref="AR40:AS40"/>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AL41:AM41"/>
    <mergeCell ref="AN41:AO41"/>
    <mergeCell ref="AP41:AQ41"/>
    <mergeCell ref="AR41:AS41"/>
    <mergeCell ref="B42:C42"/>
    <mergeCell ref="D42:E42"/>
    <mergeCell ref="F42:G42"/>
    <mergeCell ref="H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R42:AS42"/>
    <mergeCell ref="B43:C43"/>
    <mergeCell ref="D43:E43"/>
    <mergeCell ref="F43:I43"/>
    <mergeCell ref="J43:K43"/>
    <mergeCell ref="L43:M43"/>
    <mergeCell ref="N43:O43"/>
    <mergeCell ref="P43:Q43"/>
    <mergeCell ref="R43:S43"/>
    <mergeCell ref="T43:U43"/>
    <mergeCell ref="V43:W43"/>
    <mergeCell ref="X43:Y43"/>
    <mergeCell ref="Z43:AA43"/>
    <mergeCell ref="AB43:AE43"/>
    <mergeCell ref="AF43:AG43"/>
    <mergeCell ref="AH43:AI43"/>
    <mergeCell ref="AJ43:AK43"/>
    <mergeCell ref="AL43:AM43"/>
    <mergeCell ref="AN43:AO43"/>
    <mergeCell ref="AP43:AQ43"/>
    <mergeCell ref="AR43:AS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AU44:BR44"/>
    <mergeCell ref="B45:C45"/>
    <mergeCell ref="D45:E45"/>
    <mergeCell ref="F45:I45"/>
    <mergeCell ref="J45:K45"/>
    <mergeCell ref="L45:M45"/>
    <mergeCell ref="N45:O45"/>
    <mergeCell ref="P45:Q45"/>
    <mergeCell ref="R45:S45"/>
    <mergeCell ref="T45:U45"/>
    <mergeCell ref="V45:W45"/>
    <mergeCell ref="X45:Y45"/>
    <mergeCell ref="Z45:AA45"/>
    <mergeCell ref="AB45:AE45"/>
    <mergeCell ref="AF45:AG45"/>
    <mergeCell ref="AH45:AI45"/>
    <mergeCell ref="AJ45:AK45"/>
    <mergeCell ref="AL45:AM45"/>
    <mergeCell ref="AN45:AO45"/>
    <mergeCell ref="AP45:AQ45"/>
    <mergeCell ref="AR45:AS45"/>
    <mergeCell ref="B46:C46"/>
    <mergeCell ref="D46:E46"/>
    <mergeCell ref="F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7:C47"/>
    <mergeCell ref="D47:E47"/>
    <mergeCell ref="F47:G47"/>
    <mergeCell ref="H47:I47"/>
    <mergeCell ref="J47:K47"/>
    <mergeCell ref="L47:M47"/>
    <mergeCell ref="N47:O47"/>
    <mergeCell ref="P47:Q47"/>
    <mergeCell ref="R47:S47"/>
    <mergeCell ref="T47:U47"/>
    <mergeCell ref="V47:W47"/>
    <mergeCell ref="X47:Y47"/>
    <mergeCell ref="Z47:AA47"/>
    <mergeCell ref="AB47:AE47"/>
    <mergeCell ref="AF47:AG47"/>
    <mergeCell ref="AH47:AI47"/>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C48"/>
    <mergeCell ref="AD48:AE48"/>
    <mergeCell ref="AF48:AG48"/>
    <mergeCell ref="AH48:AI48"/>
    <mergeCell ref="AJ48:AK48"/>
    <mergeCell ref="AL48:AM48"/>
    <mergeCell ref="AN48:AO48"/>
    <mergeCell ref="AP48:AQ48"/>
    <mergeCell ref="AR48:AS48"/>
    <mergeCell ref="B49:C49"/>
    <mergeCell ref="D49:E49"/>
    <mergeCell ref="F49:G49"/>
    <mergeCell ref="H49:I49"/>
    <mergeCell ref="J49:K49"/>
    <mergeCell ref="L49:M49"/>
    <mergeCell ref="N49:O49"/>
    <mergeCell ref="P49:Q49"/>
    <mergeCell ref="R49:S49"/>
    <mergeCell ref="T49:U49"/>
    <mergeCell ref="V49:W49"/>
    <mergeCell ref="X49:Y49"/>
    <mergeCell ref="Z49:AA49"/>
    <mergeCell ref="AB49:AE49"/>
    <mergeCell ref="AF49:AG49"/>
    <mergeCell ref="AH49:AI49"/>
    <mergeCell ref="AJ49:AK49"/>
    <mergeCell ref="AL49:AM49"/>
    <mergeCell ref="AN49:AO49"/>
    <mergeCell ref="AP49:AQ49"/>
    <mergeCell ref="AR49:AS49"/>
    <mergeCell ref="B50:C50"/>
    <mergeCell ref="D50:E50"/>
    <mergeCell ref="F50:G50"/>
    <mergeCell ref="H50:I50"/>
    <mergeCell ref="J50:K50"/>
    <mergeCell ref="L50:M50"/>
    <mergeCell ref="N50:O50"/>
    <mergeCell ref="P50:Q50"/>
    <mergeCell ref="R50:S50"/>
    <mergeCell ref="T50:U50"/>
    <mergeCell ref="V50:W50"/>
    <mergeCell ref="X50:Y50"/>
    <mergeCell ref="Z50:AA50"/>
    <mergeCell ref="AB50:AE50"/>
    <mergeCell ref="AF50:AG50"/>
    <mergeCell ref="AH50:AI50"/>
    <mergeCell ref="AJ50:AK50"/>
    <mergeCell ref="AL50:AM50"/>
    <mergeCell ref="AN50:AO50"/>
    <mergeCell ref="AP50:AQ50"/>
    <mergeCell ref="AR50:AS50"/>
    <mergeCell ref="B51:G51"/>
    <mergeCell ref="H51:AS51"/>
    <mergeCell ref="B52:AK52"/>
    <mergeCell ref="AM52:AS52"/>
    <mergeCell ref="B53:F53"/>
    <mergeCell ref="G53:L53"/>
    <mergeCell ref="M53:P53"/>
    <mergeCell ref="Q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B59:F59"/>
    <mergeCell ref="G59:L59"/>
    <mergeCell ref="M59:P59"/>
    <mergeCell ref="Q59:R59"/>
    <mergeCell ref="S59:T59"/>
    <mergeCell ref="U59:V59"/>
    <mergeCell ref="W59:Z59"/>
    <mergeCell ref="AA59:AB59"/>
    <mergeCell ref="AC59:AD59"/>
    <mergeCell ref="AE59:AF59"/>
    <mergeCell ref="AG59:AI59"/>
    <mergeCell ref="AJ59:AK59"/>
    <mergeCell ref="AR59:AS59"/>
    <mergeCell ref="B61:U61"/>
    <mergeCell ref="W61:AS61"/>
    <mergeCell ref="B62:E62"/>
    <mergeCell ref="F62:H62"/>
    <mergeCell ref="I62:K62"/>
    <mergeCell ref="L62:N62"/>
    <mergeCell ref="O62:R62"/>
    <mergeCell ref="S62:U62"/>
    <mergeCell ref="B63:E63"/>
    <mergeCell ref="F63:H63"/>
    <mergeCell ref="I63:K63"/>
    <mergeCell ref="L63:N63"/>
    <mergeCell ref="O63:R63"/>
    <mergeCell ref="S63:U63"/>
    <mergeCell ref="AU63:BR63"/>
    <mergeCell ref="AU64:AY64"/>
    <mergeCell ref="AZ64:BE64"/>
    <mergeCell ref="BF64:BK64"/>
    <mergeCell ref="BL64:BR64"/>
    <mergeCell ref="AZ65:BE65"/>
    <mergeCell ref="BF65:BK65"/>
    <mergeCell ref="BL65:BR65"/>
    <mergeCell ref="AZ66:BE66"/>
    <mergeCell ref="BF66:BK66"/>
    <mergeCell ref="BL66:BR66"/>
    <mergeCell ref="AZ67:BE67"/>
    <mergeCell ref="BF67:BK67"/>
    <mergeCell ref="BL67:BR67"/>
    <mergeCell ref="AU68:BR68"/>
    <mergeCell ref="B69:U69"/>
    <mergeCell ref="B70:E70"/>
    <mergeCell ref="F70:I70"/>
    <mergeCell ref="J70:M70"/>
    <mergeCell ref="N70:Q70"/>
    <mergeCell ref="R70:U70"/>
    <mergeCell ref="B76:E76"/>
    <mergeCell ref="F76:I76"/>
    <mergeCell ref="J76:M76"/>
    <mergeCell ref="N76:Q76"/>
    <mergeCell ref="R76:U76"/>
    <mergeCell ref="B77:I77"/>
    <mergeCell ref="J77:M77"/>
    <mergeCell ref="N77:U77"/>
    <mergeCell ref="B78:U78"/>
    <mergeCell ref="B79:C79"/>
    <mergeCell ref="D79:E79"/>
    <mergeCell ref="F79:M79"/>
    <mergeCell ref="N79:U79"/>
    <mergeCell ref="B80:C80"/>
    <mergeCell ref="D80:E80"/>
    <mergeCell ref="F80:M80"/>
    <mergeCell ref="N80:U80"/>
    <mergeCell ref="B81:C81"/>
    <mergeCell ref="D81:E81"/>
    <mergeCell ref="F81:M81"/>
    <mergeCell ref="N81:U8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87:C87"/>
    <mergeCell ref="D87:E87"/>
    <mergeCell ref="F87:M87"/>
    <mergeCell ref="N87:U87"/>
    <mergeCell ref="B88:C88"/>
    <mergeCell ref="D88:E88"/>
    <mergeCell ref="F88:M88"/>
    <mergeCell ref="N88:U88"/>
    <mergeCell ref="B89:C89"/>
    <mergeCell ref="D89:E89"/>
    <mergeCell ref="F89:M89"/>
    <mergeCell ref="N89:U89"/>
    <mergeCell ref="B90:C90"/>
    <mergeCell ref="D90:E90"/>
    <mergeCell ref="F90:M90"/>
    <mergeCell ref="N90:U90"/>
    <mergeCell ref="B91:C91"/>
    <mergeCell ref="D91:E91"/>
    <mergeCell ref="F91:M91"/>
    <mergeCell ref="N91:U91"/>
    <mergeCell ref="B92:C92"/>
    <mergeCell ref="D92:E92"/>
    <mergeCell ref="F92:M92"/>
    <mergeCell ref="N92:U92"/>
    <mergeCell ref="B93:C93"/>
    <mergeCell ref="D93:E93"/>
    <mergeCell ref="F93:M93"/>
    <mergeCell ref="N93:U93"/>
    <mergeCell ref="B94:C94"/>
    <mergeCell ref="D94:E94"/>
    <mergeCell ref="F94:M94"/>
    <mergeCell ref="N94:U94"/>
    <mergeCell ref="B96:U96"/>
    <mergeCell ref="W96:AS96"/>
    <mergeCell ref="B97:I97"/>
    <mergeCell ref="J97:U97"/>
    <mergeCell ref="W97:AS97"/>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B105:I105"/>
    <mergeCell ref="J105:U105"/>
    <mergeCell ref="W105:Z105"/>
    <mergeCell ref="AA105:AJ105"/>
    <mergeCell ref="AK105:AQ105"/>
    <mergeCell ref="AR105:AS105"/>
    <mergeCell ref="AU105:BR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W111:Z111"/>
    <mergeCell ref="AA111:AJ111"/>
    <mergeCell ref="AK111:AQ111"/>
    <mergeCell ref="AR111:AS111"/>
    <mergeCell ref="B112:I112"/>
    <mergeCell ref="J112:U112"/>
    <mergeCell ref="B113:I113"/>
    <mergeCell ref="J113:U113"/>
    <mergeCell ref="W113:AS113"/>
    <mergeCell ref="E114:I114"/>
    <mergeCell ref="W114:X114"/>
    <mergeCell ref="Y114:AB114"/>
    <mergeCell ref="AC114:AG114"/>
    <mergeCell ref="AH114:AS114"/>
    <mergeCell ref="E115:I115"/>
    <mergeCell ref="W115:X115"/>
    <mergeCell ref="Y115:AB115"/>
    <mergeCell ref="AC115:AG115"/>
    <mergeCell ref="AH115:AS115"/>
    <mergeCell ref="E116:I116"/>
    <mergeCell ref="W116:X116"/>
    <mergeCell ref="Y116:AB116"/>
    <mergeCell ref="AC116:AG116"/>
    <mergeCell ref="AH116:AS116"/>
    <mergeCell ref="E117:I117"/>
    <mergeCell ref="W117:X117"/>
    <mergeCell ref="Y117:AB117"/>
    <mergeCell ref="AC117:AG117"/>
    <mergeCell ref="AH117:AS117"/>
    <mergeCell ref="B118:U118"/>
    <mergeCell ref="W118:X118"/>
    <mergeCell ref="Y118:AB118"/>
    <mergeCell ref="AC118:AG118"/>
    <mergeCell ref="AH118:AS118"/>
    <mergeCell ref="B119:U119"/>
    <mergeCell ref="W119:X119"/>
    <mergeCell ref="Y119:AB119"/>
    <mergeCell ref="AC119:AG119"/>
    <mergeCell ref="AH119:AS119"/>
    <mergeCell ref="F120:K120"/>
    <mergeCell ref="L120:M120"/>
    <mergeCell ref="N120:O120"/>
    <mergeCell ref="P120:Q120"/>
    <mergeCell ref="R120:S120"/>
    <mergeCell ref="T120:U120"/>
    <mergeCell ref="W120:X120"/>
    <mergeCell ref="Y120:AB120"/>
    <mergeCell ref="AC120:AG120"/>
    <mergeCell ref="AH120:AS120"/>
    <mergeCell ref="W121:X121"/>
    <mergeCell ref="Y121:AB121"/>
    <mergeCell ref="AC121:AG121"/>
    <mergeCell ref="AH121:AS121"/>
    <mergeCell ref="W122:X122"/>
    <mergeCell ref="Y122:AB122"/>
    <mergeCell ref="AC122:AG122"/>
    <mergeCell ref="AH122:AS122"/>
    <mergeCell ref="W123:X123"/>
    <mergeCell ref="Y123:AB123"/>
    <mergeCell ref="AC123:AG123"/>
    <mergeCell ref="AH123:AS123"/>
    <mergeCell ref="W124:X124"/>
    <mergeCell ref="Y124:AB124"/>
    <mergeCell ref="AC124:AG124"/>
    <mergeCell ref="AH124:AS124"/>
    <mergeCell ref="B125:K125"/>
    <mergeCell ref="L125:U125"/>
    <mergeCell ref="W125:X125"/>
    <mergeCell ref="Y125:AB125"/>
    <mergeCell ref="AC125:AG125"/>
    <mergeCell ref="AH125:AS125"/>
    <mergeCell ref="B126:C126"/>
    <mergeCell ref="D126:U126"/>
    <mergeCell ref="W126:X126"/>
    <mergeCell ref="Y126:AB126"/>
    <mergeCell ref="AC126:AG126"/>
    <mergeCell ref="AH126:AS126"/>
    <mergeCell ref="B127:C127"/>
    <mergeCell ref="D127:U127"/>
    <mergeCell ref="W127:X127"/>
    <mergeCell ref="Y127:AB127"/>
    <mergeCell ref="AC127:AG127"/>
    <mergeCell ref="AH127:AS127"/>
    <mergeCell ref="W129:AS129"/>
    <mergeCell ref="AU129:BR129"/>
    <mergeCell ref="B130:K130"/>
    <mergeCell ref="L130:U130"/>
    <mergeCell ref="W130:Z130"/>
    <mergeCell ref="AA130:AC130"/>
    <mergeCell ref="AD130:AK130"/>
    <mergeCell ref="AL130:AO130"/>
    <mergeCell ref="AP130:AS130"/>
    <mergeCell ref="AU130:AY130"/>
    <mergeCell ref="AZ130:BF130"/>
    <mergeCell ref="BG130:BK130"/>
    <mergeCell ref="BL130:BR130"/>
    <mergeCell ref="B131:U131"/>
    <mergeCell ref="W131:Z131"/>
    <mergeCell ref="AA131:AC131"/>
    <mergeCell ref="AD131:AK131"/>
    <mergeCell ref="AL131:AO131"/>
    <mergeCell ref="AP131:AS131"/>
    <mergeCell ref="G132:M132"/>
    <mergeCell ref="N132:Q132"/>
    <mergeCell ref="R132:U132"/>
    <mergeCell ref="W132:Z132"/>
    <mergeCell ref="AA132:AC132"/>
    <mergeCell ref="AD132:AK132"/>
    <mergeCell ref="AL132:AO132"/>
    <mergeCell ref="AP132:AS132"/>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W136:Z136"/>
    <mergeCell ref="AA136:AC136"/>
    <mergeCell ref="AD136:AK136"/>
    <mergeCell ref="AL136:AO136"/>
    <mergeCell ref="AP136:AS136"/>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D139"/>
    <mergeCell ref="E139:U139"/>
    <mergeCell ref="W139:Z139"/>
    <mergeCell ref="AA139:AC139"/>
    <mergeCell ref="AD139:AK139"/>
    <mergeCell ref="AL139:AO139"/>
    <mergeCell ref="AP139:AS139"/>
    <mergeCell ref="B140:G140"/>
    <mergeCell ref="H140:L140"/>
    <mergeCell ref="M140:P140"/>
    <mergeCell ref="Q140:R140"/>
    <mergeCell ref="S140:U140"/>
    <mergeCell ref="W140:Z140"/>
    <mergeCell ref="AA140:AC140"/>
    <mergeCell ref="AD140:AK140"/>
    <mergeCell ref="AL140:AO140"/>
    <mergeCell ref="AP140:AS140"/>
    <mergeCell ref="Q141:U141"/>
    <mergeCell ref="W141:Z141"/>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W144:Z144"/>
    <mergeCell ref="AA144:AC144"/>
    <mergeCell ref="AD144:AK144"/>
    <mergeCell ref="AL144:AO144"/>
    <mergeCell ref="AP144:AS144"/>
    <mergeCell ref="AU144:BB144"/>
    <mergeCell ref="BC144:BJ144"/>
    <mergeCell ref="BK144:BR144"/>
    <mergeCell ref="B145:U145"/>
    <mergeCell ref="W145:Z145"/>
    <mergeCell ref="AA145:AC145"/>
    <mergeCell ref="AD145:AK145"/>
    <mergeCell ref="AL145:AO145"/>
    <mergeCell ref="AP145:AS145"/>
    <mergeCell ref="AU145:AX145"/>
    <mergeCell ref="AY145:BB145"/>
    <mergeCell ref="BC145:BF145"/>
    <mergeCell ref="BG145:BJ145"/>
    <mergeCell ref="BK145:BN145"/>
    <mergeCell ref="BO145:BR145"/>
    <mergeCell ref="B146:K146"/>
    <mergeCell ref="AU146:BR146"/>
    <mergeCell ref="AU39:AU43"/>
    <mergeCell ref="O148:Y149"/>
    <mergeCell ref="AB148:AL149"/>
    <mergeCell ref="AP148:BD149"/>
    <mergeCell ref="W70:Z71"/>
    <mergeCell ref="B148:M149"/>
    <mergeCell ref="W74:Z75"/>
    <mergeCell ref="AU3:BB4"/>
    <mergeCell ref="BC3:BJ4"/>
    <mergeCell ref="BK3:BR4"/>
    <mergeCell ref="Q142:U144"/>
    <mergeCell ref="AR66:AS67"/>
    <mergeCell ref="B141:G144"/>
    <mergeCell ref="L121:M122"/>
    <mergeCell ref="N121:O122"/>
    <mergeCell ref="P121:Q122"/>
    <mergeCell ref="R121:S122"/>
    <mergeCell ref="T121:U122"/>
    <mergeCell ref="AR62:AS63"/>
    <mergeCell ref="AP53:AS55"/>
    <mergeCell ref="I13:AS14"/>
    <mergeCell ref="AM56:AO57"/>
    <mergeCell ref="AR72:AS73"/>
    <mergeCell ref="B64:K68"/>
    <mergeCell ref="L64:U68"/>
    <mergeCell ref="W80:AS94"/>
    <mergeCell ref="AU45:BR62"/>
    <mergeCell ref="BC31:BJ33"/>
    <mergeCell ref="BK29:BN35"/>
    <mergeCell ref="BO29:BR35"/>
    <mergeCell ref="B123:U124"/>
    <mergeCell ref="N10:O11"/>
    <mergeCell ref="P10:Q11"/>
    <mergeCell ref="B13:H14"/>
    <mergeCell ref="H141:L144"/>
    <mergeCell ref="B10:D11"/>
    <mergeCell ref="K10:M11"/>
    <mergeCell ref="T10:V11"/>
    <mergeCell ref="AC10:AE11"/>
    <mergeCell ref="AF10:AH11"/>
    <mergeCell ref="AL2:AS8"/>
    <mergeCell ref="AU131:BR143"/>
    <mergeCell ref="AR64:AS65"/>
    <mergeCell ref="AM58:AO59"/>
    <mergeCell ref="E10:F11"/>
    <mergeCell ref="G10:H11"/>
    <mergeCell ref="W10:X11"/>
    <mergeCell ref="Y10:Z11"/>
    <mergeCell ref="AU20:BA22"/>
    <mergeCell ref="N133:Q134"/>
    <mergeCell ref="R133:U134"/>
    <mergeCell ref="S5:T6"/>
    <mergeCell ref="U5:V6"/>
    <mergeCell ref="Y5:Z6"/>
    <mergeCell ref="AA5:AB6"/>
    <mergeCell ref="AE5:AF6"/>
    <mergeCell ref="AG5:AH6"/>
    <mergeCell ref="B135:F136"/>
    <mergeCell ref="W62:Z63"/>
    <mergeCell ref="AA64:AQ65"/>
    <mergeCell ref="J114:U117"/>
    <mergeCell ref="BC35:BJ38"/>
    <mergeCell ref="AU5:BB6"/>
    <mergeCell ref="BC5:BJ6"/>
    <mergeCell ref="BK5:BR6"/>
    <mergeCell ref="S7:T8"/>
    <mergeCell ref="U7:V8"/>
    <mergeCell ref="Y7:Z8"/>
    <mergeCell ref="AA7:AB8"/>
    <mergeCell ref="AE7:AF8"/>
    <mergeCell ref="AG7:AH8"/>
    <mergeCell ref="AR76:AS77"/>
    <mergeCell ref="AP56:AS57"/>
    <mergeCell ref="AU29:BB35"/>
    <mergeCell ref="S3:T4"/>
    <mergeCell ref="U3:V4"/>
    <mergeCell ref="Y3:Z4"/>
    <mergeCell ref="AA3:AB4"/>
    <mergeCell ref="AE3:AF4"/>
    <mergeCell ref="AG3:AH4"/>
    <mergeCell ref="B114:D117"/>
    <mergeCell ref="W76:Z77"/>
    <mergeCell ref="AU7:BB8"/>
    <mergeCell ref="BC7:BJ8"/>
    <mergeCell ref="BK7:BR8"/>
    <mergeCell ref="W78:Z79"/>
    <mergeCell ref="AA72:AQ73"/>
    <mergeCell ref="AA70:AQ71"/>
    <mergeCell ref="W64:Z65"/>
    <mergeCell ref="AU65:AY67"/>
    <mergeCell ref="AR74:AS75"/>
    <mergeCell ref="AR70:AS71"/>
    <mergeCell ref="W68:Z69"/>
    <mergeCell ref="G133:M134"/>
    <mergeCell ref="B71:E75"/>
    <mergeCell ref="F71:I75"/>
    <mergeCell ref="J71:M75"/>
    <mergeCell ref="N71:Q75"/>
    <mergeCell ref="R71:U75"/>
    <mergeCell ref="AA74:AQ75"/>
    <mergeCell ref="AV39:BR43"/>
    <mergeCell ref="N135:Q136"/>
    <mergeCell ref="R135:U136"/>
    <mergeCell ref="B132:F134"/>
    <mergeCell ref="B128:C129"/>
    <mergeCell ref="BX9:BY10"/>
    <mergeCell ref="AR68:AS69"/>
    <mergeCell ref="AA78:AS79"/>
    <mergeCell ref="AN10:AQ11"/>
    <mergeCell ref="AP58:AQ59"/>
    <mergeCell ref="D128:U129"/>
    <mergeCell ref="AA68:AQ69"/>
    <mergeCell ref="AA66:AQ67"/>
    <mergeCell ref="G135:M136"/>
    <mergeCell ref="F121:K122"/>
    <mergeCell ref="AA62:AQ63"/>
    <mergeCell ref="AA76:AQ77"/>
    <mergeCell ref="AK10:AM11"/>
    <mergeCell ref="AM53:AO55"/>
    <mergeCell ref="AU69:BR104"/>
    <mergeCell ref="AU106:BR128"/>
    <mergeCell ref="B120:E122"/>
    <mergeCell ref="W72:Z73"/>
    <mergeCell ref="W66:Z67"/>
    <mergeCell ref="M141:P144"/>
  </mergeCells>
  <conditionalFormatting sqref="AU20">
    <cfRule type="cellIs" dxfId="0" priority="5" operator="equal">
      <formula>"过多！"</formula>
    </cfRule>
    <cfRule type="cellIs" dxfId="1" priority="6" operator="greaterThan">
      <formula>0</formula>
    </cfRule>
    <cfRule type="cellIs" dxfId="2" priority="4" operator="equal">
      <formula>"无"</formula>
    </cfRule>
  </conditionalFormatting>
  <conditionalFormatting sqref="B13 D16:E16 Z16:AA16">
    <cfRule type="containsText" dxfId="3" priority="1" operator="between" text="经历包">
      <formula>NOT(ISERROR(SEARCH("经历包",B13)))</formula>
    </cfRule>
  </conditionalFormatting>
  <conditionalFormatting sqref="AU20:BA22">
    <cfRule type="cellIs" dxfId="2" priority="3" operator="equal">
      <formula>" "</formula>
    </cfRule>
  </conditionalFormatting>
  <dataValidations count="107">
    <dataValidation type="list" allowBlank="1" showInputMessage="1" showErrorMessage="1" sqref="AC2:AF2">
      <formula1>"总点数(不含运):,总点数(含运):"</formula1>
    </dataValidation>
    <dataValidation type="whole" operator="between" allowBlank="1" showInputMessage="1" showErrorMessage="1" errorTitle="提示" error="人类年龄最高记录为122岁&#10;&#10;请输入整数" promptTitle="一般来说，年龄应在15-90之间" prompt="15-19:STR,SIZ共-5，EDU-5,幸运骰2选高&#10;20-39:EDU进步检定*1&#10;40+:进步检定*2,STR CON DEX中共-5 APP-5&#10;50+:进步检定*3, S C D中共-10 APP-10&#10;60+:进步检定*4, S C D中共-20 APP-15&#10;70+:进步检定*4, S C D中共-40 APP-20&#10;80+:进步检定*4, S C D中共-80 APP-25" sqref="E4:I4" errorStyle="warning">
      <formula1>1</formula1>
      <formula2>120</formula2>
    </dataValidation>
    <dataValidation type="list" allowBlank="1" showInputMessage="1" showErrorMessage="1" sqref="M4:N4">
      <formula1>"1920s,现代,其他"</formula1>
    </dataValidation>
    <dataValidation type="list" allowBlank="1" showInputMessage="1" showErrorMessage="1" sqref="M5:N5">
      <formula1>职业列表!$A$2:$A$232</formula1>
    </dataValidation>
    <dataValidation type="list" allowBlank="1" showInputMessage="1" showErrorMessage="1" sqref="E8">
      <formula1>"公元,公元前"</formula1>
    </dataValidation>
    <dataValidation type="whole" operator="notEqual" allowBlank="1" showInputMessage="1" showErrorMessage="1" errorTitle="提示" error="仅能输入整数，请不要填写数字外的字符（包括汉字）" promptTitle="提示" prompt="仅能输入整数，请不要填写数字外的字符（包括汉字）" sqref="G8" errorStyle="warning">
      <formula1>32767</formula1>
    </dataValidation>
    <dataValidation allowBlank="1" showInputMessage="1" showErrorMessage="1" sqref="J8 L8 N8 Q8 AG12 H23 AU26 BC26 BK26 BC28 AD34 H38 AD38 H42 AD48 BQ118:BR118 AU123:AW123 Q141 T141:U141 B27:B28 B91:B94 D91:D94 Z49:Z50"/>
    <dataValidation type="list" allowBlank="1" showInputMessage="1" showErrorMessage="1" sqref="CH8">
      <formula1>"未启用,启用"</formula1>
    </dataValidation>
    <dataValidation allowBlank="1" showInputMessage="1" showErrorMessage="1" promptTitle="提示" prompt="MP是每小时恢复一次的&#10;人类一般来说都会一小时恢复1点&#10;但是有极少数人可以达到一小时恢复2点" sqref="AA10"/>
    <dataValidation allowBlank="1" showErrorMessage="1" sqref="AI10 H50 L62 N62:O62 R62:S62 B69:K69"/>
    <dataValidation type="list" allowBlank="1" showInputMessage="1" showErrorMessage="1" sqref="I11:J11">
      <formula1>附表!$R$17:$R$21</formula1>
    </dataValidation>
    <dataValidation type="list" allowBlank="1" showInputMessage="1" showErrorMessage="1" sqref="R11:S11">
      <formula1>附表!$S$17:$S$21</formula1>
    </dataValidation>
    <dataValidation allowBlank="1" showInputMessage="1" showErrorMessage="1" promptTitle="提示" prompt="你可以在下方“法术一览”内输入法术并且在这里输入成功使用过的法术的编号" sqref="U12 X12 AB12"/>
    <dataValidation type="list" allowBlank="1" showInputMessage="1" showErrorMessage="1" sqref="AE12">
      <formula1>"步式,轮式,履带,滑行,飞行,游泳,潜水,其他"</formula1>
    </dataValidation>
    <dataValidation type="list" allowBlank="1" showInputMessage="1" showErrorMessage="1" sqref="AI12">
      <formula1>"开,关"</formula1>
    </dataValidation>
    <dataValidation type="list" allowBlank="1" showInputMessage="1" showErrorMessage="1" sqref="AN12 AR12:AS12">
      <formula1>'防具表 载具表'!$B$2:$B$82</formula1>
    </dataValidation>
    <dataValidation type="list" allowBlank="1" showInputMessage="1" showErrorMessage="1" promptTitle="提示：" prompt="如果你看见可选标记和技能提示全为空，这是正常现象&#10;请尝试重新使用下拉栏选择&#10;" sqref="B13:H13">
      <formula1>附表!$E$15:$E$16</formula1>
    </dataValidation>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F17:H17"/>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AB17:AC17"/>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F18:H18"/>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AB18:AC18"/>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F19:H19"/>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AB19:AC19"/>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F20:H20"/>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AB20:AC20"/>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F21"/>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AB21:AC21"/>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2"/>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AB22:AC22"/>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AB23:AC23"/>
    <dataValidation type="list" allowBlank="1" showInputMessage="1" showErrorMessage="1" sqref="AU23:AZ23">
      <formula1>"提示当前职业,停用提示(用于更改职业的角色)"</formula1>
    </dataValidation>
    <dataValidation allowBlank="1" showInputMessage="1" showErrorMessage="1" promptTitle="Charm (15%)" prompt="- 取悦允许通过许多形式来使用，包括肉体魅力、诱惑、奉承或是单纯令人感到温暖的人格魅力。&#10;- 取悦可能可以被用于迫使某人进行特定的行动，但是不会是与个人日常举止完全相反的行为。&#10;- 取悦或是心理学技能可以用于对抗取悦技能。&#10;- 取悦技能可以被用于讨价还价来使一件物品或者服务的价格降低。&#10;- 如果成功，使用者可能得到了卖家的赞同，并且他们可能乐意降低一点价格。" sqref="F24:I24"/>
    <dataValidation allowBlank="1" showInputMessage="1" showErrorMessage="1" promptTitle="Navigate (10%) 也译作“领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AB24:AE24"/>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F25:H25"/>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AB25:AC25"/>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F26:H26"/>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AB26:AC26"/>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F27:H27"/>
    <dataValidation allowBlank="1" showInputMessage="1" showErrorMessage="1" promptTitle="提示" prompt="信用评级至少要用职业点点至信用范围最低值才能使用兴趣点增加信用评级" sqref="P27"/>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AB27:AC27"/>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F28"/>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AB28"/>
    <dataValidation type="list" allowBlank="1" showInputMessage="1" showErrorMessage="1" sqref="AD28:AE28">
      <formula1>附表!$S$219:$S$221</formula1>
    </dataValidation>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F29:H29"/>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9"/>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F30:H30"/>
    <dataValidation allowBlank="1" showInputMessage="1" showErrorMessage="1" promptTitle="Psychology (10%)" prompt="对所有人来说都很通用的察觉方面的技能，允许使用者研究个人并且形成对于其他某人动机和人格的了解。" sqref="AB30:AC30"/>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F31:H31"/>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AB31:AC31"/>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F32:H32"/>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F33:H33"/>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4:H34"/>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AB35:AC35"/>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AB36:AC36"/>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AB37:AC37"/>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AB38"/>
    <dataValidation allowBlank="1" showInputMessage="1" showErrorMessage="1" promptTitle="Swim (20%)" prompt="- 有能力在水或者其他液体中漂浮以及移动。&#10;- 只有在遭遇危险的时候需要进行游泳技能检定，或者当 KP认为合适的时候。" sqref="AB39:AC39"/>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AB40:AC40"/>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AB41:AC41"/>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AB42:AC4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F43:H43"/>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AB43:AC43"/>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F44:H44"/>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AB44:AC44"/>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F45:H45"/>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AB45:AC45"/>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F46:H46"/>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AB46:AC46"/>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AB47:AC47"/>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AB48"/>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F50"/>
    <dataValidation allowBlank="1" showInputMessage="1" showErrorMessage="1" promptTitle="成长值：" prompt="指幕间成长一共有多少点" sqref="AL51:AM51"/>
    <dataValidation type="list" allowBlank="1" showInputMessage="1" showErrorMessage="1" promptTitle="汇率取自" prompt="最后一次更新时间&#10;" sqref="S63:U63">
      <formula1>附表!$Z$243:$Z$263</formula1>
    </dataValidation>
    <dataValidation type="list" allowBlank="1" showInputMessage="1" showErrorMessage="1" sqref="AR74 AR64:AR68 AR70:AR72 AR76:AR77 AS78:AS79">
      <formula1>"☐,☑"</formula1>
    </dataValidation>
    <dataValidation allowBlank="1" showInputMessage="1" showErrorMessage="1" promptTitle="提示" prompt="物品状态分为两种：&#10;显露：显露的物品可以一眼被看见，这包括衣服、背包、手里的东西、背后的枪等。&#10;隐藏：隐藏的物品不代表无法被看见，只是比较难以被看见而已，这里包括被头发掩盖的耳机、兜里的钥匙、藏在衣服里被锯短的枪。" sqref="B79"/>
    <dataValidation allowBlank="1" showInputMessage="1" showErrorMessage="1" promptTitle="编号" prompt="编号用于属性栏内的“使用过的魔法”。" sqref="W114"/>
    <dataValidation type="list" allowBlank="1" showInputMessage="1" showErrorMessage="1" sqref="E115 F115:F116 G114:I116">
      <formula1>附表!$B$20:$B$26</formula1>
    </dataValidation>
    <dataValidation type="list" allowBlank="1" showErrorMessage="1" sqref="E117:I117">
      <formula1>附表!$B$30:$B$31</formula1>
    </dataValidation>
    <dataValidation type="list" allowBlank="1" showInputMessage="1" showErrorMessage="1" sqref="AZ130">
      <formula1>附表!$AT$25:$AT$30</formula1>
    </dataValidation>
    <dataValidation type="list" allowBlank="1" showInputMessage="1" showErrorMessage="1" sqref="BL130">
      <formula1>附表!$AE$33:$AE$156</formula1>
    </dataValidation>
    <dataValidation type="list" allowBlank="1" showInputMessage="1" showErrorMessage="1" sqref="S140 U140">
      <formula1>"1,2,3,4,5,6,7,8,9,10"</formula1>
    </dataValidation>
    <dataValidation type="list" allowBlank="1" showInputMessage="1" showErrorMessage="1" sqref="AU145:BB145">
      <formula1>附表!$Y$101:$Y$426</formula1>
    </dataValidation>
    <dataValidation type="list" allowBlank="1" showInputMessage="1" showErrorMessage="1" sqref="BC145:BJ145">
      <formula1>附表!$AA$158:$AA$203</formula1>
    </dataValidation>
    <dataValidation type="list" allowBlank="1" showInputMessage="1" showErrorMessage="1" sqref="BK145:BR145">
      <formula1>附表!$Z$158:$Z$180</formula1>
    </dataValidation>
    <dataValidation type="list" allowBlank="1" showInputMessage="1" showErrorMessage="1" promptTitle="可成长标记" prompt="如果是短团，技能成功后可以选择勾号标记，在结束时KP宣布幕间成长，则成功技能可进行成长鉴定；&#10;如果是长团，技能成功后可以选择勾号标记，在每一章结束时KP宣布幕间成长，则成功技能可进行成长鉴定。" sqref="B17:B26 B29:B50 X17:X50">
      <formula1>"☐,☑"</formula1>
    </dataValidation>
    <dataValidation type="list" allowBlank="1" showInputMessage="1" showErrorMessage="1" sqref="B80:B90">
      <formula1>附表!$Q$23:$Q$25</formula1>
    </dataValidation>
    <dataValidation type="list" allowBlank="1" showInputMessage="1" showErrorMessage="1" sqref="D80:D90">
      <formula1>附表!$O$16:$O$58</formula1>
    </dataValidation>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F35:F38"/>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F39:F42"/>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F47:F49"/>
    <dataValidation type="list" allowBlank="1" showInputMessage="1" showErrorMessage="1" sqref="G55:G57">
      <formula1>武器列表!$B$2:$B$106</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H47:H49"/>
    <dataValidation type="whole" operator="between" allowBlank="1" showErrorMessage="1" errorTitle="警告" error="人类力量范围为0~99" sqref="U3:U4" errorStyle="warning">
      <formula1>1</formula1>
      <formula2>99</formula2>
    </dataValidation>
    <dataValidation type="whole" operator="between" allowBlank="1" showInputMessage="1" showErrorMessage="1" errorTitle="警告" error="人类体质范围为0~99" sqref="U5:U6" errorStyle="warning">
      <formula1>0</formula1>
      <formula2>99</formula2>
    </dataValidation>
    <dataValidation type="whole" operator="greaterThanOrEqual" allowBlank="1" showInputMessage="1" promptTitle="提示" prompt="部分人类体型可以超99" sqref="U7:U8" errorStyle="warning">
      <formula1>9</formula1>
    </dataValidation>
    <dataValidation type="whole" operator="between" allowBlank="1" showInputMessage="1" showErrorMessage="1" errorTitle="警告" error="人类敏捷范围为0~99" sqref="AA3:AA4" errorStyle="warning">
      <formula1>0</formula1>
      <formula2>99</formula2>
    </dataValidation>
    <dataValidation type="whole" operator="between" allowBlank="1" showInputMessage="1" showErrorMessage="1" errorTitle="警告" error="人类外貌范围为0~99" sqref="AA5:AA6" errorStyle="warning">
      <formula1>0</formula1>
      <formula2>99</formula2>
    </dataValidation>
    <dataValidation type="whole" operator="between" allowBlank="1" showInputMessage="1" showErrorMessage="1" errorTitle="警告" error="人类智力范围为0~99" sqref="AA7:AA8" errorStyle="warning">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AB32:AB34"/>
    <dataValidation type="whole" operator="greaterThanOrEqual" allowBlank="1" showInputMessage="1" showErrorMessage="1" promptTitle="提示" prompt="人类意志可以超越100，但这是特例" sqref="AG3:AG4">
      <formula1>0</formula1>
    </dataValidation>
    <dataValidation type="whole" operator="between" allowBlank="1" showInputMessage="1" showErrorMessage="1" errorTitle="警告" error="人类教育范围为0~99" sqref="AG5:AG6" errorStyle="warning">
      <formula1>0</formula1>
      <formula2>99</formula2>
    </dataValidation>
    <dataValidation type="list" allowBlank="1" showInputMessage="1" showErrorMessage="1" sqref="BJ19:BJ22 BB19:BC22 BQ19:BR22">
      <formula1>附表!$X$25:$X$92</formula1>
    </dataValidation>
    <dataValidation type="list" allowBlank="1" showInputMessage="1" showErrorMessage="1" sqref="AD32:AE33">
      <formula1>附表!$O$219:$O$232</formula1>
    </dataValidation>
    <dataValidation type="list" allowBlank="1" showInputMessage="1" showErrorMessage="1" sqref="H36:I37">
      <formula1>附表!$U$220:$U$227</formula1>
    </dataValidation>
    <dataValidation type="list" allowBlank="1" showInputMessage="1" showErrorMessage="1" sqref="H40:I41">
      <formula1>附表!$Q$220:$Q$226</formula1>
    </dataValidation>
    <dataValidation allowBlank="1" showInputMessage="1" showErrorMessage="1" promptTitle="关键连接" prompt="在背景故事中，选出你认为最重要的一个描述作为关键连接。&#10;关键连接不会被KP更改和设计、在你面对关键连接的危机时如果没有掷骰子的机会，那他就不能被KP摧毁、杀害、移除。玩家必须至少有一次掷骰子的机会来拯救该关键连接。&#10;&#10;·关键连接可以帮助调查员恢复san值，但是如果失去关键连接则会进行一个1/1D6的SC。&#10;&#10;·如果选择使用关键连接，会在SC的时候增加一个奖励骰，除了恢复1D6san还可以从不定性疯狂中恢复；但如果sc失败就会失去这个连接。&#10;&#10;·关键连接仅能在幕间成长时由玩家更改、替换。" sqref="AR62:AS63"/>
    <dataValidation type="list" allowBlank="1" showInputMessage="1" showErrorMessage="1" sqref="H21:I22">
      <formula1>附表!$A$101:$A$129</formula1>
    </dataValidation>
  </dataValidations>
  <pageMargins left="0.75" right="0.75" top="1" bottom="1" header="0.509027777777778" footer="0.509027777777778"/>
  <headerFooter/>
  <drawing r:id="rId1"/>
  <picture r:id="rId2"/>
  <extLst>
    <ext xmlns:x14="http://schemas.microsoft.com/office/spreadsheetml/2009/9/main" uri="{78C0D931-6437-407d-A8EE-F0AAD7539E65}">
      <x14:conditionalFormattings>
        <x14:conditionalFormatting xmlns:xm="http://schemas.microsoft.com/office/excel/2006/main">
          <x14:cfRule type="containsText" priority="10" operator="containsText" id="{ee32e5f4-1f8b-467b-a708-11bdcedad198}">
            <xm:f>NOT(ISERROR(SEARCH(IF(ISBLANK($AQ$51),0,$AQ$51),F17)))</xm:f>
            <xm:f>IF(ISBLANK($AQ$51),0,$AQ$51)</xm:f>
            <x14:dxf>
              <fill>
                <patternFill patternType="solid">
                  <bgColor rgb="FFC8C8FF"/>
                </patternFill>
              </fill>
              <border>
                <left/>
                <right/>
                <top/>
                <bottom/>
              </border>
            </x14:dxf>
          </x14:cfRule>
          <xm:sqref>F17:I50 AB17:AE36 AB38:AE50</xm:sqref>
        </x14:conditionalFormatting>
        <x14:conditionalFormatting xmlns:xm="http://schemas.microsoft.com/office/excel/2006/main">
          <x14:cfRule type="containsText" priority="8" operator="containsText" id="{49d2cda8-e45a-45ea-a8e5-53e088fe88d3}">
            <xm:f>NOT(ISERROR(SEARCH(IF(OR($M$4="现代",$M$4="其他"),$F$26+$F$33,""),F26)))</xm:f>
            <xm:f>IF(OR($M$4="现代",$M$4="其他"),$F$26+$F$33,"")</xm:f>
            <x14:dxf>
              <font>
                <color rgb="FFBFBFBF"/>
              </font>
            </x14:dxf>
          </x14:cfRule>
          <xm:sqref>F26 F33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A3838"/>
  </sheetPr>
  <dimension ref="B1:AM109"/>
  <sheetViews>
    <sheetView showGridLines="0" showRowColHeaders="0" zoomScale="110" zoomScaleNormal="110" topLeftCell="B1" workbookViewId="0">
      <selection activeCell="AG47" sqref="AG47"/>
    </sheetView>
  </sheetViews>
  <sheetFormatPr defaultColWidth="5" defaultRowHeight="17" customHeight="1"/>
  <cols>
    <col min="1" max="1" width="5.63461538461539" style="1941" customWidth="1"/>
    <col min="2" max="16384" width="5.63461538461539" style="1941"/>
  </cols>
  <sheetData>
    <row r="1" ht="7" customHeight="1"/>
    <row r="2" customHeight="1" spans="2:31">
      <c r="B2" s="2432" t="str">
        <f>人物卡!E3&amp;"，"&amp;人物卡!E6&amp;"，"&amp;人物卡!E4&amp;"岁"&amp;"，"&amp;人物卡!E5&amp;"，"&amp;人物卡!M4&amp;"，"&amp;"现居："&amp;人物卡!E7&amp;"，"&amp;人物卡!M6&amp;"，"&amp;人物卡!M7&amp;"人"</f>
        <v>尤金，男，29岁，私家侦探，1920s，现居：布鲁克林区，美国，纽约人</v>
      </c>
      <c r="C2" s="2433"/>
      <c r="D2" s="2433"/>
      <c r="E2" s="2433"/>
      <c r="F2" s="2433"/>
      <c r="G2" s="2433"/>
      <c r="H2" s="2433"/>
      <c r="I2" s="2433"/>
      <c r="J2" s="2433"/>
      <c r="K2" s="2433"/>
      <c r="L2" s="2433"/>
      <c r="M2" s="2555"/>
      <c r="N2" s="2432" t="s">
        <v>345</v>
      </c>
      <c r="O2" s="2433"/>
      <c r="P2" s="2433"/>
      <c r="Q2" s="2433"/>
      <c r="R2" s="2433"/>
      <c r="S2" s="2433"/>
      <c r="T2" s="2433"/>
      <c r="U2" s="2433"/>
      <c r="V2" s="2433"/>
      <c r="W2" s="2433"/>
      <c r="X2" s="2433"/>
      <c r="Y2" s="2555"/>
      <c r="Z2" s="2618" t="s">
        <v>346</v>
      </c>
      <c r="AA2" s="2619"/>
      <c r="AB2" s="2619"/>
      <c r="AC2" s="2619"/>
      <c r="AD2" s="2619"/>
      <c r="AE2" s="2651"/>
    </row>
    <row r="3" customHeight="1" spans="2:31">
      <c r="B3" s="2434" t="s">
        <v>347</v>
      </c>
      <c r="C3" s="2435">
        <f>STR</f>
        <v>30</v>
      </c>
      <c r="D3" s="2435">
        <f>INT(C3/2)</f>
        <v>15</v>
      </c>
      <c r="E3" s="2505" t="s">
        <v>348</v>
      </c>
      <c r="F3" s="2440">
        <f>DEX</f>
        <v>70</v>
      </c>
      <c r="G3" s="2440">
        <f>INT(F3/2)</f>
        <v>35</v>
      </c>
      <c r="H3" s="2506" t="s">
        <v>349</v>
      </c>
      <c r="I3" s="2435">
        <f>POW</f>
        <v>60</v>
      </c>
      <c r="J3" s="2435">
        <f>INT(I3/2)</f>
        <v>30</v>
      </c>
      <c r="K3" s="2505" t="s">
        <v>350</v>
      </c>
      <c r="L3" s="2440">
        <f>INT</f>
        <v>80</v>
      </c>
      <c r="M3" s="2556">
        <f>INT(L3/2)</f>
        <v>40</v>
      </c>
      <c r="N3" s="2557" t="str">
        <f>IF(Q3=0,"",人物卡!F17)</f>
        <v/>
      </c>
      <c r="O3" s="2437"/>
      <c r="P3" s="2437"/>
      <c r="Q3" s="2590">
        <f>IF(人物卡!R17-人物卡!J17=0,0,人物卡!R17)</f>
        <v>0</v>
      </c>
      <c r="R3" s="2591">
        <f t="shared" ref="R3:R12" si="0">INT(Q3/2)</f>
        <v>0</v>
      </c>
      <c r="S3" s="2592">
        <f t="shared" ref="S3:S12" si="1">INT(Q3/5)</f>
        <v>0</v>
      </c>
      <c r="T3" s="2440" t="str">
        <f>IF(W3=0,"",人物卡!AB17)</f>
        <v/>
      </c>
      <c r="U3" s="2508"/>
      <c r="V3" s="2508"/>
      <c r="W3" s="2611">
        <f>IF(人物卡!AN17-人物卡!AF17=0,0,人物卡!AN17)</f>
        <v>0</v>
      </c>
      <c r="X3" s="2612">
        <f t="shared" ref="X3:X36" si="2">INT(W3/2)</f>
        <v>0</v>
      </c>
      <c r="Y3" s="2620">
        <f t="shared" ref="Y3:Y36" si="3">INT(W3/5)</f>
        <v>0</v>
      </c>
      <c r="Z3" s="2490" t="str">
        <f>人物卡!E8</f>
        <v>公元</v>
      </c>
      <c r="AA3" s="2491">
        <f>人物卡!G8</f>
        <v>2023</v>
      </c>
      <c r="AB3" s="2491"/>
      <c r="AC3" s="2652" t="str">
        <f>人物卡!J8</f>
        <v>1月</v>
      </c>
      <c r="AD3" s="2653" t="str">
        <f>人物卡!N8</f>
        <v>0：00</v>
      </c>
      <c r="AE3" s="2654"/>
    </row>
    <row r="4" customHeight="1" spans="2:31">
      <c r="B4" s="2436"/>
      <c r="C4" s="2437"/>
      <c r="D4" s="2438">
        <f>INT(C3/5)</f>
        <v>6</v>
      </c>
      <c r="E4" s="2507"/>
      <c r="F4" s="2508"/>
      <c r="G4" s="2509">
        <f>INT(F3/5)</f>
        <v>14</v>
      </c>
      <c r="H4" s="2510"/>
      <c r="I4" s="2437"/>
      <c r="J4" s="2438">
        <f>INT(I3/5)</f>
        <v>12</v>
      </c>
      <c r="K4" s="2507"/>
      <c r="L4" s="2508"/>
      <c r="M4" s="2558">
        <f>INT(L3/5)</f>
        <v>16</v>
      </c>
      <c r="N4" s="2557" t="str">
        <f>IF(Q4=0,"",人物卡!F18)</f>
        <v/>
      </c>
      <c r="O4" s="2437"/>
      <c r="P4" s="2437"/>
      <c r="Q4" s="2590">
        <f>IF(人物卡!R18-人物卡!J18=0,0,人物卡!R18)</f>
        <v>0</v>
      </c>
      <c r="R4" s="2591">
        <f t="shared" si="0"/>
        <v>0</v>
      </c>
      <c r="S4" s="2592">
        <f t="shared" si="1"/>
        <v>0</v>
      </c>
      <c r="T4" s="2440" t="str">
        <f>IF(W4=0,"",人物卡!AB18)</f>
        <v/>
      </c>
      <c r="U4" s="2508"/>
      <c r="V4" s="2508"/>
      <c r="W4" s="2611">
        <f>IF(人物卡!AN18-人物卡!AF18=0,0,人物卡!AN18)</f>
        <v>0</v>
      </c>
      <c r="X4" s="2612">
        <f t="shared" si="2"/>
        <v>0</v>
      </c>
      <c r="Y4" s="2620">
        <f t="shared" si="3"/>
        <v>0</v>
      </c>
      <c r="Z4" s="2498"/>
      <c r="AA4" s="2499"/>
      <c r="AB4" s="2499"/>
      <c r="AC4" s="2655" t="str">
        <f>人物卡!L8</f>
        <v>1日</v>
      </c>
      <c r="AD4" s="2656"/>
      <c r="AE4" s="2657"/>
    </row>
    <row r="5" customHeight="1" spans="2:31">
      <c r="B5" s="2439" t="s">
        <v>351</v>
      </c>
      <c r="C5" s="2440">
        <f>CON</f>
        <v>50</v>
      </c>
      <c r="D5" s="2440">
        <f>INT(C5/2)</f>
        <v>25</v>
      </c>
      <c r="E5" s="2506" t="s">
        <v>352</v>
      </c>
      <c r="F5" s="2435">
        <f>APP</f>
        <v>80</v>
      </c>
      <c r="G5" s="2435">
        <f>INT(F5/2)</f>
        <v>40</v>
      </c>
      <c r="H5" s="2505" t="s">
        <v>353</v>
      </c>
      <c r="I5" s="2440">
        <f>EDU</f>
        <v>55</v>
      </c>
      <c r="J5" s="2440">
        <f>INT(I5/2)</f>
        <v>27</v>
      </c>
      <c r="K5" s="2506" t="s">
        <v>354</v>
      </c>
      <c r="L5" s="2435">
        <f>SIZ</f>
        <v>55</v>
      </c>
      <c r="M5" s="2559">
        <f>INT(L5/2)</f>
        <v>27</v>
      </c>
      <c r="N5" s="2557" t="str">
        <f>IF(Q5=0,"",人物卡!F19)</f>
        <v/>
      </c>
      <c r="O5" s="2437"/>
      <c r="P5" s="2437"/>
      <c r="Q5" s="2590">
        <f>IF(人物卡!R19-人物卡!J19=0,0,人物卡!R19)</f>
        <v>0</v>
      </c>
      <c r="R5" s="2591">
        <f t="shared" si="0"/>
        <v>0</v>
      </c>
      <c r="S5" s="2592">
        <f t="shared" si="1"/>
        <v>0</v>
      </c>
      <c r="T5" s="2440" t="str">
        <f>IF(W5=0,"",人物卡!AB19)</f>
        <v>聆听</v>
      </c>
      <c r="U5" s="2508"/>
      <c r="V5" s="2508"/>
      <c r="W5" s="2611">
        <f>IF(人物卡!AN19-人物卡!AF19=0,0,人物卡!AN19)</f>
        <v>70</v>
      </c>
      <c r="X5" s="2612">
        <f t="shared" si="2"/>
        <v>35</v>
      </c>
      <c r="Y5" s="2620">
        <f t="shared" si="3"/>
        <v>14</v>
      </c>
      <c r="Z5" s="2621" t="s">
        <v>301</v>
      </c>
      <c r="AA5" s="2622"/>
      <c r="AB5" s="2622"/>
      <c r="AC5" s="2622"/>
      <c r="AD5" s="2622"/>
      <c r="AE5" s="2658"/>
    </row>
    <row r="6" customHeight="1" spans="2:31">
      <c r="B6" s="2441"/>
      <c r="C6" s="2442"/>
      <c r="D6" s="2443">
        <f>INT(C5/5)</f>
        <v>10</v>
      </c>
      <c r="E6" s="2511"/>
      <c r="F6" s="2512"/>
      <c r="G6" s="2513">
        <f>INT(F5/5)</f>
        <v>16</v>
      </c>
      <c r="H6" s="2514"/>
      <c r="I6" s="2442"/>
      <c r="J6" s="2443">
        <f>INT(I5/5)</f>
        <v>11</v>
      </c>
      <c r="K6" s="2511"/>
      <c r="L6" s="2512"/>
      <c r="M6" s="2560">
        <f>INT(L5/5)</f>
        <v>11</v>
      </c>
      <c r="N6" s="2557" t="str">
        <f>IF(Q6=0,"",人物卡!F20)</f>
        <v/>
      </c>
      <c r="O6" s="2437"/>
      <c r="P6" s="2437"/>
      <c r="Q6" s="2590">
        <f>IF(人物卡!R20-人物卡!J20=0,0,人物卡!R20)</f>
        <v>0</v>
      </c>
      <c r="R6" s="2591">
        <f t="shared" si="0"/>
        <v>0</v>
      </c>
      <c r="S6" s="2592">
        <f t="shared" si="1"/>
        <v>0</v>
      </c>
      <c r="T6" s="2440" t="str">
        <f>IF(W6=0,"",人物卡!AB20)</f>
        <v>锁匠</v>
      </c>
      <c r="U6" s="2508"/>
      <c r="V6" s="2508"/>
      <c r="W6" s="2611">
        <f>IF(人物卡!AN20-人物卡!AF20=0,0,人物卡!AN20)</f>
        <v>71</v>
      </c>
      <c r="X6" s="2612">
        <f t="shared" si="2"/>
        <v>35</v>
      </c>
      <c r="Y6" s="2620">
        <f t="shared" si="3"/>
        <v>14</v>
      </c>
      <c r="Z6" s="2623" t="s">
        <v>6</v>
      </c>
      <c r="AA6" s="2624"/>
      <c r="AB6" s="2625" t="s">
        <v>305</v>
      </c>
      <c r="AC6" s="2624"/>
      <c r="AD6" s="2624"/>
      <c r="AE6" s="2659"/>
    </row>
    <row r="7" customHeight="1" spans="2:31">
      <c r="B7" s="2444" t="s">
        <v>355</v>
      </c>
      <c r="C7" s="2445">
        <f>人物卡!E10</f>
        <v>10</v>
      </c>
      <c r="D7" s="2446">
        <f>人物卡!G10</f>
        <v>10</v>
      </c>
      <c r="E7" s="2515" t="s">
        <v>356</v>
      </c>
      <c r="F7" s="2516">
        <f>人物卡!N10</f>
        <v>60</v>
      </c>
      <c r="G7" s="2517">
        <f>人物卡!P10</f>
        <v>99</v>
      </c>
      <c r="H7" s="2518" t="s">
        <v>357</v>
      </c>
      <c r="I7" s="2445">
        <f>人物卡!W10</f>
        <v>12</v>
      </c>
      <c r="J7" s="2446">
        <f>MP</f>
        <v>12</v>
      </c>
      <c r="K7" s="2542" t="s">
        <v>358</v>
      </c>
      <c r="L7" s="2543" t="str">
        <f>人物卡!AN10</f>
        <v> </v>
      </c>
      <c r="M7" s="2561"/>
      <c r="N7" s="2562">
        <f t="shared" ref="N7:N9" si="4">IF(Q7=0,0,"技艺：")</f>
        <v>0</v>
      </c>
      <c r="O7" s="2435" t="str">
        <f>IF(N7=0,"",人物卡!H21)</f>
        <v/>
      </c>
      <c r="P7" s="2437"/>
      <c r="Q7" s="2590">
        <f>IF(人物卡!R21-人物卡!J21=0,0,人物卡!R21)</f>
        <v>0</v>
      </c>
      <c r="R7" s="2591">
        <f t="shared" si="0"/>
        <v>0</v>
      </c>
      <c r="S7" s="2592">
        <f t="shared" si="1"/>
        <v>0</v>
      </c>
      <c r="T7" s="2440" t="str">
        <f>IF(W7=0,"",人物卡!AB21)</f>
        <v/>
      </c>
      <c r="U7" s="2508"/>
      <c r="V7" s="2508"/>
      <c r="W7" s="2611">
        <f>IF(人物卡!AN21-人物卡!AF21=0,0,人物卡!AN21)</f>
        <v>0</v>
      </c>
      <c r="X7" s="2612">
        <f t="shared" si="2"/>
        <v>0</v>
      </c>
      <c r="Y7" s="2620">
        <f t="shared" si="3"/>
        <v>0</v>
      </c>
      <c r="Z7" s="2626">
        <f>人物卡!W131</f>
        <v>0</v>
      </c>
      <c r="AA7" s="2627"/>
      <c r="AB7" s="2628" t="str">
        <f>人物卡!AD131</f>
        <v>那次团的二五仔，团灭了全体</v>
      </c>
      <c r="AC7" s="2627"/>
      <c r="AD7" s="2627"/>
      <c r="AE7" s="2660"/>
    </row>
    <row r="8" customHeight="1" spans="2:31">
      <c r="B8" s="2447"/>
      <c r="C8" s="2448"/>
      <c r="D8" s="2449"/>
      <c r="E8" s="2510"/>
      <c r="F8" s="2519"/>
      <c r="G8" s="2520"/>
      <c r="H8" s="2521"/>
      <c r="I8" s="2448"/>
      <c r="J8" s="2449"/>
      <c r="K8" s="2544"/>
      <c r="L8" s="2523"/>
      <c r="M8" s="2563"/>
      <c r="N8" s="2562">
        <f t="shared" si="4"/>
        <v>0</v>
      </c>
      <c r="O8" s="2435" t="str">
        <f>IF(N8=0,"",人物卡!H22)</f>
        <v/>
      </c>
      <c r="P8" s="2437"/>
      <c r="Q8" s="2590">
        <f>IF(人物卡!R22-人物卡!J22=0,0,人物卡!R22)</f>
        <v>0</v>
      </c>
      <c r="R8" s="2591">
        <f t="shared" si="0"/>
        <v>0</v>
      </c>
      <c r="S8" s="2592">
        <f t="shared" si="1"/>
        <v>0</v>
      </c>
      <c r="T8" s="2440" t="str">
        <f>IF(W8=0,"",人物卡!AB22)</f>
        <v/>
      </c>
      <c r="U8" s="2508"/>
      <c r="V8" s="2508"/>
      <c r="W8" s="2611">
        <f>IF(人物卡!AN22-人物卡!AF22=0,0,人物卡!AN22)</f>
        <v>0</v>
      </c>
      <c r="X8" s="2612">
        <f t="shared" si="2"/>
        <v>0</v>
      </c>
      <c r="Y8" s="2620">
        <f t="shared" si="3"/>
        <v>0</v>
      </c>
      <c r="Z8" s="2626">
        <f>人物卡!W132</f>
        <v>0</v>
      </c>
      <c r="AA8" s="2627"/>
      <c r="AB8" s="2628">
        <f>人物卡!AD132</f>
        <v>0</v>
      </c>
      <c r="AC8" s="2627"/>
      <c r="AD8" s="2627"/>
      <c r="AE8" s="2660"/>
    </row>
    <row r="9" customHeight="1" spans="2:31">
      <c r="B9" s="2447" t="s">
        <v>359</v>
      </c>
      <c r="C9" s="2450" t="str">
        <f>人物卡!AP53</f>
        <v>0</v>
      </c>
      <c r="D9" s="2450"/>
      <c r="E9" s="2506" t="s">
        <v>360</v>
      </c>
      <c r="F9" s="2522" t="str">
        <f>人物卡!AP56</f>
        <v>0</v>
      </c>
      <c r="G9" s="2523"/>
      <c r="H9" s="2521" t="s">
        <v>361</v>
      </c>
      <c r="I9" s="2450">
        <f>Luck</f>
        <v>50</v>
      </c>
      <c r="J9" s="2450"/>
      <c r="K9" s="2506" t="s">
        <v>362</v>
      </c>
      <c r="L9" s="2522">
        <f>人物卡!AF10</f>
        <v>8</v>
      </c>
      <c r="M9" s="2563"/>
      <c r="N9" s="2562">
        <f t="shared" si="4"/>
        <v>0</v>
      </c>
      <c r="O9" s="2435" t="str">
        <f>IF(N9=0,"",人物卡!H23)</f>
        <v/>
      </c>
      <c r="P9" s="2437"/>
      <c r="Q9" s="2590">
        <f>IF(人物卡!R23-人物卡!J23=0,0,人物卡!R23)</f>
        <v>0</v>
      </c>
      <c r="R9" s="2591">
        <f t="shared" si="0"/>
        <v>0</v>
      </c>
      <c r="S9" s="2592">
        <f t="shared" si="1"/>
        <v>0</v>
      </c>
      <c r="T9" s="2440" t="str">
        <f>IF(W9=0,"",人物卡!AB23)</f>
        <v/>
      </c>
      <c r="U9" s="2508"/>
      <c r="V9" s="2508"/>
      <c r="W9" s="2611">
        <f>IF(人物卡!AN23-人物卡!AF23=0,0,人物卡!AN23)</f>
        <v>0</v>
      </c>
      <c r="X9" s="2612">
        <f t="shared" si="2"/>
        <v>0</v>
      </c>
      <c r="Y9" s="2620">
        <f t="shared" si="3"/>
        <v>0</v>
      </c>
      <c r="Z9" s="2626">
        <f>人物卡!W133</f>
        <v>0</v>
      </c>
      <c r="AA9" s="2627"/>
      <c r="AB9" s="2628">
        <f>人物卡!AD133</f>
        <v>0</v>
      </c>
      <c r="AC9" s="2627"/>
      <c r="AD9" s="2627"/>
      <c r="AE9" s="2660"/>
    </row>
    <row r="10" customHeight="1" spans="2:31">
      <c r="B10" s="2451"/>
      <c r="C10" s="2452"/>
      <c r="D10" s="2452"/>
      <c r="E10" s="2511"/>
      <c r="F10" s="2524"/>
      <c r="G10" s="2524"/>
      <c r="H10" s="2525"/>
      <c r="I10" s="2452"/>
      <c r="J10" s="2452"/>
      <c r="K10" s="2511"/>
      <c r="L10" s="2524"/>
      <c r="M10" s="2564"/>
      <c r="N10" s="2557" t="str">
        <f>IF(Q10=0,"",人物卡!F24)</f>
        <v>取悦</v>
      </c>
      <c r="O10" s="2437"/>
      <c r="P10" s="2437"/>
      <c r="Q10" s="2590">
        <f>IF(人物卡!R24-人物卡!J24=0,0,人物卡!R24)</f>
        <v>70</v>
      </c>
      <c r="R10" s="2591">
        <f t="shared" si="0"/>
        <v>35</v>
      </c>
      <c r="S10" s="2592">
        <f t="shared" si="1"/>
        <v>14</v>
      </c>
      <c r="T10" s="2440" t="str">
        <f>IF(W10=0,"",人物卡!AB24)</f>
        <v/>
      </c>
      <c r="U10" s="2508"/>
      <c r="V10" s="2508"/>
      <c r="W10" s="2611">
        <f>IF(人物卡!AN24-人物卡!AF24=0,0,人物卡!AN24)</f>
        <v>0</v>
      </c>
      <c r="X10" s="2612">
        <f t="shared" si="2"/>
        <v>0</v>
      </c>
      <c r="Y10" s="2620">
        <f t="shared" si="3"/>
        <v>0</v>
      </c>
      <c r="Z10" s="2626">
        <f>人物卡!W134</f>
        <v>0</v>
      </c>
      <c r="AA10" s="2627"/>
      <c r="AB10" s="2628">
        <f>人物卡!AD134</f>
        <v>0</v>
      </c>
      <c r="AC10" s="2627"/>
      <c r="AD10" s="2627"/>
      <c r="AE10" s="2660"/>
    </row>
    <row r="11" customHeight="1" spans="2:31">
      <c r="B11" s="2432" t="s">
        <v>165</v>
      </c>
      <c r="C11" s="2433"/>
      <c r="D11" s="2433"/>
      <c r="E11" s="2433"/>
      <c r="F11" s="2433"/>
      <c r="G11" s="2433"/>
      <c r="H11" s="2433"/>
      <c r="I11" s="2433"/>
      <c r="J11" s="2433"/>
      <c r="K11" s="2433"/>
      <c r="L11" s="2433"/>
      <c r="M11" s="2555"/>
      <c r="N11" s="2557" t="str">
        <f>IF(Q11=0,"",人物卡!F25)</f>
        <v/>
      </c>
      <c r="O11" s="2437"/>
      <c r="P11" s="2437"/>
      <c r="Q11" s="2590">
        <f>IF(人物卡!R25-人物卡!J25=0,0,人物卡!R25)</f>
        <v>0</v>
      </c>
      <c r="R11" s="2591">
        <f t="shared" si="0"/>
        <v>0</v>
      </c>
      <c r="S11" s="2592">
        <f t="shared" si="1"/>
        <v>0</v>
      </c>
      <c r="T11" s="2440" t="str">
        <f>IF(W11=0,"",人物卡!AB25)</f>
        <v/>
      </c>
      <c r="U11" s="2508"/>
      <c r="V11" s="2508"/>
      <c r="W11" s="2611">
        <f>IF(人物卡!AN25-人物卡!AF25=0,0,人物卡!AN25)</f>
        <v>0</v>
      </c>
      <c r="X11" s="2612">
        <f t="shared" si="2"/>
        <v>0</v>
      </c>
      <c r="Y11" s="2620">
        <f t="shared" si="3"/>
        <v>0</v>
      </c>
      <c r="Z11" s="2626">
        <f>人物卡!W135</f>
        <v>0</v>
      </c>
      <c r="AA11" s="2627"/>
      <c r="AB11" s="2628">
        <f>人物卡!AD135</f>
        <v>0</v>
      </c>
      <c r="AC11" s="2627"/>
      <c r="AD11" s="2627"/>
      <c r="AE11" s="2660"/>
    </row>
    <row r="12" customHeight="1" spans="2:31">
      <c r="B12" s="2453" t="str">
        <f>人物卡!B54</f>
        <v>无</v>
      </c>
      <c r="C12" s="2454" t="str">
        <f>人物卡!G54</f>
        <v>肉搏</v>
      </c>
      <c r="D12" s="2454" t="str">
        <f>人物卡!M54</f>
        <v>斗殴</v>
      </c>
      <c r="E12" s="2454">
        <f>人物卡!Q54</f>
        <v>25</v>
      </c>
      <c r="F12" s="2454">
        <f>人物卡!S54</f>
        <v>12</v>
      </c>
      <c r="G12" s="2454">
        <f>人物卡!U54</f>
        <v>5</v>
      </c>
      <c r="H12" s="2454" t="str">
        <f>人物卡!W54</f>
        <v>1D3+DB</v>
      </c>
      <c r="I12" s="2454" t="str">
        <f>人物卡!AA54</f>
        <v>——</v>
      </c>
      <c r="J12" s="2454" t="str">
        <f>人物卡!AC54</f>
        <v>×</v>
      </c>
      <c r="K12" s="2454">
        <f>人物卡!AE54</f>
        <v>1</v>
      </c>
      <c r="L12" s="2454" t="str">
        <f>人物卡!AG54</f>
        <v>——</v>
      </c>
      <c r="M12" s="2565" t="str">
        <f>人物卡!AJ54</f>
        <v>——</v>
      </c>
      <c r="N12" s="2557" t="str">
        <f>IF(Q12=0,"",人物卡!F26)</f>
        <v/>
      </c>
      <c r="O12" s="2437"/>
      <c r="P12" s="2437"/>
      <c r="Q12" s="2590">
        <f>IF(人物卡!R26-人物卡!J26=0,0,人物卡!R26)</f>
        <v>0</v>
      </c>
      <c r="R12" s="2591">
        <f t="shared" si="0"/>
        <v>0</v>
      </c>
      <c r="S12" s="2592">
        <f t="shared" si="1"/>
        <v>0</v>
      </c>
      <c r="T12" s="2440" t="str">
        <f>IF(W12=0,"",人物卡!AB26)</f>
        <v/>
      </c>
      <c r="U12" s="2508"/>
      <c r="V12" s="2508"/>
      <c r="W12" s="2611">
        <f>IF(人物卡!AN26-人物卡!AF26=0,0,人物卡!AN26)</f>
        <v>0</v>
      </c>
      <c r="X12" s="2612">
        <f t="shared" si="2"/>
        <v>0</v>
      </c>
      <c r="Y12" s="2620">
        <f t="shared" si="3"/>
        <v>0</v>
      </c>
      <c r="Z12" s="2626">
        <f>人物卡!W136</f>
        <v>0</v>
      </c>
      <c r="AA12" s="2627"/>
      <c r="AB12" s="2628">
        <f>人物卡!AD136</f>
        <v>0</v>
      </c>
      <c r="AC12" s="2627"/>
      <c r="AD12" s="2627"/>
      <c r="AE12" s="2660"/>
    </row>
    <row r="13" customHeight="1" spans="2:31">
      <c r="B13" s="2455" t="str">
        <f>人物卡!B55</f>
        <v>钢笔刀</v>
      </c>
      <c r="C13" s="2456" t="str">
        <f>人物卡!G55</f>
        <v>小型刀具(弹簧折叠刀等)</v>
      </c>
      <c r="D13" s="2456" t="str">
        <f>IF(人物卡!M55="请选择类型","",人物卡!M55)</f>
        <v>斗殴</v>
      </c>
      <c r="E13" s="2456">
        <f>人物卡!Q55</f>
        <v>25</v>
      </c>
      <c r="F13" s="2456">
        <f>人物卡!S55</f>
        <v>12</v>
      </c>
      <c r="G13" s="2456">
        <f>人物卡!U55</f>
        <v>5</v>
      </c>
      <c r="H13" s="2456" t="str">
        <f>人物卡!W55</f>
        <v>1D4+DB</v>
      </c>
      <c r="I13" s="2456" t="str">
        <f>人物卡!AA55</f>
        <v>接触</v>
      </c>
      <c r="J13" s="2456" t="str">
        <f>人物卡!AC55</f>
        <v>√</v>
      </c>
      <c r="K13" s="2456" t="str">
        <f>人物卡!AE55</f>
        <v>1</v>
      </c>
      <c r="L13" s="2456" t="str">
        <f>人物卡!AG55</f>
        <v>——</v>
      </c>
      <c r="M13" s="2566" t="str">
        <f>人物卡!AJ55</f>
        <v>——</v>
      </c>
      <c r="N13" s="2557" t="str">
        <f>人物卡!F27</f>
        <v>信用评级</v>
      </c>
      <c r="O13" s="2437"/>
      <c r="P13" s="2437"/>
      <c r="Q13" s="2593">
        <f>人物卡!R27</f>
        <v>20</v>
      </c>
      <c r="R13" s="2594">
        <f>IF(Q13=0,32767,INT(Q13/2))</f>
        <v>10</v>
      </c>
      <c r="S13" s="2595">
        <f>IF(Q13=0,32767,INT(Q13/5))</f>
        <v>4</v>
      </c>
      <c r="T13" s="2440" t="str">
        <f>IF(W13=0,"",人物卡!AB27)</f>
        <v/>
      </c>
      <c r="U13" s="2508"/>
      <c r="V13" s="2508"/>
      <c r="W13" s="2611">
        <f>IF(人物卡!AN27-人物卡!AF27=0,0,人物卡!AN27)</f>
        <v>0</v>
      </c>
      <c r="X13" s="2612">
        <f t="shared" si="2"/>
        <v>0</v>
      </c>
      <c r="Y13" s="2620">
        <f t="shared" si="3"/>
        <v>0</v>
      </c>
      <c r="Z13" s="2626">
        <f>人物卡!W137</f>
        <v>0</v>
      </c>
      <c r="AA13" s="2627"/>
      <c r="AB13" s="2628">
        <f>人物卡!AD137</f>
        <v>0</v>
      </c>
      <c r="AC13" s="2627"/>
      <c r="AD13" s="2627"/>
      <c r="AE13" s="2660"/>
    </row>
    <row r="14" customHeight="1" spans="2:31">
      <c r="B14" s="2457">
        <f>人物卡!B56</f>
        <v>0</v>
      </c>
      <c r="C14" s="2458">
        <f>人物卡!G56</f>
        <v>0</v>
      </c>
      <c r="D14" s="2458" t="str">
        <f>IF(人物卡!M56="请选择类型","",人物卡!M56)</f>
        <v>←请选择类型</v>
      </c>
      <c r="E14" s="2458" t="str">
        <f>人物卡!Q56</f>
        <v/>
      </c>
      <c r="F14" s="2458" t="str">
        <f>人物卡!S56</f>
        <v/>
      </c>
      <c r="G14" s="2458" t="str">
        <f>人物卡!U56</f>
        <v/>
      </c>
      <c r="H14" s="2458" t="str">
        <f>人物卡!W56</f>
        <v/>
      </c>
      <c r="I14" s="2458" t="str">
        <f>人物卡!AA56</f>
        <v/>
      </c>
      <c r="J14" s="2458" t="str">
        <f>人物卡!AC56</f>
        <v/>
      </c>
      <c r="K14" s="2458" t="str">
        <f>人物卡!AE56</f>
        <v/>
      </c>
      <c r="L14" s="2458" t="str">
        <f>人物卡!AG56</f>
        <v/>
      </c>
      <c r="M14" s="2567" t="str">
        <f>人物卡!AJ56</f>
        <v/>
      </c>
      <c r="N14" s="2557" t="str">
        <f>IF(Q14=0,"",人物卡!F28)</f>
        <v/>
      </c>
      <c r="O14" s="2437"/>
      <c r="P14" s="2437"/>
      <c r="Q14" s="2590">
        <f>IF(人物卡!R28-人物卡!J28=0,0,人物卡!R28)</f>
        <v>0</v>
      </c>
      <c r="R14" s="2591">
        <f t="shared" ref="R14:R35" si="5">INT(Q14/2)</f>
        <v>0</v>
      </c>
      <c r="S14" s="2592">
        <f t="shared" ref="S14:S35" si="6">INT(Q14/5)</f>
        <v>0</v>
      </c>
      <c r="T14" s="2596">
        <f>IF(W14=0,0,人物卡!AB28)</f>
        <v>0</v>
      </c>
      <c r="U14" s="2440" t="str">
        <f>IF(T14=0,"",人物卡!AD28)</f>
        <v/>
      </c>
      <c r="V14" s="2508"/>
      <c r="W14" s="2611">
        <f>IF(人物卡!AN28-人物卡!AF28=0,0,人物卡!AN28)</f>
        <v>0</v>
      </c>
      <c r="X14" s="2612">
        <f t="shared" si="2"/>
        <v>0</v>
      </c>
      <c r="Y14" s="2620">
        <f t="shared" si="3"/>
        <v>0</v>
      </c>
      <c r="Z14" s="2626">
        <f>人物卡!W138</f>
        <v>0</v>
      </c>
      <c r="AA14" s="2627"/>
      <c r="AB14" s="2628">
        <f>人物卡!AD138</f>
        <v>0</v>
      </c>
      <c r="AC14" s="2627"/>
      <c r="AD14" s="2627"/>
      <c r="AE14" s="2660"/>
    </row>
    <row r="15" customHeight="1" spans="2:31">
      <c r="B15" s="2455">
        <f>人物卡!B57</f>
        <v>0</v>
      </c>
      <c r="C15" s="2456">
        <f>人物卡!G57</f>
        <v>0</v>
      </c>
      <c r="D15" s="2456" t="str">
        <f>IF(人物卡!M57="请选择类型","",人物卡!M57)</f>
        <v/>
      </c>
      <c r="E15" s="2456" t="str">
        <f>人物卡!Q57</f>
        <v/>
      </c>
      <c r="F15" s="2456" t="str">
        <f>人物卡!S57</f>
        <v/>
      </c>
      <c r="G15" s="2456" t="str">
        <f>人物卡!U57</f>
        <v/>
      </c>
      <c r="H15" s="2456" t="str">
        <f>人物卡!W57</f>
        <v/>
      </c>
      <c r="I15" s="2456" t="str">
        <f>人物卡!AA57</f>
        <v/>
      </c>
      <c r="J15" s="2456" t="str">
        <f>人物卡!AC57</f>
        <v/>
      </c>
      <c r="K15" s="2456" t="str">
        <f>人物卡!AE57</f>
        <v/>
      </c>
      <c r="L15" s="2456" t="str">
        <f>人物卡!AG57</f>
        <v/>
      </c>
      <c r="M15" s="2566" t="str">
        <f>人物卡!AJ57</f>
        <v/>
      </c>
      <c r="N15" s="2557" t="str">
        <f>IF(Q15=0,"",人物卡!F29)</f>
        <v/>
      </c>
      <c r="O15" s="2437"/>
      <c r="P15" s="2437"/>
      <c r="Q15" s="2590">
        <f>IF(人物卡!R29-人物卡!J29=0,0,人物卡!R29)</f>
        <v>0</v>
      </c>
      <c r="R15" s="2591">
        <f t="shared" si="5"/>
        <v>0</v>
      </c>
      <c r="S15" s="2592">
        <f t="shared" si="6"/>
        <v>0</v>
      </c>
      <c r="T15" s="2440" t="str">
        <f>IF(W15=0,"",人物卡!AB29)</f>
        <v/>
      </c>
      <c r="U15" s="2508"/>
      <c r="V15" s="2508"/>
      <c r="W15" s="2611">
        <f>IF(人物卡!AN29-人物卡!AF29=0,0,人物卡!AN29)</f>
        <v>0</v>
      </c>
      <c r="X15" s="2612">
        <f t="shared" si="2"/>
        <v>0</v>
      </c>
      <c r="Y15" s="2620">
        <f t="shared" si="3"/>
        <v>0</v>
      </c>
      <c r="Z15" s="2626">
        <f>人物卡!W139</f>
        <v>0</v>
      </c>
      <c r="AA15" s="2627"/>
      <c r="AB15" s="2628">
        <f>人物卡!AD139</f>
        <v>0</v>
      </c>
      <c r="AC15" s="2627"/>
      <c r="AD15" s="2627"/>
      <c r="AE15" s="2660"/>
    </row>
    <row r="16" customHeight="1" spans="2:31">
      <c r="B16" s="2457">
        <f>人物卡!B58</f>
        <v>0</v>
      </c>
      <c r="C16" s="2458">
        <f>人物卡!G58</f>
        <v>0</v>
      </c>
      <c r="D16" s="2458">
        <f>IF(人物卡!M58="请选择类型","",人物卡!M58)</f>
        <v>0</v>
      </c>
      <c r="E16" s="2458">
        <f>人物卡!Q58</f>
        <v>0</v>
      </c>
      <c r="F16" s="2458">
        <f>人物卡!S58</f>
        <v>0</v>
      </c>
      <c r="G16" s="2458">
        <f>人物卡!U58</f>
        <v>0</v>
      </c>
      <c r="H16" s="2458">
        <f>人物卡!W58</f>
        <v>0</v>
      </c>
      <c r="I16" s="2458">
        <f>人物卡!AA58</f>
        <v>0</v>
      </c>
      <c r="J16" s="2458">
        <f>人物卡!AC58</f>
        <v>0</v>
      </c>
      <c r="K16" s="2458">
        <f>人物卡!AE58</f>
        <v>0</v>
      </c>
      <c r="L16" s="2458">
        <f>人物卡!AG58</f>
        <v>0</v>
      </c>
      <c r="M16" s="2567">
        <f>人物卡!AJ58</f>
        <v>0</v>
      </c>
      <c r="N16" s="2557" t="str">
        <f>人物卡!F30</f>
        <v>闪避</v>
      </c>
      <c r="O16" s="2437"/>
      <c r="P16" s="2437"/>
      <c r="Q16" s="2593">
        <f>人物卡!R30</f>
        <v>60</v>
      </c>
      <c r="R16" s="2594">
        <f>IF(Q16=0,32767,INT(Q16/2))</f>
        <v>30</v>
      </c>
      <c r="S16" s="2595">
        <f>IF(Q16=0,32767,INT(Q16/5))</f>
        <v>12</v>
      </c>
      <c r="T16" s="2440" t="str">
        <f>IF(W16=0,"",人物卡!AB30)</f>
        <v>心理学</v>
      </c>
      <c r="U16" s="2508"/>
      <c r="V16" s="2508"/>
      <c r="W16" s="2611">
        <f>IF(人物卡!AN30-人物卡!AF30=0,0,人物卡!AN30)</f>
        <v>60</v>
      </c>
      <c r="X16" s="2612">
        <f t="shared" si="2"/>
        <v>30</v>
      </c>
      <c r="Y16" s="2620">
        <f t="shared" si="3"/>
        <v>12</v>
      </c>
      <c r="Z16" s="2626">
        <f>人物卡!W140</f>
        <v>0</v>
      </c>
      <c r="AA16" s="2627"/>
      <c r="AB16" s="2628">
        <f>人物卡!AD140</f>
        <v>0</v>
      </c>
      <c r="AC16" s="2627"/>
      <c r="AD16" s="2627"/>
      <c r="AE16" s="2660"/>
    </row>
    <row r="17" customHeight="1" spans="2:31">
      <c r="B17" s="2432" t="s">
        <v>186</v>
      </c>
      <c r="C17" s="2433"/>
      <c r="D17" s="2433"/>
      <c r="E17" s="2433"/>
      <c r="F17" s="2433"/>
      <c r="G17" s="2433"/>
      <c r="H17" s="2433"/>
      <c r="I17" s="2433"/>
      <c r="J17" s="2433"/>
      <c r="K17" s="2433"/>
      <c r="L17" s="2433"/>
      <c r="M17" s="2555"/>
      <c r="N17" s="2435" t="str">
        <f>IF(Q17=0,"",人物卡!F31)</f>
        <v/>
      </c>
      <c r="O17" s="2437"/>
      <c r="P17" s="2437"/>
      <c r="Q17" s="2590">
        <f>IF(人物卡!R31-人物卡!J31=0,0,人物卡!R31)</f>
        <v>0</v>
      </c>
      <c r="R17" s="2591">
        <f t="shared" si="5"/>
        <v>0</v>
      </c>
      <c r="S17" s="2592">
        <f t="shared" si="6"/>
        <v>0</v>
      </c>
      <c r="T17" s="2440" t="str">
        <f>IF(W17=0,"",人物卡!AB31)</f>
        <v/>
      </c>
      <c r="U17" s="2508"/>
      <c r="V17" s="2508"/>
      <c r="W17" s="2611">
        <f>IF(人物卡!AN31-人物卡!AF31=0,0,人物卡!AN31)</f>
        <v>0</v>
      </c>
      <c r="X17" s="2612">
        <f t="shared" si="2"/>
        <v>0</v>
      </c>
      <c r="Y17" s="2620">
        <f t="shared" si="3"/>
        <v>0</v>
      </c>
      <c r="Z17" s="2629">
        <f>人物卡!W141</f>
        <v>0</v>
      </c>
      <c r="AA17" s="2630"/>
      <c r="AB17" s="2631">
        <f>人物卡!AD141</f>
        <v>0</v>
      </c>
      <c r="AC17" s="2630"/>
      <c r="AD17" s="2630"/>
      <c r="AE17" s="2661"/>
    </row>
    <row r="18" customHeight="1" spans="2:31">
      <c r="B18" s="2459" t="s">
        <v>102</v>
      </c>
      <c r="C18" s="2460"/>
      <c r="D18" s="2460"/>
      <c r="E18" s="2526" t="s">
        <v>188</v>
      </c>
      <c r="F18" s="2460"/>
      <c r="G18" s="2526" t="s">
        <v>189</v>
      </c>
      <c r="H18" s="2460"/>
      <c r="I18" s="2526" t="s">
        <v>190</v>
      </c>
      <c r="J18" s="2460"/>
      <c r="K18" s="2526" t="s">
        <v>191</v>
      </c>
      <c r="L18" s="2460"/>
      <c r="M18" s="2568" t="s">
        <v>192</v>
      </c>
      <c r="N18" s="2435" t="str">
        <f>IF(Q18=0,"",人物卡!F32)</f>
        <v/>
      </c>
      <c r="O18" s="2437"/>
      <c r="P18" s="2437"/>
      <c r="Q18" s="2590">
        <f>IF(人物卡!R32-人物卡!J32=0,0,人物卡!R32)</f>
        <v>0</v>
      </c>
      <c r="R18" s="2591">
        <f t="shared" si="5"/>
        <v>0</v>
      </c>
      <c r="S18" s="2592">
        <f t="shared" si="6"/>
        <v>0</v>
      </c>
      <c r="T18" s="2596">
        <f t="shared" ref="T18:T20" si="7">IF(W18=0,0,"科学：")</f>
        <v>0</v>
      </c>
      <c r="U18" s="2440" t="str">
        <f>IF(T18=0,"",人物卡!AD32)</f>
        <v/>
      </c>
      <c r="V18" s="2508"/>
      <c r="W18" s="2611">
        <f>IF(人物卡!AN32-人物卡!AF32=0,0,人物卡!AN32)</f>
        <v>0</v>
      </c>
      <c r="X18" s="2612">
        <f t="shared" si="2"/>
        <v>0</v>
      </c>
      <c r="Y18" s="2620">
        <f t="shared" si="3"/>
        <v>0</v>
      </c>
      <c r="Z18" s="2490"/>
      <c r="AA18" s="2491"/>
      <c r="AB18" s="2491"/>
      <c r="AC18" s="2491"/>
      <c r="AD18" s="2491"/>
      <c r="AE18" s="2643"/>
    </row>
    <row r="19" customHeight="1" spans="2:31">
      <c r="B19" s="2461" t="str">
        <f>人物卡!B63</f>
        <v>20%/10%/4%</v>
      </c>
      <c r="C19" s="2462"/>
      <c r="D19" s="2462"/>
      <c r="E19" s="2492" t="str">
        <f>人物卡!F63</f>
        <v>标准</v>
      </c>
      <c r="F19" s="2462"/>
      <c r="G19" s="2492">
        <f>人物卡!I63</f>
        <v>10</v>
      </c>
      <c r="H19" s="2462"/>
      <c r="I19" s="2492" t="str">
        <f>人物卡!L63</f>
        <v>没有</v>
      </c>
      <c r="J19" s="2462"/>
      <c r="K19" s="2492">
        <f>人物卡!O63</f>
        <v>10</v>
      </c>
      <c r="L19" s="2462"/>
      <c r="M19" s="2569" t="str">
        <f>人物卡!S63</f>
        <v>美元</v>
      </c>
      <c r="N19" s="2435" t="str">
        <f>IF(Q19=0,"",人物卡!F33)</f>
        <v/>
      </c>
      <c r="O19" s="2437"/>
      <c r="P19" s="2437"/>
      <c r="Q19" s="2590">
        <f>IF(人物卡!R33-人物卡!J33=0,0,人物卡!R33)</f>
        <v>0</v>
      </c>
      <c r="R19" s="2591">
        <f t="shared" si="5"/>
        <v>0</v>
      </c>
      <c r="S19" s="2592">
        <f t="shared" si="6"/>
        <v>0</v>
      </c>
      <c r="T19" s="2596">
        <f t="shared" si="7"/>
        <v>0</v>
      </c>
      <c r="U19" s="2440" t="str">
        <f>IF(T19=0,"",人物卡!AD33)</f>
        <v/>
      </c>
      <c r="V19" s="2508"/>
      <c r="W19" s="2611">
        <f>IF(人物卡!AN33-人物卡!AF33=0,0,人物卡!AN33)</f>
        <v>0</v>
      </c>
      <c r="X19" s="2612">
        <f t="shared" si="2"/>
        <v>0</v>
      </c>
      <c r="Y19" s="2620">
        <f t="shared" si="3"/>
        <v>0</v>
      </c>
      <c r="Z19" s="2490"/>
      <c r="AA19" s="2491"/>
      <c r="AB19" s="2491"/>
      <c r="AC19" s="2491"/>
      <c r="AD19" s="2491"/>
      <c r="AE19" s="2643"/>
    </row>
    <row r="20" customHeight="1" spans="2:31">
      <c r="B20" s="2463" t="str">
        <f>人物卡!L64</f>
        <v>请在这里详述你的资产</v>
      </c>
      <c r="C20" s="2464"/>
      <c r="D20" s="2464"/>
      <c r="E20" s="2464"/>
      <c r="F20" s="2464"/>
      <c r="G20" s="2464"/>
      <c r="H20" s="2464"/>
      <c r="I20" s="2464"/>
      <c r="J20" s="2464"/>
      <c r="K20" s="2464"/>
      <c r="L20" s="2464"/>
      <c r="M20" s="2570"/>
      <c r="N20" s="2435" t="str">
        <f>IF(Q20=0,"",人物卡!F34)</f>
        <v>话术</v>
      </c>
      <c r="O20" s="2437"/>
      <c r="P20" s="2437"/>
      <c r="Q20" s="2590">
        <f>IF(人物卡!R34-人物卡!J34=0,0,人物卡!R34)</f>
        <v>70</v>
      </c>
      <c r="R20" s="2591">
        <f t="shared" si="5"/>
        <v>35</v>
      </c>
      <c r="S20" s="2592">
        <f t="shared" si="6"/>
        <v>14</v>
      </c>
      <c r="T20" s="2596">
        <f t="shared" si="7"/>
        <v>0</v>
      </c>
      <c r="U20" s="2440" t="str">
        <f>IF(T20=0,"",人物卡!AD34)</f>
        <v/>
      </c>
      <c r="V20" s="2508"/>
      <c r="W20" s="2611">
        <f>IF(人物卡!AN34-人物卡!AF34=0,0,人物卡!AN34)</f>
        <v>0</v>
      </c>
      <c r="X20" s="2612">
        <f t="shared" si="2"/>
        <v>0</v>
      </c>
      <c r="Y20" s="2620">
        <f t="shared" si="3"/>
        <v>0</v>
      </c>
      <c r="Z20" s="2498"/>
      <c r="AA20" s="2499"/>
      <c r="AB20" s="2499"/>
      <c r="AC20" s="2499"/>
      <c r="AD20" s="2499"/>
      <c r="AE20" s="2662"/>
    </row>
    <row r="21" customHeight="1" spans="2:31">
      <c r="B21" s="2465"/>
      <c r="C21" s="2466"/>
      <c r="D21" s="2466"/>
      <c r="E21" s="2466"/>
      <c r="F21" s="2466"/>
      <c r="G21" s="2466"/>
      <c r="H21" s="2466"/>
      <c r="I21" s="2466"/>
      <c r="J21" s="2466"/>
      <c r="K21" s="2466"/>
      <c r="L21" s="2466"/>
      <c r="M21" s="2571"/>
      <c r="N21" s="2572">
        <f t="shared" ref="N21:N24" si="8">IF(Q21=0,0,"格斗：")</f>
        <v>0</v>
      </c>
      <c r="O21" s="2435" t="str">
        <f>IF(N21=0,"",人物卡!H35)</f>
        <v/>
      </c>
      <c r="P21" s="2437"/>
      <c r="Q21" s="2590">
        <f>IF(人物卡!R35-人物卡!J35=0,0,人物卡!R35)</f>
        <v>0</v>
      </c>
      <c r="R21" s="2591">
        <f t="shared" si="5"/>
        <v>0</v>
      </c>
      <c r="S21" s="2592">
        <f t="shared" si="6"/>
        <v>0</v>
      </c>
      <c r="T21" s="2440" t="str">
        <f>IF(W21=0,"",人物卡!AB35)</f>
        <v/>
      </c>
      <c r="U21" s="2508"/>
      <c r="V21" s="2508"/>
      <c r="W21" s="2611">
        <f>IF(人物卡!AN35-人物卡!AF35=0,0,人物卡!AN35)</f>
        <v>0</v>
      </c>
      <c r="X21" s="2612">
        <f t="shared" si="2"/>
        <v>0</v>
      </c>
      <c r="Y21" s="2620">
        <f t="shared" si="3"/>
        <v>0</v>
      </c>
      <c r="Z21" s="2621" t="s">
        <v>251</v>
      </c>
      <c r="AA21" s="2622"/>
      <c r="AB21" s="2622"/>
      <c r="AC21" s="2622"/>
      <c r="AD21" s="2622"/>
      <c r="AE21" s="2658"/>
    </row>
    <row r="22" customHeight="1" spans="2:31">
      <c r="B22" s="2432" t="s">
        <v>363</v>
      </c>
      <c r="C22" s="2433"/>
      <c r="D22" s="2433"/>
      <c r="E22" s="2433"/>
      <c r="F22" s="2433"/>
      <c r="G22" s="2433"/>
      <c r="H22" s="2433"/>
      <c r="I22" s="2433"/>
      <c r="J22" s="2433"/>
      <c r="K22" s="2433"/>
      <c r="L22" s="2433"/>
      <c r="M22" s="2555"/>
      <c r="N22" s="2562">
        <f t="shared" si="8"/>
        <v>0</v>
      </c>
      <c r="O22" s="2435" t="str">
        <f>IF(N22=0,"",人物卡!H36)</f>
        <v/>
      </c>
      <c r="P22" s="2437"/>
      <c r="Q22" s="2590">
        <f>IF(人物卡!R36-人物卡!J36=0,0,人物卡!R36)</f>
        <v>0</v>
      </c>
      <c r="R22" s="2591">
        <f t="shared" si="5"/>
        <v>0</v>
      </c>
      <c r="S22" s="2592">
        <f t="shared" si="6"/>
        <v>0</v>
      </c>
      <c r="T22" s="2440" t="str">
        <f>IF(W22=0,"",人物卡!AB36)</f>
        <v>侦查</v>
      </c>
      <c r="U22" s="2508"/>
      <c r="V22" s="2508"/>
      <c r="W22" s="2611">
        <f>IF(人物卡!AN36-人物卡!AF36=0,0,人物卡!AN36)</f>
        <v>80</v>
      </c>
      <c r="X22" s="2612">
        <f t="shared" si="2"/>
        <v>40</v>
      </c>
      <c r="Y22" s="2620">
        <f t="shared" si="3"/>
        <v>16</v>
      </c>
      <c r="Z22" s="2632" t="s">
        <v>257</v>
      </c>
      <c r="AA22" s="2633"/>
      <c r="AB22" s="2633"/>
      <c r="AC22" s="2633"/>
      <c r="AD22" s="2663" t="s">
        <v>364</v>
      </c>
      <c r="AE22" s="2664"/>
    </row>
    <row r="23" customHeight="1" spans="2:31">
      <c r="B23" s="2467" t="str">
        <f>人物卡!F80</f>
        <v>炭黑色大衣</v>
      </c>
      <c r="C23" s="2468"/>
      <c r="D23" s="2468"/>
      <c r="E23" s="2468" t="str">
        <f>人物卡!F81</f>
        <v>炭黑色大衣</v>
      </c>
      <c r="F23" s="2468"/>
      <c r="G23" s="2468"/>
      <c r="H23" s="2468" t="str">
        <f>人物卡!F82</f>
        <v>炭黑色大衣</v>
      </c>
      <c r="I23" s="2468"/>
      <c r="J23" s="2468"/>
      <c r="K23" s="2468" t="str">
        <f>人物卡!F83</f>
        <v>炭黑色大衣</v>
      </c>
      <c r="L23" s="2468"/>
      <c r="M23" s="2573"/>
      <c r="N23" s="2562">
        <f t="shared" si="8"/>
        <v>0</v>
      </c>
      <c r="O23" s="2435" t="str">
        <f>IF(N23=0,"",人物卡!H37)</f>
        <v/>
      </c>
      <c r="P23" s="2437"/>
      <c r="Q23" s="2590">
        <f>IF(人物卡!R37-人物卡!J37=0,0,人物卡!R37)</f>
        <v>0</v>
      </c>
      <c r="R23" s="2591">
        <f t="shared" si="5"/>
        <v>0</v>
      </c>
      <c r="S23" s="2592">
        <f t="shared" si="6"/>
        <v>0</v>
      </c>
      <c r="T23" s="2440" t="str">
        <f>IF(W23=0,"",人物卡!AB37)</f>
        <v>潜行</v>
      </c>
      <c r="U23" s="2508"/>
      <c r="V23" s="2508"/>
      <c r="W23" s="2611">
        <f>IF(人物卡!AN37-人物卡!AF37=0,0,人物卡!AN37)</f>
        <v>60</v>
      </c>
      <c r="X23" s="2612">
        <f t="shared" si="2"/>
        <v>30</v>
      </c>
      <c r="Y23" s="2620">
        <f t="shared" si="3"/>
        <v>12</v>
      </c>
      <c r="Z23" s="2469" t="str">
        <f>人物卡!W99</f>
        <v>例：米-戈</v>
      </c>
      <c r="AA23" s="2470"/>
      <c r="AB23" s="2470"/>
      <c r="AC23" s="2470"/>
      <c r="AD23" s="2527">
        <f>人物卡!AR99</f>
        <v>6</v>
      </c>
      <c r="AE23" s="2574"/>
    </row>
    <row r="24" customHeight="1" spans="2:31">
      <c r="B24" s="2469" t="str">
        <f>人物卡!F84</f>
        <v>中灰色西装裤</v>
      </c>
      <c r="C24" s="2470"/>
      <c r="D24" s="2470"/>
      <c r="E24" s="2527" t="str">
        <f>人物卡!F85</f>
        <v>西装马甲内侧</v>
      </c>
      <c r="F24" s="2470"/>
      <c r="G24" s="2470"/>
      <c r="H24" s="2527" t="str">
        <f>人物卡!F86</f>
        <v>衬衫内帖胸口处</v>
      </c>
      <c r="I24" s="2470"/>
      <c r="J24" s="2470"/>
      <c r="K24" s="2527">
        <f>人物卡!F91</f>
        <v>0</v>
      </c>
      <c r="L24" s="2470"/>
      <c r="M24" s="2574"/>
      <c r="N24" s="2562">
        <f t="shared" si="8"/>
        <v>0</v>
      </c>
      <c r="O24" s="2435" t="str">
        <f>IF(N24=0,"",人物卡!H38)</f>
        <v/>
      </c>
      <c r="P24" s="2437"/>
      <c r="Q24" s="2590">
        <f>IF(人物卡!R38-人物卡!J38=0,0,人物卡!R38)</f>
        <v>0</v>
      </c>
      <c r="R24" s="2591">
        <f t="shared" si="5"/>
        <v>0</v>
      </c>
      <c r="S24" s="2592">
        <f t="shared" si="6"/>
        <v>0</v>
      </c>
      <c r="T24" s="2596">
        <f>IF(W24=0,0,人物卡!AB38)</f>
        <v>0</v>
      </c>
      <c r="U24" s="2440" t="str">
        <f>IF(T24=0,"",人物卡!AD38)</f>
        <v/>
      </c>
      <c r="V24" s="2508"/>
      <c r="W24" s="2611">
        <f>IF(人物卡!AN38-人物卡!AF38=0,0,人物卡!AN38)</f>
        <v>0</v>
      </c>
      <c r="X24" s="2612">
        <f t="shared" si="2"/>
        <v>0</v>
      </c>
      <c r="Y24" s="2620">
        <f t="shared" si="3"/>
        <v>0</v>
      </c>
      <c r="Z24" s="2469" t="str">
        <f>人物卡!W100</f>
        <v>例：修格斯</v>
      </c>
      <c r="AA24" s="2470"/>
      <c r="AB24" s="2470"/>
      <c r="AC24" s="2470"/>
      <c r="AD24" s="2527">
        <f>人物卡!AR100</f>
        <v>5</v>
      </c>
      <c r="AE24" s="2574"/>
    </row>
    <row r="25" customHeight="1" spans="2:31">
      <c r="B25" s="2467">
        <f>人物卡!F92</f>
        <v>0</v>
      </c>
      <c r="C25" s="2468"/>
      <c r="D25" s="2468"/>
      <c r="E25" s="2468">
        <f>人物卡!F93</f>
        <v>0</v>
      </c>
      <c r="F25" s="2468"/>
      <c r="G25" s="2468"/>
      <c r="H25" s="2468" t="str">
        <f>人物卡!N80</f>
        <v>小型黄铜望远镜</v>
      </c>
      <c r="I25" s="2468"/>
      <c r="J25" s="2468"/>
      <c r="K25" s="2468" t="str">
        <f>人物卡!N81</f>
        <v>便签本、钢笔刀</v>
      </c>
      <c r="L25" s="2468"/>
      <c r="M25" s="2573"/>
      <c r="N25" s="2562">
        <f t="shared" ref="N25:N28" si="9">IF(Q25=0,0,"射击：")</f>
        <v>0</v>
      </c>
      <c r="O25" s="2435" t="str">
        <f>IF(N25=0,"",人物卡!H39)</f>
        <v/>
      </c>
      <c r="P25" s="2437"/>
      <c r="Q25" s="2590">
        <f>IF(人物卡!R39-人物卡!J39=0,0,人物卡!R39)</f>
        <v>0</v>
      </c>
      <c r="R25" s="2591">
        <f t="shared" si="5"/>
        <v>0</v>
      </c>
      <c r="S25" s="2592">
        <f t="shared" si="6"/>
        <v>0</v>
      </c>
      <c r="T25" s="2440" t="str">
        <f>IF(W25=0,"",人物卡!AB39)</f>
        <v/>
      </c>
      <c r="U25" s="2508"/>
      <c r="V25" s="2508"/>
      <c r="W25" s="2611">
        <f>IF(人物卡!AN39-人物卡!AF39=0,0,人物卡!AN39)</f>
        <v>0</v>
      </c>
      <c r="X25" s="2612">
        <f t="shared" si="2"/>
        <v>0</v>
      </c>
      <c r="Y25" s="2620">
        <f t="shared" si="3"/>
        <v>0</v>
      </c>
      <c r="Z25" s="2469">
        <f>人物卡!W101</f>
        <v>0</v>
      </c>
      <c r="AA25" s="2470"/>
      <c r="AB25" s="2470"/>
      <c r="AC25" s="2470"/>
      <c r="AD25" s="2527">
        <f>人物卡!AR101</f>
        <v>0</v>
      </c>
      <c r="AE25" s="2574"/>
    </row>
    <row r="26" customHeight="1" spans="2:31">
      <c r="B26" s="2469" t="str">
        <f>人物卡!N82</f>
        <v>绣字手帕</v>
      </c>
      <c r="C26" s="2470"/>
      <c r="D26" s="2470"/>
      <c r="E26" s="2527" t="str">
        <f>人物卡!N83</f>
        <v>钱包</v>
      </c>
      <c r="F26" s="2470"/>
      <c r="G26" s="2470"/>
      <c r="H26" s="2527" t="str">
        <f>人物卡!N84</f>
        <v>精致烟盒和打火机</v>
      </c>
      <c r="I26" s="2470"/>
      <c r="J26" s="2470"/>
      <c r="K26" s="2527" t="str">
        <f>人物卡!N85</f>
        <v>一对昂贵的宝石耳环</v>
      </c>
      <c r="L26" s="2470"/>
      <c r="M26" s="2574"/>
      <c r="N26" s="2562">
        <f t="shared" si="9"/>
        <v>0</v>
      </c>
      <c r="O26" s="2435" t="str">
        <f>IF(N26=0,"",人物卡!H40)</f>
        <v/>
      </c>
      <c r="P26" s="2437"/>
      <c r="Q26" s="2590">
        <f>IF(人物卡!R40-人物卡!J40=0,0,人物卡!R40)</f>
        <v>0</v>
      </c>
      <c r="R26" s="2591">
        <f t="shared" si="5"/>
        <v>0</v>
      </c>
      <c r="S26" s="2592">
        <f t="shared" si="6"/>
        <v>0</v>
      </c>
      <c r="T26" s="2440" t="str">
        <f>IF(W26=0,"",人物卡!AB40)</f>
        <v/>
      </c>
      <c r="U26" s="2508"/>
      <c r="V26" s="2508"/>
      <c r="W26" s="2611">
        <f>IF(人物卡!AN40-人物卡!AF40=0,0,人物卡!AN40)</f>
        <v>0</v>
      </c>
      <c r="X26" s="2612">
        <f t="shared" si="2"/>
        <v>0</v>
      </c>
      <c r="Y26" s="2620">
        <f t="shared" si="3"/>
        <v>0</v>
      </c>
      <c r="Z26" s="2469">
        <f>人物卡!W102</f>
        <v>0</v>
      </c>
      <c r="AA26" s="2470"/>
      <c r="AB26" s="2470"/>
      <c r="AC26" s="2470"/>
      <c r="AD26" s="2527">
        <f>人物卡!AR102</f>
        <v>0</v>
      </c>
      <c r="AE26" s="2574"/>
    </row>
    <row r="27" customHeight="1" spans="2:31">
      <c r="B27" s="2471" t="str">
        <f>人物卡!N86</f>
        <v>凯瑟琳的银项链</v>
      </c>
      <c r="C27" s="2472"/>
      <c r="D27" s="2472"/>
      <c r="E27" s="2472">
        <f>人物卡!N91</f>
        <v>0</v>
      </c>
      <c r="F27" s="2472"/>
      <c r="G27" s="2472"/>
      <c r="H27" s="2472">
        <f>人物卡!N92</f>
        <v>0</v>
      </c>
      <c r="I27" s="2472"/>
      <c r="J27" s="2472"/>
      <c r="K27" s="2472">
        <f>人物卡!N93</f>
        <v>0</v>
      </c>
      <c r="L27" s="2472"/>
      <c r="M27" s="2575"/>
      <c r="N27" s="2562">
        <f t="shared" si="9"/>
        <v>0</v>
      </c>
      <c r="O27" s="2435" t="str">
        <f>IF(N27=0,"",人物卡!H41)</f>
        <v/>
      </c>
      <c r="P27" s="2437"/>
      <c r="Q27" s="2590">
        <f>IF(人物卡!R41-人物卡!J41=0,0,人物卡!R41)</f>
        <v>0</v>
      </c>
      <c r="R27" s="2591">
        <f t="shared" si="5"/>
        <v>0</v>
      </c>
      <c r="S27" s="2592">
        <f t="shared" si="6"/>
        <v>0</v>
      </c>
      <c r="T27" s="2440" t="str">
        <f>IF(W27=0,"",人物卡!AB41)</f>
        <v/>
      </c>
      <c r="U27" s="2508"/>
      <c r="V27" s="2508"/>
      <c r="W27" s="2611">
        <f>IF(人物卡!AN41-人物卡!AF41=0,0,人物卡!AN41)</f>
        <v>0</v>
      </c>
      <c r="X27" s="2612">
        <f t="shared" si="2"/>
        <v>0</v>
      </c>
      <c r="Y27" s="2620">
        <f t="shared" si="3"/>
        <v>0</v>
      </c>
      <c r="Z27" s="2469">
        <f>人物卡!W103</f>
        <v>0</v>
      </c>
      <c r="AA27" s="2470"/>
      <c r="AB27" s="2470"/>
      <c r="AC27" s="2470"/>
      <c r="AD27" s="2527">
        <f>人物卡!AR103</f>
        <v>0</v>
      </c>
      <c r="AE27" s="2574"/>
    </row>
    <row r="28" customHeight="1" spans="2:31">
      <c r="B28" s="2473" t="s">
        <v>187</v>
      </c>
      <c r="C28" s="2474"/>
      <c r="D28" s="2474"/>
      <c r="E28" s="2474"/>
      <c r="F28" s="2474"/>
      <c r="G28" s="2474"/>
      <c r="H28" s="2474"/>
      <c r="I28" s="2474"/>
      <c r="J28" s="2474"/>
      <c r="K28" s="2474"/>
      <c r="L28" s="2474"/>
      <c r="M28" s="2576"/>
      <c r="N28" s="2562">
        <f t="shared" si="9"/>
        <v>0</v>
      </c>
      <c r="O28" s="2435" t="str">
        <f>IF(N28=0,"",人物卡!H42)</f>
        <v/>
      </c>
      <c r="P28" s="2437"/>
      <c r="Q28" s="2590">
        <f>IF(人物卡!R42-人物卡!J42=0,0,人物卡!R42)</f>
        <v>0</v>
      </c>
      <c r="R28" s="2591">
        <f t="shared" si="5"/>
        <v>0</v>
      </c>
      <c r="S28" s="2592">
        <f t="shared" si="6"/>
        <v>0</v>
      </c>
      <c r="T28" s="2440" t="str">
        <f>IF(W28=0,"",人物卡!AB42)</f>
        <v/>
      </c>
      <c r="U28" s="2508"/>
      <c r="V28" s="2508"/>
      <c r="W28" s="2611">
        <f>IF(人物卡!AN42-人物卡!AF42=0,0,人物卡!AN42)</f>
        <v>0</v>
      </c>
      <c r="X28" s="2612">
        <f t="shared" si="2"/>
        <v>0</v>
      </c>
      <c r="Y28" s="2620">
        <f t="shared" si="3"/>
        <v>0</v>
      </c>
      <c r="Z28" s="2469">
        <f>人物卡!W104</f>
        <v>0</v>
      </c>
      <c r="AA28" s="2470"/>
      <c r="AB28" s="2470"/>
      <c r="AC28" s="2470"/>
      <c r="AD28" s="2527">
        <f>人物卡!AR104</f>
        <v>0</v>
      </c>
      <c r="AE28" s="2574"/>
    </row>
    <row r="29" customHeight="1" spans="2:31">
      <c r="B29" s="2475" t="s">
        <v>365</v>
      </c>
      <c r="C29" s="2476" t="str">
        <f>人物卡!AA62</f>
        <v>高瘦，黑发蓝眼，英俊</v>
      </c>
      <c r="D29" s="2470"/>
      <c r="E29" s="2470"/>
      <c r="F29" s="2470"/>
      <c r="G29" s="2528" t="s">
        <v>366</v>
      </c>
      <c r="H29" s="2529" t="str">
        <f>人物卡!W80</f>
        <v>纽约港口漂浮着油污与垃圾的臭味，母亲凯瑟琳沉海自杀后，西奥多觉得又多了一丝血腥味。
她所有的不幸都源自西奥多酗酒、出轨、家暴的父亲，于是某一个冬日，喝醉的父亲“意外”从结冰的消防梯跌落而亡，警方以醉鬼失足草草结案。
凯瑟琳曾说他是最聪明的孩子，明年春天要送他去上学，到头来，却由社会这所最残酷的学校教会他察言观色、谎言求生，谁也不知道他的真实想法，而西奥多天生的智慧让他摸索到适合自己的道路，他成为了一名私家侦探。
区别于不满足现状的许多同行，西奥多无意成为福尔摩斯，反而沉迷捉奸事业，很乐意为女士们服务，偶尔不收钱，甚至倒贴。至于男委托人，请付双倍报酬。
因为职业与过分英俊的外表，他有时也会卷入一些麻烦。
但没关系，凯瑟琳的银项链一直在他的心口处。
上帝不会保佑他，凯瑟琳会。</v>
      </c>
      <c r="I29" s="2529"/>
      <c r="J29" s="2529"/>
      <c r="K29" s="2529"/>
      <c r="L29" s="2529"/>
      <c r="M29" s="2577"/>
      <c r="N29" s="2557" t="str">
        <f>IF(Q29=0,"",人物卡!F43)</f>
        <v/>
      </c>
      <c r="O29" s="2437"/>
      <c r="P29" s="2437"/>
      <c r="Q29" s="2590">
        <f>IF(人物卡!R43-人物卡!J43=0,0,人物卡!R43)</f>
        <v>0</v>
      </c>
      <c r="R29" s="2591">
        <f t="shared" si="5"/>
        <v>0</v>
      </c>
      <c r="S29" s="2592">
        <f t="shared" si="6"/>
        <v>0</v>
      </c>
      <c r="T29" s="2440" t="str">
        <f>IF(W29=0,"",人物卡!AB48)</f>
        <v/>
      </c>
      <c r="U29" s="2508"/>
      <c r="V29" s="2508"/>
      <c r="W29" s="2611">
        <f>IF(人物卡!AN43-人物卡!AF43=0,0,人物卡!AN43)</f>
        <v>0</v>
      </c>
      <c r="X29" s="2612">
        <f t="shared" si="2"/>
        <v>0</v>
      </c>
      <c r="Y29" s="2620">
        <f t="shared" si="3"/>
        <v>0</v>
      </c>
      <c r="Z29" s="2469">
        <f>人物卡!W105</f>
        <v>0</v>
      </c>
      <c r="AA29" s="2470"/>
      <c r="AB29" s="2470"/>
      <c r="AC29" s="2470"/>
      <c r="AD29" s="2527">
        <f>人物卡!AR105</f>
        <v>0</v>
      </c>
      <c r="AE29" s="2574"/>
    </row>
    <row r="30" customHeight="1" spans="2:31">
      <c r="B30" s="2477" t="s">
        <v>367</v>
      </c>
      <c r="C30" s="2478" t="str">
        <f>人物卡!AA64</f>
        <v>他没有什么追求，但或许他能为像凯瑟琳一样的人做些什么</v>
      </c>
      <c r="D30" s="2468"/>
      <c r="E30" s="2468"/>
      <c r="F30" s="2468"/>
      <c r="G30" s="2530" t="str">
        <f>人物卡!AR64</f>
        <v>☐</v>
      </c>
      <c r="H30" s="2529"/>
      <c r="I30" s="2529"/>
      <c r="J30" s="2529"/>
      <c r="K30" s="2529"/>
      <c r="L30" s="2529"/>
      <c r="M30" s="2577"/>
      <c r="N30" s="2557" t="str">
        <f>IF(Q30=0,"",人物卡!F44)</f>
        <v/>
      </c>
      <c r="O30" s="2437"/>
      <c r="P30" s="2437"/>
      <c r="Q30" s="2590">
        <f>IF(人物卡!R44-人物卡!J44=0,0,人物卡!R44)</f>
        <v>0</v>
      </c>
      <c r="R30" s="2591">
        <f t="shared" si="5"/>
        <v>0</v>
      </c>
      <c r="S30" s="2592">
        <f t="shared" si="6"/>
        <v>0</v>
      </c>
      <c r="T30" s="2440" t="str">
        <f>IF(W30=0,"",人物卡!AB44)</f>
        <v/>
      </c>
      <c r="U30" s="2508"/>
      <c r="V30" s="2508"/>
      <c r="W30" s="2611">
        <f>IF(人物卡!AN44-人物卡!AF44=0,0,人物卡!AN44)</f>
        <v>0</v>
      </c>
      <c r="X30" s="2612">
        <f t="shared" si="2"/>
        <v>0</v>
      </c>
      <c r="Y30" s="2620">
        <f t="shared" si="3"/>
        <v>0</v>
      </c>
      <c r="Z30" s="2469">
        <f>人物卡!W106</f>
        <v>0</v>
      </c>
      <c r="AA30" s="2470"/>
      <c r="AB30" s="2470"/>
      <c r="AC30" s="2470"/>
      <c r="AD30" s="2527">
        <f>人物卡!AR106</f>
        <v>0</v>
      </c>
      <c r="AE30" s="2574"/>
    </row>
    <row r="31" customHeight="1" spans="2:31">
      <c r="B31" s="2475" t="s">
        <v>368</v>
      </c>
      <c r="C31" s="2476" t="str">
        <f>人物卡!AA66</f>
        <v>母亲凯瑟琳</v>
      </c>
      <c r="D31" s="2470"/>
      <c r="E31" s="2470"/>
      <c r="F31" s="2470"/>
      <c r="G31" s="2531" t="str">
        <f>人物卡!AR66</f>
        <v>☐</v>
      </c>
      <c r="H31" s="2529"/>
      <c r="I31" s="2529"/>
      <c r="J31" s="2529"/>
      <c r="K31" s="2529"/>
      <c r="L31" s="2529"/>
      <c r="M31" s="2577"/>
      <c r="N31" s="2557" t="str">
        <f>IF(Q31=0,"",人物卡!F45)</f>
        <v/>
      </c>
      <c r="O31" s="2437"/>
      <c r="P31" s="2437"/>
      <c r="Q31" s="2590">
        <f>IF(人物卡!R45-人物卡!J45=0,0,人物卡!R45)</f>
        <v>0</v>
      </c>
      <c r="R31" s="2591">
        <f t="shared" si="5"/>
        <v>0</v>
      </c>
      <c r="S31" s="2592">
        <f t="shared" si="6"/>
        <v>0</v>
      </c>
      <c r="T31" s="2440" t="str">
        <f>IF(W31=0,"",人物卡!AB45)</f>
        <v/>
      </c>
      <c r="U31" s="2508"/>
      <c r="V31" s="2508"/>
      <c r="W31" s="2611">
        <f>IF(人物卡!AN45-人物卡!AF45=0,0,人物卡!AN45)</f>
        <v>0</v>
      </c>
      <c r="X31" s="2612">
        <f t="shared" si="2"/>
        <v>0</v>
      </c>
      <c r="Y31" s="2620">
        <f t="shared" si="3"/>
        <v>0</v>
      </c>
      <c r="Z31" s="2469">
        <f>人物卡!W107</f>
        <v>0</v>
      </c>
      <c r="AA31" s="2470"/>
      <c r="AB31" s="2470"/>
      <c r="AC31" s="2470"/>
      <c r="AD31" s="2527">
        <f>人物卡!AR107</f>
        <v>0</v>
      </c>
      <c r="AE31" s="2574"/>
    </row>
    <row r="32" customHeight="1" spans="2:31">
      <c r="B32" s="2477" t="s">
        <v>369</v>
      </c>
      <c r="C32" s="2478" t="str">
        <f>人物卡!AA68</f>
        <v>纽约港口</v>
      </c>
      <c r="D32" s="2468"/>
      <c r="E32" s="2468"/>
      <c r="F32" s="2468"/>
      <c r="G32" s="2530" t="str">
        <f>人物卡!AR68</f>
        <v>☐</v>
      </c>
      <c r="H32" s="2529"/>
      <c r="I32" s="2529"/>
      <c r="J32" s="2529"/>
      <c r="K32" s="2529"/>
      <c r="L32" s="2529"/>
      <c r="M32" s="2577"/>
      <c r="N32" s="2557" t="str">
        <f>IF(Q32=0,"",人物卡!F46)</f>
        <v/>
      </c>
      <c r="O32" s="2437"/>
      <c r="P32" s="2437"/>
      <c r="Q32" s="2590">
        <f>IF(人物卡!R46-人物卡!J46=0,0,人物卡!R46)</f>
        <v>0</v>
      </c>
      <c r="R32" s="2591">
        <f t="shared" si="5"/>
        <v>0</v>
      </c>
      <c r="S32" s="2592">
        <f t="shared" si="6"/>
        <v>0</v>
      </c>
      <c r="T32" s="2440" t="str">
        <f>IF(W32=0,"",人物卡!AB46)</f>
        <v/>
      </c>
      <c r="U32" s="2508"/>
      <c r="V32" s="2508"/>
      <c r="W32" s="2611">
        <f>IF(人物卡!AN46-人物卡!AF46=0,0,人物卡!AN46)</f>
        <v>0</v>
      </c>
      <c r="X32" s="2612">
        <f t="shared" si="2"/>
        <v>0</v>
      </c>
      <c r="Y32" s="2620">
        <f t="shared" si="3"/>
        <v>0</v>
      </c>
      <c r="Z32" s="2469">
        <f>人物卡!W108</f>
        <v>0</v>
      </c>
      <c r="AA32" s="2470"/>
      <c r="AB32" s="2470"/>
      <c r="AC32" s="2470"/>
      <c r="AD32" s="2527">
        <f>人物卡!AR108</f>
        <v>0</v>
      </c>
      <c r="AE32" s="2574"/>
    </row>
    <row r="33" customHeight="1" spans="2:31">
      <c r="B33" s="2475" t="s">
        <v>370</v>
      </c>
      <c r="C33" s="2476" t="str">
        <f>人物卡!AA70</f>
        <v>凯瑟琳的银项链</v>
      </c>
      <c r="D33" s="2470"/>
      <c r="E33" s="2470"/>
      <c r="F33" s="2470"/>
      <c r="G33" s="2531" t="str">
        <f>人物卡!AR70</f>
        <v>☐</v>
      </c>
      <c r="H33" s="2529"/>
      <c r="I33" s="2529"/>
      <c r="J33" s="2529"/>
      <c r="K33" s="2529"/>
      <c r="L33" s="2529"/>
      <c r="M33" s="2577"/>
      <c r="N33" s="2562">
        <f t="shared" ref="N33:N35" si="10">IF(Q33=0,0,"外语：")</f>
        <v>0</v>
      </c>
      <c r="O33" s="2435" t="str">
        <f>IF(N33=0,"",人物卡!H47)</f>
        <v/>
      </c>
      <c r="P33" s="2437"/>
      <c r="Q33" s="2590">
        <f>IF(人物卡!R47-人物卡!J47=0,0,人物卡!R47)</f>
        <v>0</v>
      </c>
      <c r="R33" s="2591">
        <f t="shared" si="5"/>
        <v>0</v>
      </c>
      <c r="S33" s="2592">
        <f t="shared" si="6"/>
        <v>0</v>
      </c>
      <c r="T33" s="2440" t="str">
        <f>IF(W33=0,"",人物卡!AB47)</f>
        <v/>
      </c>
      <c r="U33" s="2508"/>
      <c r="V33" s="2508"/>
      <c r="W33" s="2611">
        <f>IF(人物卡!AN47-人物卡!AF47=0,0,人物卡!AN47)</f>
        <v>0</v>
      </c>
      <c r="X33" s="2612">
        <f t="shared" si="2"/>
        <v>0</v>
      </c>
      <c r="Y33" s="2620">
        <f t="shared" si="3"/>
        <v>0</v>
      </c>
      <c r="Z33" s="2634">
        <f>人物卡!W109</f>
        <v>0</v>
      </c>
      <c r="AA33" s="2635"/>
      <c r="AB33" s="2635"/>
      <c r="AC33" s="2635"/>
      <c r="AD33" s="2665">
        <f>人物卡!AR109</f>
        <v>0</v>
      </c>
      <c r="AE33" s="2666"/>
    </row>
    <row r="34" customHeight="1" spans="2:31">
      <c r="B34" s="2477" t="s">
        <v>220</v>
      </c>
      <c r="C34" s="2478" t="str">
        <f>人物卡!AA74</f>
        <v>散漫，看着不那么靠谱，女人缘极好</v>
      </c>
      <c r="D34" s="2468"/>
      <c r="E34" s="2468"/>
      <c r="F34" s="2468"/>
      <c r="G34" s="2530" t="str">
        <f>人物卡!AR74</f>
        <v>☐</v>
      </c>
      <c r="H34" s="2529"/>
      <c r="I34" s="2529"/>
      <c r="J34" s="2529"/>
      <c r="K34" s="2529"/>
      <c r="L34" s="2529"/>
      <c r="M34" s="2577"/>
      <c r="N34" s="2562">
        <f t="shared" si="10"/>
        <v>0</v>
      </c>
      <c r="O34" s="2435" t="str">
        <f>IF(N34=0,"",人物卡!H48)</f>
        <v/>
      </c>
      <c r="P34" s="2437"/>
      <c r="Q34" s="2590">
        <f>IF(人物卡!R48-人物卡!J48=0,0,人物卡!R48)</f>
        <v>0</v>
      </c>
      <c r="R34" s="2591">
        <f t="shared" si="5"/>
        <v>0</v>
      </c>
      <c r="S34" s="2592">
        <f t="shared" si="6"/>
        <v>0</v>
      </c>
      <c r="T34" s="2440" t="str">
        <f>IF(W34=0,"",人物卡!#REF!)</f>
        <v/>
      </c>
      <c r="U34" s="2508"/>
      <c r="V34" s="2508"/>
      <c r="W34" s="2611">
        <f>IF(人物卡!AN48-人物卡!AF48=0,0,人物卡!AN48)</f>
        <v>0</v>
      </c>
      <c r="X34" s="2612">
        <f t="shared" si="2"/>
        <v>0</v>
      </c>
      <c r="Y34" s="2620">
        <f t="shared" si="3"/>
        <v>0</v>
      </c>
      <c r="Z34" s="2490"/>
      <c r="AA34" s="2491"/>
      <c r="AB34" s="2491"/>
      <c r="AC34" s="2491"/>
      <c r="AD34" s="2491"/>
      <c r="AE34" s="2643"/>
    </row>
    <row r="35" customHeight="1" spans="2:31">
      <c r="B35" s="2475" t="s">
        <v>371</v>
      </c>
      <c r="C35" s="2476" t="str">
        <f>人物卡!AA76</f>
        <v>无</v>
      </c>
      <c r="D35" s="2470"/>
      <c r="E35" s="2470"/>
      <c r="F35" s="2470"/>
      <c r="G35" s="2531" t="str">
        <f>人物卡!AR76</f>
        <v>☐</v>
      </c>
      <c r="H35" s="2529"/>
      <c r="I35" s="2529"/>
      <c r="J35" s="2529"/>
      <c r="K35" s="2529"/>
      <c r="L35" s="2529"/>
      <c r="M35" s="2577"/>
      <c r="N35" s="2562">
        <f t="shared" si="10"/>
        <v>0</v>
      </c>
      <c r="O35" s="2435" t="str">
        <f>IF(N35=0,"",人物卡!H49)</f>
        <v/>
      </c>
      <c r="P35" s="2437"/>
      <c r="Q35" s="2590">
        <f>IF(人物卡!R49-人物卡!J49=0,0,人物卡!R49)</f>
        <v>0</v>
      </c>
      <c r="R35" s="2591">
        <f t="shared" si="5"/>
        <v>0</v>
      </c>
      <c r="S35" s="2592">
        <f t="shared" si="6"/>
        <v>0</v>
      </c>
      <c r="T35" s="2440" t="str">
        <f>IF(W35=0,"",人物卡!AB49)</f>
        <v/>
      </c>
      <c r="U35" s="2508"/>
      <c r="V35" s="2508"/>
      <c r="W35" s="2611">
        <f>IF(人物卡!AN49-人物卡!AF49=0,0,人物卡!AN49)</f>
        <v>0</v>
      </c>
      <c r="X35" s="2612">
        <f t="shared" si="2"/>
        <v>0</v>
      </c>
      <c r="Y35" s="2620">
        <f t="shared" si="3"/>
        <v>0</v>
      </c>
      <c r="Z35" s="2490"/>
      <c r="AA35" s="2491"/>
      <c r="AB35" s="2491"/>
      <c r="AC35" s="2491"/>
      <c r="AD35" s="2491"/>
      <c r="AE35" s="2643"/>
    </row>
    <row r="36" customHeight="1" spans="2:31">
      <c r="B36" s="2479" t="s">
        <v>372</v>
      </c>
      <c r="C36" s="2480">
        <f>人物卡!AA78</f>
        <v>0</v>
      </c>
      <c r="D36" s="2472"/>
      <c r="E36" s="2472"/>
      <c r="F36" s="2472"/>
      <c r="G36" s="2532"/>
      <c r="H36" s="2533"/>
      <c r="I36" s="2533"/>
      <c r="J36" s="2533"/>
      <c r="K36" s="2533"/>
      <c r="L36" s="2533"/>
      <c r="M36" s="2578"/>
      <c r="N36" s="2579" t="s">
        <v>373</v>
      </c>
      <c r="O36" s="2580">
        <f>人物卡!H50</f>
        <v>0</v>
      </c>
      <c r="P36" s="2512"/>
      <c r="Q36" s="2597">
        <f>人物卡!R50</f>
        <v>55</v>
      </c>
      <c r="R36" s="2598">
        <f>IF(Q36=0,32767,INT(Q36/2))</f>
        <v>27</v>
      </c>
      <c r="S36" s="2599">
        <f>IF(Q36=0,32767,INT(Q36/5))</f>
        <v>11</v>
      </c>
      <c r="T36" s="2600" t="str">
        <f>IF(W36=0,"",人物卡!AB50)</f>
        <v/>
      </c>
      <c r="U36" s="2442"/>
      <c r="V36" s="2442"/>
      <c r="W36" s="2613">
        <f>IF(人物卡!AN50-人物卡!AF50=0,0,人物卡!AN50)</f>
        <v>0</v>
      </c>
      <c r="X36" s="2614">
        <f t="shared" si="2"/>
        <v>0</v>
      </c>
      <c r="Y36" s="2636">
        <f t="shared" si="3"/>
        <v>0</v>
      </c>
      <c r="Z36" s="2498"/>
      <c r="AA36" s="2499"/>
      <c r="AB36" s="2499"/>
      <c r="AC36" s="2499"/>
      <c r="AD36" s="2499"/>
      <c r="AE36" s="2662"/>
    </row>
    <row r="38" customHeight="1" spans="2:33">
      <c r="B38" s="2481" t="s">
        <v>374</v>
      </c>
      <c r="C38" s="2482"/>
      <c r="D38" s="2482"/>
      <c r="E38" s="2482"/>
      <c r="F38" s="2482"/>
      <c r="G38" s="2482"/>
      <c r="H38" s="2482"/>
      <c r="I38" s="2482"/>
      <c r="J38" s="2482"/>
      <c r="K38" s="2482"/>
      <c r="L38" s="2482"/>
      <c r="M38" s="2482"/>
      <c r="N38" s="2482"/>
      <c r="O38" s="2482"/>
      <c r="P38" s="2482"/>
      <c r="Q38" s="2482"/>
      <c r="R38" s="2482"/>
      <c r="S38" s="2482"/>
      <c r="T38" s="2482"/>
      <c r="U38" s="2482"/>
      <c r="V38" s="2482"/>
      <c r="W38" s="2482"/>
      <c r="X38" s="2482"/>
      <c r="Y38" s="2637"/>
      <c r="Z38" s="1941" t="s">
        <v>375</v>
      </c>
      <c r="AA38" s="130"/>
      <c r="AB38" s="130"/>
      <c r="AC38" s="130"/>
      <c r="AD38" s="130"/>
      <c r="AE38" s="130"/>
      <c r="AF38" s="130"/>
      <c r="AG38" s="130"/>
    </row>
    <row r="39" customHeight="1" spans="2:33">
      <c r="B39" s="2483" t="s">
        <v>376</v>
      </c>
      <c r="C39" s="2484"/>
      <c r="D39" s="2484"/>
      <c r="E39" s="2484"/>
      <c r="F39" s="2484"/>
      <c r="G39" s="2484"/>
      <c r="H39" s="2484"/>
      <c r="I39" s="2484"/>
      <c r="J39" s="2484"/>
      <c r="K39" s="2484"/>
      <c r="L39" s="2484"/>
      <c r="M39" s="2484"/>
      <c r="N39" s="2484"/>
      <c r="O39" s="2484"/>
      <c r="P39" s="2484"/>
      <c r="Q39" s="2484"/>
      <c r="R39" s="2484"/>
      <c r="S39" s="2484"/>
      <c r="T39" s="2484"/>
      <c r="U39" s="2484"/>
      <c r="V39" s="2484"/>
      <c r="W39" s="2484"/>
      <c r="X39" s="2484"/>
      <c r="Y39" s="2638"/>
      <c r="Z39" s="130"/>
      <c r="AA39" s="130"/>
      <c r="AB39" s="130"/>
      <c r="AC39" s="130"/>
      <c r="AD39" s="130"/>
      <c r="AE39" s="130"/>
      <c r="AF39" s="130"/>
      <c r="AG39" s="130"/>
    </row>
    <row r="40" customHeight="1" spans="2:33">
      <c r="B40" s="2485" t="str">
        <f>附表!S23</f>
        <v>.st 力量30str30敏捷70dex70意志60pow60体质50con50外貌80app80教育55知识55edu55体型55siz55智力80灵感80int80san60san值60理智60理智值60幸运50运气50mp12魔法12hp10体力10会计5人类学1估价5考古学1取悦70攀爬20计算机5计算机使用5电脑5信用20信誉20信用评级20克苏鲁0克苏鲁神话0cm0乔装5闪避60汽车20驾驶20汽车驾驶20电气维修10电子学1话术70斗殴25手枪20急救30历史5恐吓15跳跃20母语55法律5图书馆20图书馆使用20聆听70开锁71撬锁71锁匠71机械维修10医学1博物学10自然学10领航10导航10神秘学5重型操作1重型机械1操作重型机械1重型1说服10精神分析1心理学60骑术5妙手10侦查80潜行60生存10游泳20投掷20追踪10驯兽5潜水1爆破1读唇1催眠1炮术1</v>
      </c>
      <c r="C40" s="2486"/>
      <c r="D40" s="2486"/>
      <c r="E40" s="2486"/>
      <c r="F40" s="2486"/>
      <c r="G40" s="2486"/>
      <c r="H40" s="2486"/>
      <c r="I40" s="2486"/>
      <c r="J40" s="2486"/>
      <c r="K40" s="2486"/>
      <c r="L40" s="2486"/>
      <c r="M40" s="2486"/>
      <c r="N40" s="2486"/>
      <c r="O40" s="2486"/>
      <c r="P40" s="2486"/>
      <c r="Q40" s="2486"/>
      <c r="R40" s="2486"/>
      <c r="S40" s="2486"/>
      <c r="T40" s="2486"/>
      <c r="U40" s="2486"/>
      <c r="V40" s="2486"/>
      <c r="W40" s="2486"/>
      <c r="X40" s="2486"/>
      <c r="Y40" s="2639"/>
      <c r="Z40" s="130"/>
      <c r="AA40" s="130"/>
      <c r="AB40" s="130"/>
      <c r="AC40" s="130"/>
      <c r="AD40" s="130"/>
      <c r="AE40" s="130"/>
      <c r="AF40" s="130"/>
      <c r="AG40" s="130"/>
    </row>
    <row r="41" customHeight="1" spans="2:33">
      <c r="B41" s="2481" t="s">
        <v>377</v>
      </c>
      <c r="C41" s="2482"/>
      <c r="D41" s="2482"/>
      <c r="E41" s="2482"/>
      <c r="F41" s="2482"/>
      <c r="G41" s="2482"/>
      <c r="H41" s="2482"/>
      <c r="I41" s="2482"/>
      <c r="J41" s="2482"/>
      <c r="K41" s="2482"/>
      <c r="L41" s="2482"/>
      <c r="M41" s="2482"/>
      <c r="N41" s="2482"/>
      <c r="O41" s="2482"/>
      <c r="P41" s="2482"/>
      <c r="Q41" s="2482"/>
      <c r="R41" s="2482"/>
      <c r="S41" s="2482"/>
      <c r="T41" s="2482"/>
      <c r="U41" s="2482"/>
      <c r="V41" s="2482"/>
      <c r="W41" s="2482"/>
      <c r="X41" s="2482"/>
      <c r="Y41" s="2637"/>
      <c r="Z41" s="130"/>
      <c r="AA41" s="130"/>
      <c r="AB41" s="130"/>
      <c r="AC41" s="130"/>
      <c r="AD41" s="130"/>
      <c r="AE41" s="130"/>
      <c r="AF41" s="130"/>
      <c r="AG41" s="130"/>
    </row>
    <row r="42" customHeight="1" spans="2:33">
      <c r="B42" s="2487" t="s">
        <v>378</v>
      </c>
      <c r="C42" s="2488"/>
      <c r="D42" s="2489" t="s">
        <v>379</v>
      </c>
      <c r="E42" s="2534"/>
      <c r="F42" s="2489" t="s">
        <v>380</v>
      </c>
      <c r="G42" s="2534"/>
      <c r="H42" s="2534"/>
      <c r="I42" s="2534"/>
      <c r="J42" s="2545" t="s">
        <v>378</v>
      </c>
      <c r="K42" s="2488"/>
      <c r="L42" s="2489" t="s">
        <v>379</v>
      </c>
      <c r="M42" s="2534"/>
      <c r="N42" s="2489" t="s">
        <v>380</v>
      </c>
      <c r="O42" s="2534"/>
      <c r="P42" s="2534"/>
      <c r="Q42" s="2534"/>
      <c r="R42" s="2545" t="s">
        <v>378</v>
      </c>
      <c r="S42" s="2488"/>
      <c r="T42" s="2489" t="s">
        <v>379</v>
      </c>
      <c r="U42" s="2534"/>
      <c r="V42" s="2489" t="s">
        <v>380</v>
      </c>
      <c r="W42" s="2534"/>
      <c r="X42" s="2534"/>
      <c r="Y42" s="2640"/>
      <c r="Z42" s="130"/>
      <c r="AA42" s="130"/>
      <c r="AB42" s="130"/>
      <c r="AC42" s="130"/>
      <c r="AD42" s="130"/>
      <c r="AE42" s="130"/>
      <c r="AF42" s="130"/>
      <c r="AG42" s="130"/>
    </row>
    <row r="43" customHeight="1" spans="2:33">
      <c r="B43" s="2490" t="s">
        <v>381</v>
      </c>
      <c r="C43" s="2491"/>
      <c r="D43" s="2491" t="s">
        <v>347</v>
      </c>
      <c r="E43" s="2491"/>
      <c r="F43" s="2535"/>
      <c r="G43" s="2535"/>
      <c r="H43" s="2535"/>
      <c r="I43" s="2535"/>
      <c r="J43" s="2546" t="s">
        <v>382</v>
      </c>
      <c r="K43" s="2491"/>
      <c r="L43" s="2491" t="s">
        <v>383</v>
      </c>
      <c r="M43" s="2491"/>
      <c r="N43" s="2581"/>
      <c r="O43" s="2581"/>
      <c r="P43" s="2581"/>
      <c r="Q43" s="2601"/>
      <c r="R43" s="2497" t="s">
        <v>116</v>
      </c>
      <c r="S43" s="2497"/>
      <c r="T43" s="2497" t="s">
        <v>384</v>
      </c>
      <c r="U43" s="2497"/>
      <c r="V43" s="2584" t="s">
        <v>385</v>
      </c>
      <c r="W43" s="2584"/>
      <c r="X43" s="2584"/>
      <c r="Y43" s="2641"/>
      <c r="Z43" s="130"/>
      <c r="AA43" s="130"/>
      <c r="AB43" s="130"/>
      <c r="AC43" s="130"/>
      <c r="AD43" s="130"/>
      <c r="AE43" s="130"/>
      <c r="AF43" s="130"/>
      <c r="AG43" s="130"/>
    </row>
    <row r="44" customHeight="1" spans="2:33">
      <c r="B44" s="2461" t="s">
        <v>386</v>
      </c>
      <c r="C44" s="2462"/>
      <c r="D44" s="2492" t="s">
        <v>348</v>
      </c>
      <c r="E44" s="2462"/>
      <c r="F44" s="2536"/>
      <c r="G44" s="2537"/>
      <c r="H44" s="2537"/>
      <c r="I44" s="2537"/>
      <c r="J44" s="2547" t="s">
        <v>387</v>
      </c>
      <c r="K44" s="2462"/>
      <c r="L44" s="2492" t="s">
        <v>388</v>
      </c>
      <c r="M44" s="2462"/>
      <c r="N44" s="2582" t="s">
        <v>389</v>
      </c>
      <c r="O44" s="2583"/>
      <c r="P44" s="2583"/>
      <c r="Q44" s="2602"/>
      <c r="R44" s="2603" t="s">
        <v>120</v>
      </c>
      <c r="S44" s="2604"/>
      <c r="T44" s="2492" t="s">
        <v>390</v>
      </c>
      <c r="U44" s="2462"/>
      <c r="V44" s="2492"/>
      <c r="W44" s="2462"/>
      <c r="X44" s="2462"/>
      <c r="Y44" s="2642"/>
      <c r="Z44" s="130"/>
      <c r="AA44" s="130"/>
      <c r="AB44" s="130"/>
      <c r="AC44" s="130"/>
      <c r="AD44" s="130"/>
      <c r="AE44" s="130"/>
      <c r="AF44" s="130"/>
      <c r="AG44" s="130"/>
    </row>
    <row r="45" customHeight="1" spans="2:33">
      <c r="B45" s="2490" t="s">
        <v>391</v>
      </c>
      <c r="C45" s="2491"/>
      <c r="D45" s="2491" t="s">
        <v>351</v>
      </c>
      <c r="E45" s="2491"/>
      <c r="F45" s="2535"/>
      <c r="G45" s="2535"/>
      <c r="H45" s="2535"/>
      <c r="I45" s="2535"/>
      <c r="J45" s="2546" t="s">
        <v>392</v>
      </c>
      <c r="K45" s="2491"/>
      <c r="L45" s="2491" t="s">
        <v>393</v>
      </c>
      <c r="M45" s="2491"/>
      <c r="N45" s="2581"/>
      <c r="O45" s="2581"/>
      <c r="P45" s="2581"/>
      <c r="Q45" s="2601"/>
      <c r="R45" s="2491" t="s">
        <v>394</v>
      </c>
      <c r="S45" s="2491"/>
      <c r="T45" s="2491" t="s">
        <v>395</v>
      </c>
      <c r="U45" s="2491"/>
      <c r="V45" s="2491" t="s">
        <v>396</v>
      </c>
      <c r="W45" s="2491"/>
      <c r="X45" s="2491"/>
      <c r="Y45" s="2643"/>
      <c r="Z45" s="130"/>
      <c r="AA45" s="130"/>
      <c r="AB45" s="130"/>
      <c r="AC45" s="130"/>
      <c r="AD45" s="130"/>
      <c r="AE45" s="130"/>
      <c r="AF45" s="130"/>
      <c r="AG45" s="130"/>
    </row>
    <row r="46" customHeight="1" spans="2:33">
      <c r="B46" s="2461" t="s">
        <v>397</v>
      </c>
      <c r="C46" s="2462"/>
      <c r="D46" s="2492" t="s">
        <v>354</v>
      </c>
      <c r="E46" s="2462"/>
      <c r="F46" s="2536"/>
      <c r="G46" s="2537"/>
      <c r="H46" s="2537"/>
      <c r="I46" s="2537"/>
      <c r="J46" s="2548"/>
      <c r="K46" s="2536"/>
      <c r="L46" s="2536"/>
      <c r="M46" s="2536"/>
      <c r="N46" s="2536"/>
      <c r="O46" s="2536"/>
      <c r="P46" s="2536"/>
      <c r="Q46" s="2605"/>
      <c r="R46" s="2495" t="s">
        <v>72</v>
      </c>
      <c r="S46" s="2494"/>
      <c r="T46" s="2495" t="s">
        <v>398</v>
      </c>
      <c r="U46" s="2494"/>
      <c r="V46" s="2615"/>
      <c r="W46" s="2616"/>
      <c r="X46" s="2616"/>
      <c r="Y46" s="2644"/>
      <c r="Z46" s="130"/>
      <c r="AA46" s="130"/>
      <c r="AB46" s="130"/>
      <c r="AC46" s="130"/>
      <c r="AD46" s="130"/>
      <c r="AE46" s="130"/>
      <c r="AF46" s="130"/>
      <c r="AG46" s="130"/>
    </row>
    <row r="47" customHeight="1" spans="2:33">
      <c r="B47" s="2490" t="s">
        <v>399</v>
      </c>
      <c r="C47" s="2491"/>
      <c r="D47" s="2491" t="s">
        <v>352</v>
      </c>
      <c r="E47" s="2491"/>
      <c r="F47" s="2535"/>
      <c r="G47" s="2535"/>
      <c r="H47" s="2535"/>
      <c r="I47" s="2535"/>
      <c r="J47" s="2549"/>
      <c r="K47" s="2535"/>
      <c r="L47" s="2535"/>
      <c r="M47" s="2535"/>
      <c r="N47" s="2535"/>
      <c r="O47" s="2535"/>
      <c r="P47" s="2535"/>
      <c r="Q47" s="2606"/>
      <c r="R47" s="2491" t="s">
        <v>79</v>
      </c>
      <c r="S47" s="2491"/>
      <c r="T47" s="2491" t="s">
        <v>400</v>
      </c>
      <c r="U47" s="2491"/>
      <c r="V47" s="2581"/>
      <c r="W47" s="2581"/>
      <c r="X47" s="2581"/>
      <c r="Y47" s="2645"/>
      <c r="Z47" s="130"/>
      <c r="AA47" s="130"/>
      <c r="AB47" s="130"/>
      <c r="AC47" s="130"/>
      <c r="AD47" s="130"/>
      <c r="AE47" s="130"/>
      <c r="AF47" s="130"/>
      <c r="AG47" s="130"/>
    </row>
    <row r="48" customHeight="1" spans="2:33">
      <c r="B48" s="2493" t="s">
        <v>401</v>
      </c>
      <c r="C48" s="2494"/>
      <c r="D48" s="2495" t="s">
        <v>350</v>
      </c>
      <c r="E48" s="2494"/>
      <c r="F48" s="2538" t="s">
        <v>402</v>
      </c>
      <c r="G48" s="2539"/>
      <c r="H48" s="2539"/>
      <c r="I48" s="2539"/>
      <c r="J48" s="2548"/>
      <c r="K48" s="2536"/>
      <c r="L48" s="2536"/>
      <c r="M48" s="2536"/>
      <c r="N48" s="2536"/>
      <c r="O48" s="2536"/>
      <c r="P48" s="2536"/>
      <c r="Q48" s="2605"/>
      <c r="R48" s="2495" t="s">
        <v>85</v>
      </c>
      <c r="S48" s="2494"/>
      <c r="T48" s="2495"/>
      <c r="U48" s="2494"/>
      <c r="V48" s="2538" t="s">
        <v>403</v>
      </c>
      <c r="W48" s="2539"/>
      <c r="X48" s="2539"/>
      <c r="Y48" s="2646"/>
      <c r="Z48" s="130"/>
      <c r="AA48" s="130"/>
      <c r="AB48" s="130"/>
      <c r="AC48" s="130"/>
      <c r="AD48" s="130"/>
      <c r="AE48" s="130"/>
      <c r="AF48" s="130"/>
      <c r="AG48" s="130"/>
    </row>
    <row r="49" customHeight="1" spans="2:33">
      <c r="B49" s="2496" t="s">
        <v>404</v>
      </c>
      <c r="C49" s="2497"/>
      <c r="D49" s="2497" t="s">
        <v>349</v>
      </c>
      <c r="E49" s="2497"/>
      <c r="F49" s="2540"/>
      <c r="G49" s="2540"/>
      <c r="H49" s="2540"/>
      <c r="I49" s="2540"/>
      <c r="J49" s="2550" t="s">
        <v>95</v>
      </c>
      <c r="K49" s="2551"/>
      <c r="L49" s="2497" t="s">
        <v>405</v>
      </c>
      <c r="M49" s="2497"/>
      <c r="N49" s="2584" t="s">
        <v>406</v>
      </c>
      <c r="O49" s="2584"/>
      <c r="P49" s="2584"/>
      <c r="Q49" s="2607"/>
      <c r="R49" s="2497" t="s">
        <v>88</v>
      </c>
      <c r="S49" s="2497"/>
      <c r="T49" s="2491"/>
      <c r="U49" s="2491"/>
      <c r="V49" s="2535" t="s">
        <v>407</v>
      </c>
      <c r="W49" s="2535"/>
      <c r="X49" s="2535"/>
      <c r="Y49" s="2647"/>
      <c r="Z49" s="130"/>
      <c r="AA49" s="130"/>
      <c r="AB49" s="130"/>
      <c r="AC49" s="130"/>
      <c r="AD49" s="130"/>
      <c r="AE49" s="130"/>
      <c r="AF49" s="130"/>
      <c r="AG49" s="130"/>
    </row>
    <row r="50" customHeight="1" spans="2:33">
      <c r="B50" s="2493" t="s">
        <v>408</v>
      </c>
      <c r="C50" s="2494"/>
      <c r="D50" s="2495" t="s">
        <v>353</v>
      </c>
      <c r="E50" s="2494"/>
      <c r="F50" s="2538" t="s">
        <v>409</v>
      </c>
      <c r="G50" s="2539"/>
      <c r="H50" s="2539"/>
      <c r="I50" s="2539"/>
      <c r="J50" s="2552" t="s">
        <v>102</v>
      </c>
      <c r="K50" s="2494"/>
      <c r="L50" s="2495" t="s">
        <v>410</v>
      </c>
      <c r="M50" s="2494"/>
      <c r="N50" s="2585" t="s">
        <v>411</v>
      </c>
      <c r="O50" s="2586"/>
      <c r="P50" s="2586"/>
      <c r="Q50" s="2608"/>
      <c r="R50" s="2495" t="s">
        <v>96</v>
      </c>
      <c r="S50" s="2494"/>
      <c r="T50" s="2495" t="s">
        <v>412</v>
      </c>
      <c r="U50" s="2494"/>
      <c r="V50" s="2538" t="s">
        <v>413</v>
      </c>
      <c r="W50" s="2539"/>
      <c r="X50" s="2539"/>
      <c r="Y50" s="2646"/>
      <c r="Z50" s="130"/>
      <c r="AA50" s="130"/>
      <c r="AB50" s="130"/>
      <c r="AC50" s="130"/>
      <c r="AD50" s="130"/>
      <c r="AE50" s="130"/>
      <c r="AF50" s="130"/>
      <c r="AG50" s="130"/>
    </row>
    <row r="51" customHeight="1" spans="2:33">
      <c r="B51" s="2498" t="s">
        <v>414</v>
      </c>
      <c r="C51" s="2499"/>
      <c r="D51" s="2499"/>
      <c r="E51" s="2499"/>
      <c r="F51" s="2541" t="s">
        <v>415</v>
      </c>
      <c r="G51" s="2541"/>
      <c r="H51" s="2541"/>
      <c r="I51" s="2541"/>
      <c r="J51" s="2553" t="s">
        <v>104</v>
      </c>
      <c r="K51" s="2554"/>
      <c r="L51" s="2554" t="s">
        <v>416</v>
      </c>
      <c r="M51" s="2554"/>
      <c r="N51" s="2587" t="s">
        <v>417</v>
      </c>
      <c r="O51" s="2587"/>
      <c r="P51" s="2587"/>
      <c r="Q51" s="2609"/>
      <c r="R51" s="2610" t="s">
        <v>138</v>
      </c>
      <c r="S51" s="2610"/>
      <c r="T51" s="2554" t="s">
        <v>418</v>
      </c>
      <c r="U51" s="2554"/>
      <c r="V51" s="2617"/>
      <c r="W51" s="2617"/>
      <c r="X51" s="2617"/>
      <c r="Y51" s="2648"/>
      <c r="Z51" s="130"/>
      <c r="AA51" s="130"/>
      <c r="AB51" s="130"/>
      <c r="AC51" s="130"/>
      <c r="AD51" s="130"/>
      <c r="AE51" s="130"/>
      <c r="AF51" s="130"/>
      <c r="AG51" s="130"/>
    </row>
    <row r="52" customHeight="1" spans="2:33">
      <c r="B52" s="2500" t="s">
        <v>419</v>
      </c>
      <c r="C52" s="2500"/>
      <c r="D52" s="2500"/>
      <c r="E52" s="2500"/>
      <c r="F52" s="2500"/>
      <c r="G52" s="2500"/>
      <c r="Z52" s="130"/>
      <c r="AA52" s="130"/>
      <c r="AB52" s="130"/>
      <c r="AC52" s="130"/>
      <c r="AD52" s="130"/>
      <c r="AE52" s="130"/>
      <c r="AF52" s="130"/>
      <c r="AG52" s="130"/>
    </row>
    <row r="53" customHeight="1" spans="2:25">
      <c r="B53" s="2500"/>
      <c r="C53" s="2500"/>
      <c r="D53" s="2500"/>
      <c r="E53" s="2500"/>
      <c r="F53" s="2500"/>
      <c r="G53" s="2500"/>
      <c r="H53" s="130"/>
      <c r="I53" s="130"/>
      <c r="J53" s="130"/>
      <c r="K53" s="130"/>
      <c r="L53" s="130"/>
      <c r="M53" s="130"/>
      <c r="N53" s="130"/>
      <c r="O53" s="130"/>
      <c r="P53" s="130"/>
      <c r="Q53" s="130"/>
      <c r="R53" s="130"/>
      <c r="S53" s="130"/>
      <c r="T53" s="130"/>
      <c r="U53" s="130"/>
      <c r="V53" s="130"/>
      <c r="W53" s="130"/>
      <c r="X53" s="130"/>
      <c r="Y53" s="130"/>
    </row>
    <row r="54" customHeight="1" spans="2:26">
      <c r="B54" s="2481" t="s">
        <v>420</v>
      </c>
      <c r="C54" s="2482"/>
      <c r="D54" s="2482"/>
      <c r="E54" s="2482"/>
      <c r="F54" s="2482"/>
      <c r="G54" s="2482"/>
      <c r="H54" s="2482"/>
      <c r="I54" s="2482"/>
      <c r="J54" s="2482"/>
      <c r="K54" s="2482"/>
      <c r="L54" s="2482"/>
      <c r="M54" s="2482"/>
      <c r="N54" s="2482"/>
      <c r="O54" s="2482"/>
      <c r="P54" s="2482"/>
      <c r="Q54" s="2482"/>
      <c r="R54" s="2482"/>
      <c r="S54" s="2482"/>
      <c r="T54" s="2482"/>
      <c r="U54" s="2482"/>
      <c r="V54" s="2482"/>
      <c r="W54" s="2482"/>
      <c r="X54" s="2482"/>
      <c r="Y54" s="2637"/>
      <c r="Z54" s="1941" t="s">
        <v>375</v>
      </c>
    </row>
    <row r="55" customHeight="1" spans="2:25">
      <c r="B55" s="2483" t="s">
        <v>376</v>
      </c>
      <c r="C55" s="2484"/>
      <c r="D55" s="2484"/>
      <c r="E55" s="2484"/>
      <c r="F55" s="2484"/>
      <c r="G55" s="2484"/>
      <c r="H55" s="2484"/>
      <c r="I55" s="2484"/>
      <c r="J55" s="2484"/>
      <c r="K55" s="2484"/>
      <c r="L55" s="2484"/>
      <c r="M55" s="2484"/>
      <c r="N55" s="2484"/>
      <c r="O55" s="2484"/>
      <c r="P55" s="2484"/>
      <c r="Q55" s="2484"/>
      <c r="R55" s="2484"/>
      <c r="S55" s="2484"/>
      <c r="T55" s="2484"/>
      <c r="U55" s="2484"/>
      <c r="V55" s="2484"/>
      <c r="W55" s="2484"/>
      <c r="X55" s="2484"/>
      <c r="Y55" s="2638"/>
    </row>
    <row r="56" customHeight="1" spans="2:34">
      <c r="B56" s="2485" t="str">
        <f>附表!U40</f>
        <v>.st 力量30str30敏捷70dex70意志60pow60体质50con50外貌80app80教育55edu55体型55siz55智力80灵感80int80san60san值60理智60理智值60幸运50运气50mp12魔法12hp10体力10取悦70信用评级20闪避60话术70聆听70锁匠71心理学60潜行60侦查80</v>
      </c>
      <c r="C56" s="2486"/>
      <c r="D56" s="2486"/>
      <c r="E56" s="2486"/>
      <c r="F56" s="2486"/>
      <c r="G56" s="2486"/>
      <c r="H56" s="2486"/>
      <c r="I56" s="2486"/>
      <c r="J56" s="2486"/>
      <c r="K56" s="2486"/>
      <c r="L56" s="2486"/>
      <c r="M56" s="2486"/>
      <c r="N56" s="2486"/>
      <c r="O56" s="2486"/>
      <c r="P56" s="2486"/>
      <c r="Q56" s="2486"/>
      <c r="R56" s="2486"/>
      <c r="S56" s="2486"/>
      <c r="T56" s="2486"/>
      <c r="U56" s="2486"/>
      <c r="V56" s="2486"/>
      <c r="W56" s="2486"/>
      <c r="X56" s="2486"/>
      <c r="Y56" s="2639"/>
      <c r="AF56" s="2667"/>
      <c r="AG56" s="2667"/>
      <c r="AH56" s="2667"/>
    </row>
    <row r="57" customHeight="1" spans="2:34">
      <c r="B57" s="2481" t="s">
        <v>305</v>
      </c>
      <c r="C57" s="2482"/>
      <c r="D57" s="2482"/>
      <c r="E57" s="2482"/>
      <c r="F57" s="2482"/>
      <c r="G57" s="2482"/>
      <c r="H57" s="2482"/>
      <c r="I57" s="2482"/>
      <c r="J57" s="2482"/>
      <c r="K57" s="2482"/>
      <c r="L57" s="2482"/>
      <c r="M57" s="2482"/>
      <c r="N57" s="2482"/>
      <c r="O57" s="2482"/>
      <c r="P57" s="2482"/>
      <c r="Q57" s="2482"/>
      <c r="R57" s="2482"/>
      <c r="S57" s="2482"/>
      <c r="T57" s="2482"/>
      <c r="U57" s="2482"/>
      <c r="V57" s="2482"/>
      <c r="W57" s="2482"/>
      <c r="X57" s="2482"/>
      <c r="Y57" s="2637"/>
      <c r="AF57" s="2667"/>
      <c r="AG57" s="2667"/>
      <c r="AH57" s="2667"/>
    </row>
    <row r="58" customHeight="1" spans="2:34">
      <c r="B58" s="2501" t="s">
        <v>421</v>
      </c>
      <c r="C58" s="2502"/>
      <c r="D58" s="2502"/>
      <c r="E58" s="2502"/>
      <c r="F58" s="2502"/>
      <c r="G58" s="2502"/>
      <c r="H58" s="2502"/>
      <c r="I58" s="2502"/>
      <c r="J58" s="2502"/>
      <c r="K58" s="2502"/>
      <c r="L58" s="2502"/>
      <c r="M58" s="2588" t="s">
        <v>422</v>
      </c>
      <c r="N58" s="2502"/>
      <c r="O58" s="2502"/>
      <c r="P58" s="2502"/>
      <c r="Q58" s="2502"/>
      <c r="R58" s="2502"/>
      <c r="S58" s="2502"/>
      <c r="T58" s="2502"/>
      <c r="U58" s="2502"/>
      <c r="V58" s="2502"/>
      <c r="W58" s="2502"/>
      <c r="X58" s="2502"/>
      <c r="Y58" s="2649"/>
      <c r="AF58" s="2667"/>
      <c r="AG58" s="2667"/>
      <c r="AH58" s="2667"/>
    </row>
    <row r="59" customHeight="1" spans="2:34">
      <c r="B59" s="2501"/>
      <c r="C59" s="2502"/>
      <c r="D59" s="2502"/>
      <c r="E59" s="2502"/>
      <c r="F59" s="2502"/>
      <c r="G59" s="2502"/>
      <c r="H59" s="2502"/>
      <c r="I59" s="2502"/>
      <c r="J59" s="2502"/>
      <c r="K59" s="2502"/>
      <c r="L59" s="2502"/>
      <c r="M59" s="2588"/>
      <c r="N59" s="2502"/>
      <c r="O59" s="2502"/>
      <c r="P59" s="2502"/>
      <c r="Q59" s="2502"/>
      <c r="R59" s="2502"/>
      <c r="S59" s="2502"/>
      <c r="T59" s="2502"/>
      <c r="U59" s="2502"/>
      <c r="V59" s="2502"/>
      <c r="W59" s="2502"/>
      <c r="X59" s="2502"/>
      <c r="Y59" s="2649"/>
      <c r="AF59" s="2667"/>
      <c r="AG59" s="2667"/>
      <c r="AH59" s="2667"/>
    </row>
    <row r="60" customHeight="1" spans="2:34">
      <c r="B60" s="2501"/>
      <c r="C60" s="2502"/>
      <c r="D60" s="2502"/>
      <c r="E60" s="2502"/>
      <c r="F60" s="2502"/>
      <c r="G60" s="2502"/>
      <c r="H60" s="2502"/>
      <c r="I60" s="2502"/>
      <c r="J60" s="2502"/>
      <c r="K60" s="2502"/>
      <c r="L60" s="2502"/>
      <c r="M60" s="2588"/>
      <c r="N60" s="2502"/>
      <c r="O60" s="2502"/>
      <c r="P60" s="2502"/>
      <c r="Q60" s="2502"/>
      <c r="R60" s="2502"/>
      <c r="S60" s="2502"/>
      <c r="T60" s="2502"/>
      <c r="U60" s="2502"/>
      <c r="V60" s="2502"/>
      <c r="W60" s="2502"/>
      <c r="X60" s="2502"/>
      <c r="Y60" s="2649"/>
      <c r="AF60" s="2667"/>
      <c r="AG60" s="2667"/>
      <c r="AH60" s="2667"/>
    </row>
    <row r="61" customHeight="1" spans="2:34">
      <c r="B61" s="2501"/>
      <c r="C61" s="2502"/>
      <c r="D61" s="2502"/>
      <c r="E61" s="2502"/>
      <c r="F61" s="2502"/>
      <c r="G61" s="2502"/>
      <c r="H61" s="2502"/>
      <c r="I61" s="2502"/>
      <c r="J61" s="2502"/>
      <c r="K61" s="2502"/>
      <c r="L61" s="2502"/>
      <c r="M61" s="2588"/>
      <c r="N61" s="2502"/>
      <c r="O61" s="2502"/>
      <c r="P61" s="2502"/>
      <c r="Q61" s="2502"/>
      <c r="R61" s="2502"/>
      <c r="S61" s="2502"/>
      <c r="T61" s="2502"/>
      <c r="U61" s="2502"/>
      <c r="V61" s="2502"/>
      <c r="W61" s="2502"/>
      <c r="X61" s="2502"/>
      <c r="Y61" s="2649"/>
      <c r="AF61" s="2667"/>
      <c r="AG61" s="2667"/>
      <c r="AH61" s="2667"/>
    </row>
    <row r="62" customHeight="1" spans="2:34">
      <c r="B62" s="2501"/>
      <c r="C62" s="2502"/>
      <c r="D62" s="2502"/>
      <c r="E62" s="2502"/>
      <c r="F62" s="2502"/>
      <c r="G62" s="2502"/>
      <c r="H62" s="2502"/>
      <c r="I62" s="2502"/>
      <c r="J62" s="2502"/>
      <c r="K62" s="2502"/>
      <c r="L62" s="2502"/>
      <c r="M62" s="2588"/>
      <c r="N62" s="2502"/>
      <c r="O62" s="2502"/>
      <c r="P62" s="2502"/>
      <c r="Q62" s="2502"/>
      <c r="R62" s="2502"/>
      <c r="S62" s="2502"/>
      <c r="T62" s="2502"/>
      <c r="U62" s="2502"/>
      <c r="V62" s="2502"/>
      <c r="W62" s="2502"/>
      <c r="X62" s="2502"/>
      <c r="Y62" s="2649"/>
      <c r="AF62" s="2667"/>
      <c r="AG62" s="2667"/>
      <c r="AH62" s="2667"/>
    </row>
    <row r="63" customHeight="1" spans="2:34">
      <c r="B63" s="2501"/>
      <c r="C63" s="2502"/>
      <c r="D63" s="2502"/>
      <c r="E63" s="2502"/>
      <c r="F63" s="2502"/>
      <c r="G63" s="2502"/>
      <c r="H63" s="2502"/>
      <c r="I63" s="2502"/>
      <c r="J63" s="2502"/>
      <c r="K63" s="2502"/>
      <c r="L63" s="2502"/>
      <c r="M63" s="2588"/>
      <c r="N63" s="2502"/>
      <c r="O63" s="2502"/>
      <c r="P63" s="2502"/>
      <c r="Q63" s="2502"/>
      <c r="R63" s="2502"/>
      <c r="S63" s="2502"/>
      <c r="T63" s="2502"/>
      <c r="U63" s="2502"/>
      <c r="V63" s="2502"/>
      <c r="W63" s="2502"/>
      <c r="X63" s="2502"/>
      <c r="Y63" s="2649"/>
      <c r="AF63" s="2667"/>
      <c r="AG63" s="2667"/>
      <c r="AH63" s="2667"/>
    </row>
    <row r="64" customHeight="1" spans="2:34">
      <c r="B64" s="2503"/>
      <c r="C64" s="2504"/>
      <c r="D64" s="2504"/>
      <c r="E64" s="2504"/>
      <c r="F64" s="2504"/>
      <c r="G64" s="2504"/>
      <c r="H64" s="2504"/>
      <c r="I64" s="2504"/>
      <c r="J64" s="2504"/>
      <c r="K64" s="2504"/>
      <c r="L64" s="2504"/>
      <c r="M64" s="2589"/>
      <c r="N64" s="2504"/>
      <c r="O64" s="2504"/>
      <c r="P64" s="2504"/>
      <c r="Q64" s="2504"/>
      <c r="R64" s="2504"/>
      <c r="S64" s="2504"/>
      <c r="T64" s="2504"/>
      <c r="U64" s="2504"/>
      <c r="V64" s="2504"/>
      <c r="W64" s="2504"/>
      <c r="X64" s="2504"/>
      <c r="Y64" s="2650"/>
      <c r="AF64" s="2667"/>
      <c r="AG64" s="2667"/>
      <c r="AH64" s="2667"/>
    </row>
    <row r="65" customHeight="1" spans="32:34">
      <c r="AF65" s="2667"/>
      <c r="AG65" s="2667"/>
      <c r="AH65" s="2667"/>
    </row>
    <row r="66" customHeight="1" spans="2:34">
      <c r="B66" s="2668" t="s">
        <v>423</v>
      </c>
      <c r="C66" s="2182"/>
      <c r="D66" s="2182"/>
      <c r="E66" s="2182"/>
      <c r="F66" s="2182"/>
      <c r="G66" s="2182"/>
      <c r="H66" s="2182"/>
      <c r="I66" s="2182"/>
      <c r="J66" s="2182"/>
      <c r="K66" s="2182"/>
      <c r="L66" s="2182"/>
      <c r="M66" s="2182"/>
      <c r="N66" s="2182"/>
      <c r="O66" s="2182"/>
      <c r="P66" s="2182"/>
      <c r="Q66" s="2182"/>
      <c r="R66" s="2182"/>
      <c r="S66" s="2182"/>
      <c r="T66" s="2182"/>
      <c r="U66" s="2182"/>
      <c r="V66" s="2182"/>
      <c r="W66" s="2182"/>
      <c r="X66" s="2182"/>
      <c r="Y66" s="2182"/>
      <c r="Z66" s="2182"/>
      <c r="AA66" s="2182"/>
      <c r="AB66" s="2182"/>
      <c r="AC66" s="2182"/>
      <c r="AD66" s="2182"/>
      <c r="AE66" s="2212"/>
      <c r="AF66" s="2667"/>
      <c r="AG66" s="2667"/>
      <c r="AH66" s="2667"/>
    </row>
    <row r="67" customHeight="1" spans="2:31">
      <c r="B67" s="2183"/>
      <c r="C67" s="2184"/>
      <c r="D67" s="2184"/>
      <c r="E67" s="2184"/>
      <c r="F67" s="2184"/>
      <c r="G67" s="2184"/>
      <c r="H67" s="2184"/>
      <c r="I67" s="2184"/>
      <c r="J67" s="2184"/>
      <c r="K67" s="2184"/>
      <c r="L67" s="2184"/>
      <c r="M67" s="2184"/>
      <c r="N67" s="2184"/>
      <c r="O67" s="2184"/>
      <c r="P67" s="2184"/>
      <c r="Q67" s="2184"/>
      <c r="R67" s="2184"/>
      <c r="S67" s="2184"/>
      <c r="T67" s="2184"/>
      <c r="U67" s="2184"/>
      <c r="V67" s="2184"/>
      <c r="W67" s="2184"/>
      <c r="X67" s="2184"/>
      <c r="Y67" s="2184"/>
      <c r="Z67" s="2184"/>
      <c r="AA67" s="2184"/>
      <c r="AB67" s="2184"/>
      <c r="AC67" s="2184"/>
      <c r="AD67" s="2184"/>
      <c r="AE67" s="2250"/>
    </row>
    <row r="68" customHeight="1" spans="2:39">
      <c r="B68" s="2669" t="s">
        <v>98</v>
      </c>
      <c r="C68" s="2670"/>
      <c r="D68" s="2670"/>
      <c r="E68" s="2679" t="s">
        <v>424</v>
      </c>
      <c r="F68" s="2670"/>
      <c r="G68" s="2670"/>
      <c r="H68" s="2679" t="s">
        <v>108</v>
      </c>
      <c r="I68" s="2670"/>
      <c r="J68" s="2686" t="s">
        <v>425</v>
      </c>
      <c r="K68" s="2687"/>
      <c r="L68" s="2687"/>
      <c r="M68" s="2687"/>
      <c r="N68" s="2687"/>
      <c r="O68" s="2687"/>
      <c r="P68" s="2687"/>
      <c r="Q68" s="2687"/>
      <c r="R68" s="2687"/>
      <c r="S68" s="2706"/>
      <c r="T68" s="2686" t="s">
        <v>426</v>
      </c>
      <c r="U68" s="2687"/>
      <c r="V68" s="2687"/>
      <c r="W68" s="2687"/>
      <c r="X68" s="2687"/>
      <c r="Y68" s="2687"/>
      <c r="Z68" s="2687"/>
      <c r="AA68" s="2687"/>
      <c r="AB68" s="2687"/>
      <c r="AC68" s="2687"/>
      <c r="AD68" s="2687"/>
      <c r="AE68" s="2711"/>
      <c r="AF68" s="2712"/>
      <c r="AG68" s="2712"/>
      <c r="AH68" s="2712"/>
      <c r="AI68" s="2712"/>
      <c r="AJ68" s="2712"/>
      <c r="AK68" s="2712"/>
      <c r="AL68" s="2712"/>
      <c r="AM68" s="2712"/>
    </row>
    <row r="69" customHeight="1" spans="2:39">
      <c r="B69" s="2671" t="s">
        <v>427</v>
      </c>
      <c r="C69" s="2672"/>
      <c r="D69" s="2672"/>
      <c r="E69" s="2680" t="s">
        <v>428</v>
      </c>
      <c r="F69" s="2672"/>
      <c r="G69" s="2672"/>
      <c r="H69" s="2681">
        <v>70</v>
      </c>
      <c r="I69" s="2682"/>
      <c r="J69" s="2688" t="s">
        <v>429</v>
      </c>
      <c r="K69" s="2689"/>
      <c r="L69" s="2689"/>
      <c r="M69" s="2689"/>
      <c r="N69" s="2697"/>
      <c r="O69" s="2698" t="s">
        <v>430</v>
      </c>
      <c r="P69" s="2699"/>
      <c r="Q69" s="2699"/>
      <c r="R69" s="2699"/>
      <c r="S69" s="2707"/>
      <c r="T69" s="2684" t="s">
        <v>431</v>
      </c>
      <c r="U69" s="2685"/>
      <c r="V69" s="2685"/>
      <c r="W69" s="2685"/>
      <c r="X69" s="2685"/>
      <c r="Y69" s="2685"/>
      <c r="Z69" s="2685"/>
      <c r="AA69" s="2685"/>
      <c r="AB69" s="2685"/>
      <c r="AC69" s="2685"/>
      <c r="AD69" s="2685"/>
      <c r="AE69" s="2713"/>
      <c r="AF69" s="1966"/>
      <c r="AG69" s="1966"/>
      <c r="AH69" s="1966"/>
      <c r="AI69" s="1966"/>
      <c r="AJ69" s="1966"/>
      <c r="AK69" s="1966"/>
      <c r="AL69" s="1966"/>
      <c r="AM69" s="1966"/>
    </row>
    <row r="70" customHeight="1" spans="2:35">
      <c r="B70" s="2673"/>
      <c r="C70" s="2672"/>
      <c r="D70" s="2672"/>
      <c r="E70" s="2672"/>
      <c r="F70" s="2672"/>
      <c r="G70" s="2672"/>
      <c r="H70" s="2682"/>
      <c r="I70" s="2682"/>
      <c r="J70" s="2690"/>
      <c r="K70" s="2691"/>
      <c r="L70" s="2691"/>
      <c r="M70" s="2691"/>
      <c r="N70" s="2700"/>
      <c r="O70" s="2701"/>
      <c r="P70" s="2702"/>
      <c r="Q70" s="2702"/>
      <c r="R70" s="2702"/>
      <c r="S70" s="2708"/>
      <c r="T70" s="2685"/>
      <c r="U70" s="2685"/>
      <c r="V70" s="2685"/>
      <c r="W70" s="2685"/>
      <c r="X70" s="2685"/>
      <c r="Y70" s="2685"/>
      <c r="Z70" s="2685"/>
      <c r="AA70" s="2685"/>
      <c r="AB70" s="2685"/>
      <c r="AC70" s="2685"/>
      <c r="AD70" s="2685"/>
      <c r="AE70" s="2713"/>
      <c r="AF70" s="2678"/>
      <c r="AG70" s="2678"/>
      <c r="AH70" s="2678"/>
      <c r="AI70" s="2678"/>
    </row>
    <row r="71" customHeight="1" spans="2:35">
      <c r="B71" s="2673"/>
      <c r="C71" s="2672"/>
      <c r="D71" s="2672"/>
      <c r="E71" s="2672"/>
      <c r="F71" s="2672"/>
      <c r="G71" s="2672"/>
      <c r="H71" s="2682"/>
      <c r="I71" s="2682"/>
      <c r="J71" s="2692"/>
      <c r="K71" s="2693"/>
      <c r="L71" s="2693"/>
      <c r="M71" s="2693"/>
      <c r="N71" s="2703"/>
      <c r="O71" s="2704"/>
      <c r="P71" s="2705"/>
      <c r="Q71" s="2705"/>
      <c r="R71" s="2705"/>
      <c r="S71" s="2709"/>
      <c r="T71" s="2685"/>
      <c r="U71" s="2685"/>
      <c r="V71" s="2685"/>
      <c r="W71" s="2685"/>
      <c r="X71" s="2685"/>
      <c r="Y71" s="2685"/>
      <c r="Z71" s="2685"/>
      <c r="AA71" s="2685"/>
      <c r="AB71" s="2685"/>
      <c r="AC71" s="2685"/>
      <c r="AD71" s="2685"/>
      <c r="AE71" s="2713"/>
      <c r="AF71" s="2678"/>
      <c r="AG71" s="2678"/>
      <c r="AH71" s="2678"/>
      <c r="AI71" s="2678"/>
    </row>
    <row r="72" customHeight="1" spans="2:35">
      <c r="B72" s="2674" t="s">
        <v>432</v>
      </c>
      <c r="C72" s="2675"/>
      <c r="D72" s="2675"/>
      <c r="E72" s="2675" t="s">
        <v>433</v>
      </c>
      <c r="F72" s="2675"/>
      <c r="G72" s="2675"/>
      <c r="H72" s="2683">
        <v>60</v>
      </c>
      <c r="I72" s="2683"/>
      <c r="J72" s="2694" t="s">
        <v>434</v>
      </c>
      <c r="K72" s="2694"/>
      <c r="L72" s="2694"/>
      <c r="M72" s="2694"/>
      <c r="N72" s="2694"/>
      <c r="O72" s="2694"/>
      <c r="P72" s="2694"/>
      <c r="Q72" s="2694"/>
      <c r="R72" s="2694"/>
      <c r="S72" s="2694"/>
      <c r="T72" s="2710" t="s">
        <v>435</v>
      </c>
      <c r="U72" s="2710"/>
      <c r="V72" s="2710"/>
      <c r="W72" s="2710"/>
      <c r="X72" s="2710"/>
      <c r="Y72" s="2710"/>
      <c r="Z72" s="2710"/>
      <c r="AA72" s="2710"/>
      <c r="AB72" s="2710"/>
      <c r="AC72" s="2710"/>
      <c r="AD72" s="2710"/>
      <c r="AE72" s="2714"/>
      <c r="AF72" s="2678"/>
      <c r="AG72" s="2678"/>
      <c r="AH72" s="2678"/>
      <c r="AI72" s="2678"/>
    </row>
    <row r="73" customHeight="1" spans="2:35">
      <c r="B73" s="2674"/>
      <c r="C73" s="2675"/>
      <c r="D73" s="2675"/>
      <c r="E73" s="2675"/>
      <c r="F73" s="2675"/>
      <c r="G73" s="2675"/>
      <c r="H73" s="2683"/>
      <c r="I73" s="2683"/>
      <c r="J73" s="2694"/>
      <c r="K73" s="2694"/>
      <c r="L73" s="2694"/>
      <c r="M73" s="2694"/>
      <c r="N73" s="2694"/>
      <c r="O73" s="2694"/>
      <c r="P73" s="2694"/>
      <c r="Q73" s="2694"/>
      <c r="R73" s="2694"/>
      <c r="S73" s="2694"/>
      <c r="T73" s="2710"/>
      <c r="U73" s="2710"/>
      <c r="V73" s="2710"/>
      <c r="W73" s="2710"/>
      <c r="X73" s="2710"/>
      <c r="Y73" s="2710"/>
      <c r="Z73" s="2710"/>
      <c r="AA73" s="2710"/>
      <c r="AB73" s="2710"/>
      <c r="AC73" s="2710"/>
      <c r="AD73" s="2710"/>
      <c r="AE73" s="2714"/>
      <c r="AF73" s="2678"/>
      <c r="AG73" s="2678"/>
      <c r="AH73" s="2678"/>
      <c r="AI73" s="2678"/>
    </row>
    <row r="74" customHeight="1" spans="2:35">
      <c r="B74" s="2674"/>
      <c r="C74" s="2675"/>
      <c r="D74" s="2675"/>
      <c r="E74" s="2675"/>
      <c r="F74" s="2675"/>
      <c r="G74" s="2675"/>
      <c r="H74" s="2683"/>
      <c r="I74" s="2683"/>
      <c r="J74" s="2694"/>
      <c r="K74" s="2694"/>
      <c r="L74" s="2694"/>
      <c r="M74" s="2694"/>
      <c r="N74" s="2694"/>
      <c r="O74" s="2694"/>
      <c r="P74" s="2694"/>
      <c r="Q74" s="2694"/>
      <c r="R74" s="2694"/>
      <c r="S74" s="2694"/>
      <c r="T74" s="2710"/>
      <c r="U74" s="2710"/>
      <c r="V74" s="2710"/>
      <c r="W74" s="2710"/>
      <c r="X74" s="2710"/>
      <c r="Y74" s="2710"/>
      <c r="Z74" s="2710"/>
      <c r="AA74" s="2710"/>
      <c r="AB74" s="2710"/>
      <c r="AC74" s="2710"/>
      <c r="AD74" s="2710"/>
      <c r="AE74" s="2714"/>
      <c r="AF74" s="2678"/>
      <c r="AG74" s="2678"/>
      <c r="AH74" s="2678"/>
      <c r="AI74" s="2678"/>
    </row>
    <row r="75" customHeight="1" spans="2:35">
      <c r="B75" s="2671" t="s">
        <v>436</v>
      </c>
      <c r="C75" s="2672"/>
      <c r="D75" s="2672"/>
      <c r="E75" s="2680" t="s">
        <v>433</v>
      </c>
      <c r="F75" s="2672"/>
      <c r="G75" s="2672"/>
      <c r="H75" s="2681">
        <v>60</v>
      </c>
      <c r="I75" s="2682"/>
      <c r="J75" s="2684" t="s">
        <v>437</v>
      </c>
      <c r="K75" s="2685"/>
      <c r="L75" s="2685"/>
      <c r="M75" s="2685"/>
      <c r="N75" s="2685"/>
      <c r="O75" s="2685"/>
      <c r="P75" s="2685"/>
      <c r="Q75" s="2685"/>
      <c r="R75" s="2685"/>
      <c r="S75" s="2685"/>
      <c r="T75" s="2684" t="s">
        <v>438</v>
      </c>
      <c r="U75" s="2685"/>
      <c r="V75" s="2685"/>
      <c r="W75" s="2685"/>
      <c r="X75" s="2685"/>
      <c r="Y75" s="2685"/>
      <c r="Z75" s="2685"/>
      <c r="AA75" s="2685"/>
      <c r="AB75" s="2685"/>
      <c r="AC75" s="2685"/>
      <c r="AD75" s="2685"/>
      <c r="AE75" s="2713"/>
      <c r="AF75" s="2678"/>
      <c r="AG75" s="2678"/>
      <c r="AH75" s="2678"/>
      <c r="AI75" s="2678"/>
    </row>
    <row r="76" customHeight="1" spans="2:35">
      <c r="B76" s="2673"/>
      <c r="C76" s="2672"/>
      <c r="D76" s="2672"/>
      <c r="E76" s="2672"/>
      <c r="F76" s="2672"/>
      <c r="G76" s="2672"/>
      <c r="H76" s="2682"/>
      <c r="I76" s="2682"/>
      <c r="J76" s="2685"/>
      <c r="K76" s="2685"/>
      <c r="L76" s="2685"/>
      <c r="M76" s="2685"/>
      <c r="N76" s="2685"/>
      <c r="O76" s="2685"/>
      <c r="P76" s="2685"/>
      <c r="Q76" s="2685"/>
      <c r="R76" s="2685"/>
      <c r="S76" s="2685"/>
      <c r="T76" s="2685"/>
      <c r="U76" s="2685"/>
      <c r="V76" s="2685"/>
      <c r="W76" s="2685"/>
      <c r="X76" s="2685"/>
      <c r="Y76" s="2685"/>
      <c r="Z76" s="2685"/>
      <c r="AA76" s="2685"/>
      <c r="AB76" s="2685"/>
      <c r="AC76" s="2685"/>
      <c r="AD76" s="2685"/>
      <c r="AE76" s="2713"/>
      <c r="AF76" s="2678"/>
      <c r="AG76" s="2678"/>
      <c r="AH76" s="2678"/>
      <c r="AI76" s="2678"/>
    </row>
    <row r="77" customHeight="1" spans="2:35">
      <c r="B77" s="2673"/>
      <c r="C77" s="2672"/>
      <c r="D77" s="2672"/>
      <c r="E77" s="2672"/>
      <c r="F77" s="2672"/>
      <c r="G77" s="2672"/>
      <c r="H77" s="2682"/>
      <c r="I77" s="2682"/>
      <c r="J77" s="2685"/>
      <c r="K77" s="2685"/>
      <c r="L77" s="2685"/>
      <c r="M77" s="2685"/>
      <c r="N77" s="2685"/>
      <c r="O77" s="2685"/>
      <c r="P77" s="2685"/>
      <c r="Q77" s="2685"/>
      <c r="R77" s="2685"/>
      <c r="S77" s="2685"/>
      <c r="T77" s="2685"/>
      <c r="U77" s="2685"/>
      <c r="V77" s="2685"/>
      <c r="W77" s="2685"/>
      <c r="X77" s="2685"/>
      <c r="Y77" s="2685"/>
      <c r="Z77" s="2685"/>
      <c r="AA77" s="2685"/>
      <c r="AB77" s="2685"/>
      <c r="AC77" s="2685"/>
      <c r="AD77" s="2685"/>
      <c r="AE77" s="2713"/>
      <c r="AF77" s="2678"/>
      <c r="AG77" s="2678"/>
      <c r="AH77" s="2678"/>
      <c r="AI77" s="2678"/>
    </row>
    <row r="78" customHeight="1" spans="2:35">
      <c r="B78" s="2674" t="s">
        <v>439</v>
      </c>
      <c r="C78" s="2675"/>
      <c r="D78" s="2675"/>
      <c r="E78" s="2675" t="s">
        <v>433</v>
      </c>
      <c r="F78" s="2675"/>
      <c r="G78" s="2675"/>
      <c r="H78" s="2683">
        <v>60</v>
      </c>
      <c r="I78" s="2683"/>
      <c r="J78" s="2694" t="s">
        <v>440</v>
      </c>
      <c r="K78" s="2694"/>
      <c r="L78" s="2694"/>
      <c r="M78" s="2694"/>
      <c r="N78" s="2694"/>
      <c r="O78" s="2694"/>
      <c r="P78" s="2694"/>
      <c r="Q78" s="2694"/>
      <c r="R78" s="2694"/>
      <c r="S78" s="2694"/>
      <c r="T78" s="2695" t="s">
        <v>441</v>
      </c>
      <c r="U78" s="2695"/>
      <c r="V78" s="2695"/>
      <c r="W78" s="2695"/>
      <c r="X78" s="2695"/>
      <c r="Y78" s="2695"/>
      <c r="Z78" s="2695"/>
      <c r="AA78" s="2695"/>
      <c r="AB78" s="2695"/>
      <c r="AC78" s="2695"/>
      <c r="AD78" s="2695"/>
      <c r="AE78" s="2715"/>
      <c r="AF78" s="2678"/>
      <c r="AG78" s="2678"/>
      <c r="AH78" s="2678"/>
      <c r="AI78" s="2678"/>
    </row>
    <row r="79" customHeight="1" spans="2:35">
      <c r="B79" s="2674"/>
      <c r="C79" s="2675"/>
      <c r="D79" s="2675"/>
      <c r="E79" s="2675"/>
      <c r="F79" s="2675"/>
      <c r="G79" s="2675"/>
      <c r="H79" s="2683"/>
      <c r="I79" s="2683"/>
      <c r="J79" s="2694"/>
      <c r="K79" s="2694"/>
      <c r="L79" s="2694"/>
      <c r="M79" s="2694"/>
      <c r="N79" s="2694"/>
      <c r="O79" s="2694"/>
      <c r="P79" s="2694"/>
      <c r="Q79" s="2694"/>
      <c r="R79" s="2694"/>
      <c r="S79" s="2694"/>
      <c r="T79" s="2695"/>
      <c r="U79" s="2695"/>
      <c r="V79" s="2695"/>
      <c r="W79" s="2695"/>
      <c r="X79" s="2695"/>
      <c r="Y79" s="2695"/>
      <c r="Z79" s="2695"/>
      <c r="AA79" s="2695"/>
      <c r="AB79" s="2695"/>
      <c r="AC79" s="2695"/>
      <c r="AD79" s="2695"/>
      <c r="AE79" s="2715"/>
      <c r="AF79" s="2678"/>
      <c r="AG79" s="2678"/>
      <c r="AH79" s="2678"/>
      <c r="AI79" s="2678"/>
    </row>
    <row r="80" customHeight="1" spans="2:35">
      <c r="B80" s="2674"/>
      <c r="C80" s="2675"/>
      <c r="D80" s="2675"/>
      <c r="E80" s="2675"/>
      <c r="F80" s="2675"/>
      <c r="G80" s="2675"/>
      <c r="H80" s="2683"/>
      <c r="I80" s="2683"/>
      <c r="J80" s="2694"/>
      <c r="K80" s="2694"/>
      <c r="L80" s="2694"/>
      <c r="M80" s="2694"/>
      <c r="N80" s="2694"/>
      <c r="O80" s="2694"/>
      <c r="P80" s="2694"/>
      <c r="Q80" s="2694"/>
      <c r="R80" s="2694"/>
      <c r="S80" s="2694"/>
      <c r="T80" s="2695"/>
      <c r="U80" s="2695"/>
      <c r="V80" s="2695"/>
      <c r="W80" s="2695"/>
      <c r="X80" s="2695"/>
      <c r="Y80" s="2695"/>
      <c r="Z80" s="2695"/>
      <c r="AA80" s="2695"/>
      <c r="AB80" s="2695"/>
      <c r="AC80" s="2695"/>
      <c r="AD80" s="2695"/>
      <c r="AE80" s="2715"/>
      <c r="AF80" s="2678"/>
      <c r="AG80" s="2678"/>
      <c r="AH80" s="2678"/>
      <c r="AI80" s="2678"/>
    </row>
    <row r="81" customHeight="1" spans="2:35">
      <c r="B81" s="2671" t="s">
        <v>442</v>
      </c>
      <c r="C81" s="2672"/>
      <c r="D81" s="2672"/>
      <c r="E81" s="2684" t="s">
        <v>443</v>
      </c>
      <c r="F81" s="2685"/>
      <c r="G81" s="2685"/>
      <c r="H81" s="2681">
        <v>0</v>
      </c>
      <c r="I81" s="2682"/>
      <c r="J81" s="2684" t="s">
        <v>178</v>
      </c>
      <c r="K81" s="2685"/>
      <c r="L81" s="2685"/>
      <c r="M81" s="2685"/>
      <c r="N81" s="2685"/>
      <c r="O81" s="2685"/>
      <c r="P81" s="2685"/>
      <c r="Q81" s="2685"/>
      <c r="R81" s="2685"/>
      <c r="S81" s="2685"/>
      <c r="T81" s="2684" t="s">
        <v>444</v>
      </c>
      <c r="U81" s="2685"/>
      <c r="V81" s="2685"/>
      <c r="W81" s="2685"/>
      <c r="X81" s="2685"/>
      <c r="Y81" s="2685"/>
      <c r="Z81" s="2685"/>
      <c r="AA81" s="2685"/>
      <c r="AB81" s="2685"/>
      <c r="AC81" s="2685"/>
      <c r="AD81" s="2685"/>
      <c r="AE81" s="2713"/>
      <c r="AF81" s="2678"/>
      <c r="AG81" s="2678"/>
      <c r="AH81" s="2678"/>
      <c r="AI81" s="2678"/>
    </row>
    <row r="82" customHeight="1" spans="2:35">
      <c r="B82" s="2673"/>
      <c r="C82" s="2672"/>
      <c r="D82" s="2672"/>
      <c r="E82" s="2685"/>
      <c r="F82" s="2685"/>
      <c r="G82" s="2685"/>
      <c r="H82" s="2682"/>
      <c r="I82" s="2682"/>
      <c r="J82" s="2685"/>
      <c r="K82" s="2685"/>
      <c r="L82" s="2685"/>
      <c r="M82" s="2685"/>
      <c r="N82" s="2685"/>
      <c r="O82" s="2685"/>
      <c r="P82" s="2685"/>
      <c r="Q82" s="2685"/>
      <c r="R82" s="2685"/>
      <c r="S82" s="2685"/>
      <c r="T82" s="2685"/>
      <c r="U82" s="2685"/>
      <c r="V82" s="2685"/>
      <c r="W82" s="2685"/>
      <c r="X82" s="2685"/>
      <c r="Y82" s="2685"/>
      <c r="Z82" s="2685"/>
      <c r="AA82" s="2685"/>
      <c r="AB82" s="2685"/>
      <c r="AC82" s="2685"/>
      <c r="AD82" s="2685"/>
      <c r="AE82" s="2713"/>
      <c r="AF82" s="2678"/>
      <c r="AG82" s="2678"/>
      <c r="AH82" s="2678"/>
      <c r="AI82" s="2678"/>
    </row>
    <row r="83" customHeight="1" spans="2:35">
      <c r="B83" s="2673"/>
      <c r="C83" s="2672"/>
      <c r="D83" s="2672"/>
      <c r="E83" s="2685"/>
      <c r="F83" s="2685"/>
      <c r="G83" s="2685"/>
      <c r="H83" s="2682"/>
      <c r="I83" s="2682"/>
      <c r="J83" s="2685"/>
      <c r="K83" s="2685"/>
      <c r="L83" s="2685"/>
      <c r="M83" s="2685"/>
      <c r="N83" s="2685"/>
      <c r="O83" s="2685"/>
      <c r="P83" s="2685"/>
      <c r="Q83" s="2685"/>
      <c r="R83" s="2685"/>
      <c r="S83" s="2685"/>
      <c r="T83" s="2685"/>
      <c r="U83" s="2685"/>
      <c r="V83" s="2685"/>
      <c r="W83" s="2685"/>
      <c r="X83" s="2685"/>
      <c r="Y83" s="2685"/>
      <c r="Z83" s="2685"/>
      <c r="AA83" s="2685"/>
      <c r="AB83" s="2685"/>
      <c r="AC83" s="2685"/>
      <c r="AD83" s="2685"/>
      <c r="AE83" s="2713"/>
      <c r="AF83" s="2678"/>
      <c r="AG83" s="2678"/>
      <c r="AH83" s="2678"/>
      <c r="AI83" s="2678"/>
    </row>
    <row r="84" customHeight="1" spans="2:35">
      <c r="B84" s="2674" t="str">
        <f>IF(ISBLANK(人物卡!BC27),"",人物卡!BC27)</f>
        <v/>
      </c>
      <c r="C84" s="2675"/>
      <c r="D84" s="2675"/>
      <c r="E84" s="2675" t="str">
        <f>IF(ISBLANK(人物卡!BC29),"",人物卡!BC29)</f>
        <v/>
      </c>
      <c r="F84" s="2675"/>
      <c r="G84" s="2675"/>
      <c r="H84" s="2675" t="str">
        <f>IF(ISBLANK(人物卡!BG29),"",人物卡!BG29)</f>
        <v/>
      </c>
      <c r="I84" s="2675"/>
      <c r="J84" s="2695" t="str">
        <f>IF(ISBLANK(人物卡!BC31),"",人物卡!BC31)</f>
        <v/>
      </c>
      <c r="K84" s="2695"/>
      <c r="L84" s="2695"/>
      <c r="M84" s="2695"/>
      <c r="N84" s="2695"/>
      <c r="O84" s="2695"/>
      <c r="P84" s="2695"/>
      <c r="Q84" s="2695"/>
      <c r="R84" s="2695"/>
      <c r="S84" s="2695"/>
      <c r="T84" s="2695" t="str">
        <f>IF(ISBLANK(人物卡!BC35),"",人物卡!BC35)</f>
        <v/>
      </c>
      <c r="U84" s="2695"/>
      <c r="V84" s="2695"/>
      <c r="W84" s="2695"/>
      <c r="X84" s="2695"/>
      <c r="Y84" s="2695"/>
      <c r="Z84" s="2695"/>
      <c r="AA84" s="2695"/>
      <c r="AB84" s="2695"/>
      <c r="AC84" s="2695"/>
      <c r="AD84" s="2695"/>
      <c r="AE84" s="2715"/>
      <c r="AF84" s="2678"/>
      <c r="AG84" s="2678"/>
      <c r="AH84" s="2678"/>
      <c r="AI84" s="2678"/>
    </row>
    <row r="85" customHeight="1" spans="2:35">
      <c r="B85" s="2674"/>
      <c r="C85" s="2675"/>
      <c r="D85" s="2675"/>
      <c r="E85" s="2675"/>
      <c r="F85" s="2675"/>
      <c r="G85" s="2675"/>
      <c r="H85" s="2675"/>
      <c r="I85" s="2675"/>
      <c r="J85" s="2695"/>
      <c r="K85" s="2695"/>
      <c r="L85" s="2695"/>
      <c r="M85" s="2695"/>
      <c r="N85" s="2695"/>
      <c r="O85" s="2695"/>
      <c r="P85" s="2695"/>
      <c r="Q85" s="2695"/>
      <c r="R85" s="2695"/>
      <c r="S85" s="2695"/>
      <c r="T85" s="2695"/>
      <c r="U85" s="2695"/>
      <c r="V85" s="2695"/>
      <c r="W85" s="2695"/>
      <c r="X85" s="2695"/>
      <c r="Y85" s="2695"/>
      <c r="Z85" s="2695"/>
      <c r="AA85" s="2695"/>
      <c r="AB85" s="2695"/>
      <c r="AC85" s="2695"/>
      <c r="AD85" s="2695"/>
      <c r="AE85" s="2715"/>
      <c r="AF85" s="2678"/>
      <c r="AG85" s="2678"/>
      <c r="AH85" s="2678"/>
      <c r="AI85" s="2678"/>
    </row>
    <row r="86" customHeight="1" spans="2:35">
      <c r="B86" s="2676"/>
      <c r="C86" s="2677"/>
      <c r="D86" s="2677"/>
      <c r="E86" s="2677"/>
      <c r="F86" s="2677"/>
      <c r="G86" s="2677"/>
      <c r="H86" s="2677"/>
      <c r="I86" s="2677"/>
      <c r="J86" s="2696"/>
      <c r="K86" s="2696"/>
      <c r="L86" s="2696"/>
      <c r="M86" s="2696"/>
      <c r="N86" s="2696"/>
      <c r="O86" s="2696"/>
      <c r="P86" s="2696"/>
      <c r="Q86" s="2696"/>
      <c r="R86" s="2696"/>
      <c r="S86" s="2696"/>
      <c r="T86" s="2696"/>
      <c r="U86" s="2696"/>
      <c r="V86" s="2696"/>
      <c r="W86" s="2696"/>
      <c r="X86" s="2696"/>
      <c r="Y86" s="2696"/>
      <c r="Z86" s="2696"/>
      <c r="AA86" s="2696"/>
      <c r="AB86" s="2696"/>
      <c r="AC86" s="2696"/>
      <c r="AD86" s="2696"/>
      <c r="AE86" s="2716"/>
      <c r="AF86" s="2678"/>
      <c r="AG86" s="2678"/>
      <c r="AH86" s="2678"/>
      <c r="AI86" s="2678"/>
    </row>
    <row r="87" customHeight="1" spans="32:35">
      <c r="AF87" s="2678"/>
      <c r="AG87" s="2678"/>
      <c r="AH87" s="2678"/>
      <c r="AI87" s="2678"/>
    </row>
    <row r="88" customHeight="1" spans="33:35">
      <c r="AG88" s="2678"/>
      <c r="AH88" s="2678"/>
      <c r="AI88" s="2678"/>
    </row>
    <row r="94" customHeight="1" spans="2:2">
      <c r="B94" s="2678"/>
    </row>
    <row r="95" customHeight="1" spans="2:2">
      <c r="B95" s="2678"/>
    </row>
    <row r="96" customHeight="1" spans="2:12">
      <c r="B96" s="2678"/>
      <c r="C96" s="2678"/>
      <c r="D96" s="2678"/>
      <c r="E96" s="2678"/>
      <c r="F96" s="2678"/>
      <c r="G96" s="2678"/>
      <c r="H96" s="2678"/>
      <c r="I96" s="2678"/>
      <c r="J96" s="2678"/>
      <c r="K96" s="2678"/>
      <c r="L96" s="2678"/>
    </row>
    <row r="99" customHeight="1" spans="32:35">
      <c r="AF99" s="2678"/>
      <c r="AG99" s="2678"/>
      <c r="AH99" s="2678"/>
      <c r="AI99" s="2678"/>
    </row>
    <row r="100" customHeight="1" spans="32:35">
      <c r="AF100" s="2678"/>
      <c r="AG100" s="2678"/>
      <c r="AH100" s="2678"/>
      <c r="AI100" s="2678"/>
    </row>
    <row r="101" customHeight="1" spans="2:35">
      <c r="B101" s="2678"/>
      <c r="C101" s="2678"/>
      <c r="D101" s="2678"/>
      <c r="E101" s="2678"/>
      <c r="F101" s="2678"/>
      <c r="G101" s="2678"/>
      <c r="H101" s="2678"/>
      <c r="I101" s="2678"/>
      <c r="J101" s="2678"/>
      <c r="K101" s="2678"/>
      <c r="L101" s="2678"/>
      <c r="M101" s="2678"/>
      <c r="N101" s="2678"/>
      <c r="O101" s="2678"/>
      <c r="P101" s="2678"/>
      <c r="Q101" s="2678"/>
      <c r="R101" s="2678"/>
      <c r="S101" s="2678"/>
      <c r="T101" s="2678"/>
      <c r="U101" s="2678"/>
      <c r="V101" s="2678"/>
      <c r="W101" s="2678"/>
      <c r="X101" s="2678"/>
      <c r="Y101" s="2678"/>
      <c r="Z101" s="2678"/>
      <c r="AA101" s="2678"/>
      <c r="AB101" s="2678"/>
      <c r="AC101" s="2678"/>
      <c r="AD101" s="2678"/>
      <c r="AE101" s="2678"/>
      <c r="AF101" s="2678"/>
      <c r="AG101" s="2678"/>
      <c r="AH101" s="2678"/>
      <c r="AI101" s="2678"/>
    </row>
    <row r="102" customHeight="1" spans="2:35">
      <c r="B102" s="2678"/>
      <c r="C102" s="2678"/>
      <c r="D102" s="2678"/>
      <c r="E102" s="2678"/>
      <c r="F102" s="2678"/>
      <c r="G102" s="2678"/>
      <c r="H102" s="2678"/>
      <c r="I102" s="2678"/>
      <c r="J102" s="2678"/>
      <c r="K102" s="2678"/>
      <c r="L102" s="2678"/>
      <c r="M102" s="2678"/>
      <c r="N102" s="2678"/>
      <c r="O102" s="2678"/>
      <c r="P102" s="2678"/>
      <c r="Q102" s="2678"/>
      <c r="R102" s="2678"/>
      <c r="S102" s="2678"/>
      <c r="T102" s="2678"/>
      <c r="U102" s="2678"/>
      <c r="V102" s="2678"/>
      <c r="W102" s="2678"/>
      <c r="X102" s="2678"/>
      <c r="Y102" s="2678"/>
      <c r="Z102" s="2678"/>
      <c r="AA102" s="2678"/>
      <c r="AB102" s="2678"/>
      <c r="AC102" s="2678"/>
      <c r="AD102" s="2678"/>
      <c r="AE102" s="2678"/>
      <c r="AF102" s="2678"/>
      <c r="AG102" s="2678"/>
      <c r="AH102" s="2678"/>
      <c r="AI102" s="2678"/>
    </row>
    <row r="103" customHeight="1" spans="2:35">
      <c r="B103" s="2678"/>
      <c r="C103" s="2678"/>
      <c r="D103" s="2678"/>
      <c r="E103" s="2678"/>
      <c r="F103" s="2678"/>
      <c r="G103" s="2678"/>
      <c r="H103" s="2678"/>
      <c r="I103" s="2678"/>
      <c r="J103" s="2678"/>
      <c r="K103" s="2678"/>
      <c r="L103" s="2678"/>
      <c r="M103" s="2678"/>
      <c r="N103" s="2678"/>
      <c r="O103" s="2678"/>
      <c r="P103" s="2678"/>
      <c r="Q103" s="2678"/>
      <c r="R103" s="2678"/>
      <c r="S103" s="2678"/>
      <c r="T103" s="2678"/>
      <c r="U103" s="2678"/>
      <c r="V103" s="2678"/>
      <c r="W103" s="2678"/>
      <c r="X103" s="2678"/>
      <c r="Y103" s="2678"/>
      <c r="Z103" s="2678"/>
      <c r="AA103" s="2678"/>
      <c r="AB103" s="2678"/>
      <c r="AC103" s="2678"/>
      <c r="AD103" s="2678"/>
      <c r="AE103" s="2678"/>
      <c r="AF103" s="2678"/>
      <c r="AG103" s="2678"/>
      <c r="AH103" s="2678"/>
      <c r="AI103" s="2678"/>
    </row>
    <row r="104" customHeight="1" spans="2:35">
      <c r="B104" s="2678"/>
      <c r="C104" s="2678"/>
      <c r="D104" s="2678"/>
      <c r="E104" s="2678"/>
      <c r="F104" s="2678"/>
      <c r="G104" s="2678"/>
      <c r="H104" s="2678"/>
      <c r="I104" s="2678"/>
      <c r="J104" s="2678"/>
      <c r="K104" s="2678"/>
      <c r="L104" s="2678"/>
      <c r="M104" s="2678"/>
      <c r="N104" s="2678"/>
      <c r="O104" s="2678"/>
      <c r="P104" s="2678"/>
      <c r="Q104" s="2678"/>
      <c r="R104" s="2678"/>
      <c r="S104" s="2678"/>
      <c r="T104" s="2678"/>
      <c r="U104" s="2678"/>
      <c r="V104" s="2678"/>
      <c r="W104" s="2678"/>
      <c r="X104" s="2678"/>
      <c r="Y104" s="2678"/>
      <c r="Z104" s="2678"/>
      <c r="AA104" s="2678"/>
      <c r="AB104" s="2678"/>
      <c r="AC104" s="2678"/>
      <c r="AD104" s="2678"/>
      <c r="AE104" s="2678"/>
      <c r="AF104" s="2678"/>
      <c r="AG104" s="2678"/>
      <c r="AH104" s="2678"/>
      <c r="AI104" s="2678"/>
    </row>
    <row r="105" customHeight="1" spans="2:35">
      <c r="B105" s="2678"/>
      <c r="C105" s="2678"/>
      <c r="D105" s="2678"/>
      <c r="E105" s="2678"/>
      <c r="F105" s="2678"/>
      <c r="G105" s="2678"/>
      <c r="H105" s="2678"/>
      <c r="I105" s="2678"/>
      <c r="J105" s="2678"/>
      <c r="K105" s="2678"/>
      <c r="L105" s="2678"/>
      <c r="M105" s="2678"/>
      <c r="N105" s="2678"/>
      <c r="O105" s="2678"/>
      <c r="P105" s="2678"/>
      <c r="Q105" s="2678"/>
      <c r="R105" s="2678"/>
      <c r="S105" s="2678"/>
      <c r="T105" s="2678"/>
      <c r="U105" s="2678"/>
      <c r="V105" s="2678"/>
      <c r="W105" s="2678"/>
      <c r="X105" s="2678"/>
      <c r="Y105" s="2678"/>
      <c r="Z105" s="2678"/>
      <c r="AA105" s="2678"/>
      <c r="AB105" s="2678"/>
      <c r="AC105" s="2678"/>
      <c r="AD105" s="2678"/>
      <c r="AE105" s="2678"/>
      <c r="AF105" s="2678"/>
      <c r="AG105" s="2678"/>
      <c r="AH105" s="2678"/>
      <c r="AI105" s="2678"/>
    </row>
    <row r="106" customHeight="1" spans="2:35">
      <c r="B106" s="2678"/>
      <c r="C106" s="2678"/>
      <c r="D106" s="2678"/>
      <c r="E106" s="2678"/>
      <c r="F106" s="2678"/>
      <c r="G106" s="2678"/>
      <c r="H106" s="2678"/>
      <c r="I106" s="2678"/>
      <c r="J106" s="2678"/>
      <c r="K106" s="2678"/>
      <c r="L106" s="2678"/>
      <c r="M106" s="2678"/>
      <c r="N106" s="2678"/>
      <c r="O106" s="2678"/>
      <c r="P106" s="2678"/>
      <c r="Q106" s="2678"/>
      <c r="R106" s="2678"/>
      <c r="S106" s="2678"/>
      <c r="T106" s="2678"/>
      <c r="U106" s="2678"/>
      <c r="V106" s="2678"/>
      <c r="W106" s="2678"/>
      <c r="X106" s="2678"/>
      <c r="Y106" s="2678"/>
      <c r="Z106" s="2678"/>
      <c r="AA106" s="2678"/>
      <c r="AB106" s="2678"/>
      <c r="AC106" s="2678"/>
      <c r="AD106" s="2678"/>
      <c r="AE106" s="2678"/>
      <c r="AF106" s="2678"/>
      <c r="AG106" s="2678"/>
      <c r="AH106" s="2678"/>
      <c r="AI106" s="2678"/>
    </row>
    <row r="107" customHeight="1" spans="2:35">
      <c r="B107" s="2678"/>
      <c r="C107" s="2678"/>
      <c r="D107" s="2678"/>
      <c r="E107" s="2678"/>
      <c r="F107" s="2678"/>
      <c r="G107" s="2678"/>
      <c r="H107" s="2678"/>
      <c r="I107" s="2678"/>
      <c r="J107" s="2678"/>
      <c r="K107" s="2678"/>
      <c r="L107" s="2678"/>
      <c r="M107" s="2678"/>
      <c r="N107" s="2678"/>
      <c r="O107" s="2678"/>
      <c r="P107" s="2678"/>
      <c r="Q107" s="2678"/>
      <c r="R107" s="2678"/>
      <c r="S107" s="2678"/>
      <c r="T107" s="2678"/>
      <c r="U107" s="2678"/>
      <c r="V107" s="2678"/>
      <c r="W107" s="2678"/>
      <c r="X107" s="2678"/>
      <c r="Y107" s="2678"/>
      <c r="Z107" s="2678"/>
      <c r="AA107" s="2678"/>
      <c r="AB107" s="2678"/>
      <c r="AC107" s="2678"/>
      <c r="AD107" s="2678"/>
      <c r="AE107" s="2678"/>
      <c r="AF107" s="2678"/>
      <c r="AG107" s="2678"/>
      <c r="AH107" s="2678"/>
      <c r="AI107" s="2678"/>
    </row>
    <row r="108" customHeight="1" spans="2:35">
      <c r="B108" s="2678"/>
      <c r="C108" s="2678"/>
      <c r="D108" s="2678"/>
      <c r="E108" s="2678"/>
      <c r="F108" s="2678"/>
      <c r="G108" s="2678"/>
      <c r="H108" s="2678"/>
      <c r="I108" s="2678"/>
      <c r="J108" s="2678"/>
      <c r="K108" s="2678"/>
      <c r="L108" s="2678"/>
      <c r="M108" s="2678"/>
      <c r="N108" s="2678"/>
      <c r="O108" s="2678"/>
      <c r="P108" s="2678"/>
      <c r="Q108" s="2678"/>
      <c r="R108" s="2678"/>
      <c r="S108" s="2678"/>
      <c r="T108" s="2678"/>
      <c r="U108" s="2678"/>
      <c r="V108" s="2678"/>
      <c r="W108" s="2678"/>
      <c r="X108" s="2678"/>
      <c r="Y108" s="2678"/>
      <c r="Z108" s="2678"/>
      <c r="AA108" s="2678"/>
      <c r="AB108" s="2678"/>
      <c r="AC108" s="2678"/>
      <c r="AD108" s="2678"/>
      <c r="AE108" s="2678"/>
      <c r="AF108" s="2678"/>
      <c r="AG108" s="2678"/>
      <c r="AH108" s="2678"/>
      <c r="AI108" s="2678"/>
    </row>
    <row r="109" customHeight="1" spans="2:35">
      <c r="B109" s="2678"/>
      <c r="C109" s="2678"/>
      <c r="D109" s="2678"/>
      <c r="E109" s="2678"/>
      <c r="F109" s="2678"/>
      <c r="G109" s="2678"/>
      <c r="H109" s="2678"/>
      <c r="I109" s="2678"/>
      <c r="J109" s="2678"/>
      <c r="K109" s="2678"/>
      <c r="L109" s="2678"/>
      <c r="M109" s="2678"/>
      <c r="N109" s="2678"/>
      <c r="O109" s="2678"/>
      <c r="P109" s="2678"/>
      <c r="Q109" s="2678"/>
      <c r="R109" s="2678"/>
      <c r="S109" s="2678"/>
      <c r="T109" s="2678"/>
      <c r="U109" s="2678"/>
      <c r="V109" s="2678"/>
      <c r="W109" s="2678"/>
      <c r="X109" s="2678"/>
      <c r="Y109" s="2678"/>
      <c r="Z109" s="2678"/>
      <c r="AA109" s="2678"/>
      <c r="AB109" s="2678"/>
      <c r="AC109" s="2678"/>
      <c r="AD109" s="2678"/>
      <c r="AE109" s="2678"/>
      <c r="AF109" s="2678"/>
      <c r="AG109" s="2678"/>
      <c r="AH109" s="2678"/>
      <c r="AI109" s="2678"/>
    </row>
  </sheetData>
  <sheetProtection sheet="1" selectLockedCells="1" formatCells="0" objects="1"/>
  <protectedRanges>
    <protectedRange sqref="AG3:AG6 AJ3:AJ6" name="技能表以上"/>
    <protectedRange sqref="E3:E6 H3:H6 B3:B6 K3:K6 AA4 AD4" name="技能表以上_1"/>
  </protectedRanges>
  <mergeCells count="334">
    <mergeCell ref="B2:M2"/>
    <mergeCell ref="N2:Y2"/>
    <mergeCell ref="Z2:AE2"/>
    <mergeCell ref="N3:P3"/>
    <mergeCell ref="T3:V3"/>
    <mergeCell ref="N4:P4"/>
    <mergeCell ref="T4:V4"/>
    <mergeCell ref="N5:P5"/>
    <mergeCell ref="T5:V5"/>
    <mergeCell ref="Z5:AE5"/>
    <mergeCell ref="N6:P6"/>
    <mergeCell ref="T6:V6"/>
    <mergeCell ref="Z6:AA6"/>
    <mergeCell ref="AB6:AE6"/>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N12:P12"/>
    <mergeCell ref="T12:V12"/>
    <mergeCell ref="Z12:AA12"/>
    <mergeCell ref="AB12:AE12"/>
    <mergeCell ref="N13:P13"/>
    <mergeCell ref="T13:V13"/>
    <mergeCell ref="Z13:AA13"/>
    <mergeCell ref="AB13:AE13"/>
    <mergeCell ref="N14:P14"/>
    <mergeCell ref="U14:V14"/>
    <mergeCell ref="Z14:AA14"/>
    <mergeCell ref="AB14:AE14"/>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N20:P20"/>
    <mergeCell ref="U20:V20"/>
    <mergeCell ref="O21:P21"/>
    <mergeCell ref="T21:V21"/>
    <mergeCell ref="Z21:AE21"/>
    <mergeCell ref="B22:M22"/>
    <mergeCell ref="O22:P22"/>
    <mergeCell ref="T22:V22"/>
    <mergeCell ref="Z22:AC22"/>
    <mergeCell ref="AD22:AE22"/>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D27"/>
    <mergeCell ref="E27:G27"/>
    <mergeCell ref="H27:J27"/>
    <mergeCell ref="K27:M27"/>
    <mergeCell ref="O27:P27"/>
    <mergeCell ref="T27:V27"/>
    <mergeCell ref="Z27:AC27"/>
    <mergeCell ref="AD27:AE27"/>
    <mergeCell ref="B28:M28"/>
    <mergeCell ref="O28:P28"/>
    <mergeCell ref="T28:V28"/>
    <mergeCell ref="Z28:AC28"/>
    <mergeCell ref="AD28:AE28"/>
    <mergeCell ref="C29:F29"/>
    <mergeCell ref="N29:P29"/>
    <mergeCell ref="T29:V29"/>
    <mergeCell ref="Z29:AC29"/>
    <mergeCell ref="AD29:AE29"/>
    <mergeCell ref="C30:F30"/>
    <mergeCell ref="N30:P30"/>
    <mergeCell ref="T30:V30"/>
    <mergeCell ref="Z30:AC30"/>
    <mergeCell ref="AD30:AE30"/>
    <mergeCell ref="C31:F31"/>
    <mergeCell ref="N31:P31"/>
    <mergeCell ref="T31:V31"/>
    <mergeCell ref="Z31:AC31"/>
    <mergeCell ref="AD31:AE31"/>
    <mergeCell ref="C32:F32"/>
    <mergeCell ref="N32:P32"/>
    <mergeCell ref="T32:V32"/>
    <mergeCell ref="Z32:AC32"/>
    <mergeCell ref="AD32:AE32"/>
    <mergeCell ref="C33:F33"/>
    <mergeCell ref="O33:P33"/>
    <mergeCell ref="T33:V33"/>
    <mergeCell ref="Z33:AC33"/>
    <mergeCell ref="AD33:AE33"/>
    <mergeCell ref="C34:F34"/>
    <mergeCell ref="O34:P34"/>
    <mergeCell ref="T34:V34"/>
    <mergeCell ref="C35:F35"/>
    <mergeCell ref="O35:P35"/>
    <mergeCell ref="T35:V35"/>
    <mergeCell ref="C36:G36"/>
    <mergeCell ref="O36:P36"/>
    <mergeCell ref="T36:V36"/>
    <mergeCell ref="B38:Y38"/>
    <mergeCell ref="B39:Y39"/>
    <mergeCell ref="B40:Y40"/>
    <mergeCell ref="B41:Y41"/>
    <mergeCell ref="B42:C42"/>
    <mergeCell ref="D42:E42"/>
    <mergeCell ref="F42:I42"/>
    <mergeCell ref="J42:K42"/>
    <mergeCell ref="L42:M42"/>
    <mergeCell ref="N42:Q42"/>
    <mergeCell ref="R42:S42"/>
    <mergeCell ref="T42:U42"/>
    <mergeCell ref="V42:Y42"/>
    <mergeCell ref="B43:C43"/>
    <mergeCell ref="D43:E43"/>
    <mergeCell ref="F43:I43"/>
    <mergeCell ref="J43:K43"/>
    <mergeCell ref="L43:M43"/>
    <mergeCell ref="N43:Q43"/>
    <mergeCell ref="R43:S43"/>
    <mergeCell ref="T43:U43"/>
    <mergeCell ref="V43:Y43"/>
    <mergeCell ref="B44:C44"/>
    <mergeCell ref="D44:E44"/>
    <mergeCell ref="F44:I44"/>
    <mergeCell ref="J44:K44"/>
    <mergeCell ref="L44:M44"/>
    <mergeCell ref="N44:Q44"/>
    <mergeCell ref="R44:S44"/>
    <mergeCell ref="T44:U44"/>
    <mergeCell ref="V44:Y44"/>
    <mergeCell ref="B45:C45"/>
    <mergeCell ref="D45:E45"/>
    <mergeCell ref="F45:I45"/>
    <mergeCell ref="J45:K45"/>
    <mergeCell ref="L45:M45"/>
    <mergeCell ref="N45:Q45"/>
    <mergeCell ref="R45:S45"/>
    <mergeCell ref="T45:U45"/>
    <mergeCell ref="V45:Y45"/>
    <mergeCell ref="B46:C46"/>
    <mergeCell ref="D46:E46"/>
    <mergeCell ref="F46:I46"/>
    <mergeCell ref="R46:S46"/>
    <mergeCell ref="T46:U46"/>
    <mergeCell ref="V46:Y46"/>
    <mergeCell ref="B47:C47"/>
    <mergeCell ref="D47:E47"/>
    <mergeCell ref="F47:I47"/>
    <mergeCell ref="R47:S47"/>
    <mergeCell ref="T47:U47"/>
    <mergeCell ref="V47:Y47"/>
    <mergeCell ref="B48:C48"/>
    <mergeCell ref="D48:E48"/>
    <mergeCell ref="F48:I48"/>
    <mergeCell ref="R48:S48"/>
    <mergeCell ref="T48:U48"/>
    <mergeCell ref="V48:Y48"/>
    <mergeCell ref="B49:C49"/>
    <mergeCell ref="D49:E49"/>
    <mergeCell ref="F49:I49"/>
    <mergeCell ref="J49:K49"/>
    <mergeCell ref="L49:M49"/>
    <mergeCell ref="N49:Q49"/>
    <mergeCell ref="R49:S49"/>
    <mergeCell ref="T49:U49"/>
    <mergeCell ref="V49:Y49"/>
    <mergeCell ref="B50:C50"/>
    <mergeCell ref="D50:E50"/>
    <mergeCell ref="F50:I50"/>
    <mergeCell ref="J50:K50"/>
    <mergeCell ref="L50:M50"/>
    <mergeCell ref="N50:Q50"/>
    <mergeCell ref="R50:S50"/>
    <mergeCell ref="T50:U50"/>
    <mergeCell ref="V50:Y50"/>
    <mergeCell ref="B51:C51"/>
    <mergeCell ref="D51:E51"/>
    <mergeCell ref="F51:I51"/>
    <mergeCell ref="J51:K51"/>
    <mergeCell ref="L51:M51"/>
    <mergeCell ref="N51:Q51"/>
    <mergeCell ref="R51:S51"/>
    <mergeCell ref="T51:U51"/>
    <mergeCell ref="V51:Y51"/>
    <mergeCell ref="B54:Y54"/>
    <mergeCell ref="B55:Y55"/>
    <mergeCell ref="B56:Y56"/>
    <mergeCell ref="B57:Y57"/>
    <mergeCell ref="B68:D68"/>
    <mergeCell ref="E68:G68"/>
    <mergeCell ref="H68:I68"/>
    <mergeCell ref="J68:S68"/>
    <mergeCell ref="T68:AE68"/>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H9:H10"/>
    <mergeCell ref="I3:I4"/>
    <mergeCell ref="I5:I6"/>
    <mergeCell ref="I7:I8"/>
    <mergeCell ref="J7:J8"/>
    <mergeCell ref="K3:K4"/>
    <mergeCell ref="K5:K6"/>
    <mergeCell ref="K7:K8"/>
    <mergeCell ref="K9:K10"/>
    <mergeCell ref="L3:L4"/>
    <mergeCell ref="L5:L6"/>
    <mergeCell ref="Z3:Z4"/>
    <mergeCell ref="T75:AE77"/>
    <mergeCell ref="H69:I71"/>
    <mergeCell ref="J75:S77"/>
    <mergeCell ref="H81:I83"/>
    <mergeCell ref="B81:D83"/>
    <mergeCell ref="E81:G83"/>
    <mergeCell ref="J81:S83"/>
    <mergeCell ref="J69:N71"/>
    <mergeCell ref="O69:S71"/>
    <mergeCell ref="T81:AE83"/>
    <mergeCell ref="B69:D71"/>
    <mergeCell ref="E69:G71"/>
    <mergeCell ref="AA3:AB4"/>
    <mergeCell ref="C9:D10"/>
    <mergeCell ref="I9:J10"/>
    <mergeCell ref="B75:D77"/>
    <mergeCell ref="E75:G77"/>
    <mergeCell ref="J84:S86"/>
    <mergeCell ref="H84:I86"/>
    <mergeCell ref="B84:D86"/>
    <mergeCell ref="E84:G86"/>
    <mergeCell ref="T78:AE80"/>
    <mergeCell ref="T84:AE86"/>
    <mergeCell ref="J72:S74"/>
    <mergeCell ref="H75:I77"/>
    <mergeCell ref="H78:I80"/>
    <mergeCell ref="J78:S80"/>
    <mergeCell ref="B78:D80"/>
    <mergeCell ref="E78:G80"/>
    <mergeCell ref="B52:G53"/>
    <mergeCell ref="Z18:AE20"/>
    <mergeCell ref="H29:M36"/>
    <mergeCell ref="L7:M8"/>
    <mergeCell ref="F9:G10"/>
    <mergeCell ref="L9:M10"/>
    <mergeCell ref="B58:L64"/>
    <mergeCell ref="Z34:AE36"/>
    <mergeCell ref="T72:AE74"/>
    <mergeCell ref="B20:M21"/>
    <mergeCell ref="H72:I74"/>
    <mergeCell ref="M58:Y64"/>
    <mergeCell ref="B72:D74"/>
    <mergeCell ref="E72:G74"/>
    <mergeCell ref="T69:AE71"/>
    <mergeCell ref="AD3:AE4"/>
    <mergeCell ref="B66:AE67"/>
  </mergeCells>
  <dataValidations count="4">
    <dataValidation type="list" allowBlank="1" showInputMessage="1" showErrorMessage="1" sqref="Z3">
      <formula1>"公元,公元前"</formula1>
    </dataValidation>
    <dataValidation type="list" allowBlank="1" showInputMessage="1" showErrorMessage="1" sqref="AA3 AC3:AC4">
      <formula1>#REF!</formula1>
    </dataValidation>
    <dataValidation allowBlank="1" showErrorMessage="1" sqref="I18:M18"/>
    <dataValidation allowBlank="1" showInputMessage="1" showErrorMessage="1" sqref="B3:M6"/>
  </dataValidations>
  <pageMargins left="0.75" right="0.75" top="1" bottom="1" header="0.511805555555556" footer="0.511805555555556"/>
  <headerFooter/>
  <drawing r:id="rId1"/>
  <picture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6C2223"/>
  </sheetPr>
  <dimension ref="A1:AH284"/>
  <sheetViews>
    <sheetView showGridLines="0" showRowColHeaders="0" zoomScale="64" zoomScaleNormal="64" workbookViewId="0">
      <pane ySplit="1" topLeftCell="A190" activePane="bottomLeft" state="frozen"/>
      <selection/>
      <selection pane="bottomLeft" activeCell="A258" sqref="A258:B259"/>
    </sheetView>
  </sheetViews>
  <sheetFormatPr defaultColWidth="9" defaultRowHeight="16.8"/>
  <cols>
    <col min="1" max="1" width="6.63461538461539" style="2265" customWidth="1"/>
    <col min="2" max="3" width="12.6346153846154" style="2266" customWidth="1"/>
    <col min="4" max="4" width="4.36538461538461" style="2266" customWidth="1"/>
    <col min="5" max="5" width="4.36538461538461" style="2267" customWidth="1"/>
    <col min="6" max="6" width="26.4519230769231" style="2265" customWidth="1"/>
    <col min="7" max="7" width="7.63461538461539" style="2265" customWidth="1"/>
    <col min="8" max="8" width="138" style="2265" customWidth="1"/>
    <col min="9" max="9" width="12.9038461538462" style="2266" customWidth="1"/>
    <col min="10" max="11" width="9.90384615384615" style="2265" customWidth="1"/>
    <col min="12" max="12" width="13.0865384615385" style="2265" hidden="1" customWidth="1"/>
    <col min="13" max="13" width="13.7307692307692" style="1875" hidden="1" customWidth="1"/>
    <col min="14" max="14" width="17.6346153846154" style="1875" hidden="1" customWidth="1"/>
    <col min="15" max="15" width="17.0865384615385" style="1875" hidden="1" customWidth="1"/>
    <col min="16" max="17" width="7.25961538461539" style="1875" customWidth="1"/>
    <col min="18" max="18" width="24.9038461538462" style="2099" customWidth="1"/>
    <col min="19" max="19" width="8.08653846153846" style="1875" customWidth="1"/>
    <col min="20" max="20" width="9" style="1875" customWidth="1"/>
    <col min="21" max="21" width="9" style="1875" hidden="1" customWidth="1"/>
    <col min="22" max="22" width="11.3653846153846" style="1875" hidden="1" customWidth="1"/>
    <col min="23" max="24" width="9" style="1875" hidden="1" customWidth="1"/>
    <col min="25" max="26" width="9" style="1875" customWidth="1"/>
    <col min="27" max="16384" width="9" style="1875"/>
  </cols>
  <sheetData>
    <row r="1" ht="27" customHeight="1" spans="1:18">
      <c r="A1" s="2268" t="s">
        <v>445</v>
      </c>
      <c r="B1" s="2269" t="s">
        <v>16</v>
      </c>
      <c r="C1" s="2270"/>
      <c r="D1" s="2271" t="s">
        <v>446</v>
      </c>
      <c r="E1" s="2284" t="s">
        <v>447</v>
      </c>
      <c r="F1" s="2269" t="s">
        <v>448</v>
      </c>
      <c r="G1" s="2269" t="s">
        <v>449</v>
      </c>
      <c r="H1" s="2285" t="s">
        <v>450</v>
      </c>
      <c r="I1" s="2265"/>
      <c r="L1" s="2299" t="s">
        <v>451</v>
      </c>
      <c r="M1" s="2299"/>
      <c r="N1" s="2299" t="s">
        <v>153</v>
      </c>
      <c r="O1" s="2299"/>
      <c r="R1" s="2360" t="str">
        <f>人物卡!M4</f>
        <v>1920s</v>
      </c>
    </row>
    <row r="2" spans="1:19">
      <c r="A2" s="2272">
        <v>0</v>
      </c>
      <c r="B2" s="2273" t="s">
        <v>452</v>
      </c>
      <c r="C2" s="2273"/>
      <c r="D2" s="2273"/>
      <c r="E2" s="2273"/>
      <c r="F2" s="2273"/>
      <c r="G2" s="2273"/>
      <c r="H2" s="2286"/>
      <c r="I2" s="2300" t="s">
        <v>453</v>
      </c>
      <c r="J2" s="2301" t="s">
        <v>454</v>
      </c>
      <c r="K2" s="2302"/>
      <c r="L2" s="2303"/>
      <c r="M2" s="2357"/>
      <c r="N2" s="2357"/>
      <c r="O2" s="2357"/>
      <c r="P2" s="2099"/>
      <c r="Q2" s="2099"/>
      <c r="R2"/>
      <c r="S2" s="2361"/>
    </row>
    <row r="3" ht="17.25" customHeight="1" spans="1:19">
      <c r="A3" s="2274">
        <v>1</v>
      </c>
      <c r="B3" s="2275" t="str">
        <f>IF(C3="","自定义职业",C3)</f>
        <v>自定义职业</v>
      </c>
      <c r="C3" s="2276"/>
      <c r="D3" s="2277">
        <v>0</v>
      </c>
      <c r="E3" s="2287" t="s">
        <v>455</v>
      </c>
      <c r="F3" s="2288" t="str">
        <f>附表!AB5</f>
        <v>教育×2+力量×2或体质×2</v>
      </c>
      <c r="G3" s="2289">
        <f>附表!AF5</f>
        <v>210</v>
      </c>
      <c r="H3" s="2290" t="str">
        <f>IF(附表!P60=1,附表!Q61&amp;附表!Q62&amp;附表!Q63&amp;附表!Q64&amp;附表!Q65&amp;附表!Q66&amp;附表!Q67&amp;附表!Q68&amp;附表!Q72&amp;附表!Q69&amp;附表!Q70&amp;附表!Q71,"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I3" s="2300"/>
      <c r="J3" s="2304"/>
      <c r="K3" s="2305"/>
      <c r="L3" s="2306" t="s">
        <v>456</v>
      </c>
      <c r="M3" s="2306"/>
      <c r="N3" s="2306" t="s">
        <v>457</v>
      </c>
      <c r="O3" s="2358"/>
      <c r="P3" s="2099"/>
      <c r="Q3" s="2099"/>
      <c r="R3"/>
      <c r="S3" s="2361"/>
    </row>
    <row r="4" ht="17" spans="1:19">
      <c r="A4" s="2272">
        <v>2</v>
      </c>
      <c r="B4" s="2278" t="s">
        <v>458</v>
      </c>
      <c r="C4" s="2278"/>
      <c r="D4" s="2279">
        <v>30</v>
      </c>
      <c r="E4" s="2291">
        <v>70</v>
      </c>
      <c r="F4" s="2292" t="s">
        <v>459</v>
      </c>
      <c r="G4" s="2292">
        <f>EDU*4</f>
        <v>220</v>
      </c>
      <c r="H4" s="2293" t="s">
        <v>460</v>
      </c>
      <c r="I4" s="2300"/>
      <c r="J4" s="2304"/>
      <c r="K4" s="2305"/>
      <c r="L4" s="2306" t="s">
        <v>461</v>
      </c>
      <c r="M4" s="2306"/>
      <c r="N4" s="2306" t="s">
        <v>462</v>
      </c>
      <c r="O4" s="2358"/>
      <c r="P4" s="2099"/>
      <c r="Q4" s="2099"/>
      <c r="R4"/>
      <c r="S4" s="2361"/>
    </row>
    <row r="5" ht="17" spans="1:19">
      <c r="A5" s="2280">
        <v>3</v>
      </c>
      <c r="B5" s="2281" t="s">
        <v>463</v>
      </c>
      <c r="C5" s="2282"/>
      <c r="D5" s="2283">
        <v>9</v>
      </c>
      <c r="E5" s="2294">
        <v>20</v>
      </c>
      <c r="F5" s="2295" t="s">
        <v>464</v>
      </c>
      <c r="G5" s="2295">
        <f>EDU*2+DEX*2</f>
        <v>250</v>
      </c>
      <c r="H5" s="2296" t="s">
        <v>465</v>
      </c>
      <c r="I5" s="2300"/>
      <c r="J5" s="2304"/>
      <c r="K5" s="2305"/>
      <c r="L5" s="2306" t="s">
        <v>466</v>
      </c>
      <c r="M5" s="2306"/>
      <c r="N5" s="2306" t="s">
        <v>467</v>
      </c>
      <c r="O5" s="2358"/>
      <c r="P5" s="2097"/>
      <c r="Q5" s="2099"/>
      <c r="R5"/>
      <c r="S5" s="2361"/>
    </row>
    <row r="6" ht="17" spans="1:19">
      <c r="A6" s="2272">
        <v>4</v>
      </c>
      <c r="B6" s="2278" t="s">
        <v>468</v>
      </c>
      <c r="C6" s="2278"/>
      <c r="D6" s="2279">
        <v>9</v>
      </c>
      <c r="E6" s="2291">
        <v>40</v>
      </c>
      <c r="F6" s="2292" t="s">
        <v>469</v>
      </c>
      <c r="G6" s="2292">
        <f>EDU*2+APP*2</f>
        <v>270</v>
      </c>
      <c r="H6" s="2293" t="s">
        <v>470</v>
      </c>
      <c r="I6" s="2300"/>
      <c r="J6" s="2304"/>
      <c r="K6" s="2305"/>
      <c r="L6" s="2306" t="s">
        <v>471</v>
      </c>
      <c r="M6" s="2306"/>
      <c r="N6" s="2306" t="s">
        <v>472</v>
      </c>
      <c r="O6" s="2358"/>
      <c r="P6" s="2099"/>
      <c r="Q6" s="2099"/>
      <c r="R6"/>
      <c r="S6" s="2362"/>
    </row>
    <row r="7" ht="16.5" customHeight="1" spans="1:19">
      <c r="A7" s="2280">
        <v>5</v>
      </c>
      <c r="B7" s="2281" t="s">
        <v>473</v>
      </c>
      <c r="C7" s="2282"/>
      <c r="D7" s="2283">
        <v>20</v>
      </c>
      <c r="E7" s="2294">
        <v>90</v>
      </c>
      <c r="F7" s="2295" t="s">
        <v>469</v>
      </c>
      <c r="G7" s="2295">
        <f>EDU*2+APP*2</f>
        <v>270</v>
      </c>
      <c r="H7" s="2296" t="s">
        <v>474</v>
      </c>
      <c r="I7" s="2300"/>
      <c r="J7" s="2304"/>
      <c r="K7" s="2305"/>
      <c r="L7" s="2306" t="s">
        <v>475</v>
      </c>
      <c r="M7" s="2306"/>
      <c r="N7" s="2306" t="s">
        <v>472</v>
      </c>
      <c r="O7" s="2358"/>
      <c r="P7" s="2099"/>
      <c r="Q7" s="2099"/>
      <c r="R7"/>
      <c r="S7" s="2363"/>
    </row>
    <row r="8" spans="1:19">
      <c r="A8" s="2272">
        <v>6</v>
      </c>
      <c r="B8" s="2273" t="s">
        <v>476</v>
      </c>
      <c r="C8" s="2273"/>
      <c r="D8" s="2273">
        <v>20</v>
      </c>
      <c r="E8" s="2273">
        <v>45</v>
      </c>
      <c r="F8" s="2273" t="s">
        <v>477</v>
      </c>
      <c r="G8" s="2273">
        <f>EDU*2+MAX(STR*2,DEX*2)</f>
        <v>250</v>
      </c>
      <c r="H8" s="2286" t="s">
        <v>478</v>
      </c>
      <c r="I8" s="2300"/>
      <c r="J8" s="2304"/>
      <c r="K8" s="2305"/>
      <c r="L8" s="2306" t="s">
        <v>479</v>
      </c>
      <c r="M8" s="2306"/>
      <c r="N8" s="2306" t="s">
        <v>480</v>
      </c>
      <c r="O8" s="2358"/>
      <c r="P8" s="2099"/>
      <c r="Q8" s="2099"/>
      <c r="R8"/>
      <c r="S8" s="2362"/>
    </row>
    <row r="9" ht="34" spans="1:19">
      <c r="A9" s="2274">
        <v>7</v>
      </c>
      <c r="B9" s="2275" t="s">
        <v>481</v>
      </c>
      <c r="C9" s="2276"/>
      <c r="D9" s="2277">
        <v>10</v>
      </c>
      <c r="E9" s="2287">
        <v>60</v>
      </c>
      <c r="F9" s="2288" t="s">
        <v>482</v>
      </c>
      <c r="G9" s="2289">
        <f>EDU*4</f>
        <v>220</v>
      </c>
      <c r="H9" s="2290" t="s">
        <v>483</v>
      </c>
      <c r="I9" s="2300"/>
      <c r="J9" s="2304"/>
      <c r="K9" s="2305"/>
      <c r="L9" s="2306" t="s">
        <v>484</v>
      </c>
      <c r="M9" s="2306"/>
      <c r="N9" s="2306" t="s">
        <v>485</v>
      </c>
      <c r="O9" s="2358"/>
      <c r="P9" s="2099"/>
      <c r="Q9" s="2099"/>
      <c r="R9"/>
      <c r="S9" s="2361"/>
    </row>
    <row r="10" ht="17" spans="1:34">
      <c r="A10" s="2272">
        <v>8</v>
      </c>
      <c r="B10" s="2278" t="s">
        <v>486</v>
      </c>
      <c r="C10" s="2278"/>
      <c r="D10" s="2279">
        <v>10</v>
      </c>
      <c r="E10" s="2291">
        <v>40</v>
      </c>
      <c r="F10" s="2292" t="s">
        <v>487</v>
      </c>
      <c r="G10" s="2292">
        <f>EDU*2+MAX(APP*2,POW*2)</f>
        <v>270</v>
      </c>
      <c r="H10" s="2293" t="s">
        <v>488</v>
      </c>
      <c r="I10" s="2300"/>
      <c r="J10" s="2304"/>
      <c r="K10" s="2305"/>
      <c r="L10" s="2306" t="s">
        <v>489</v>
      </c>
      <c r="M10" s="2306"/>
      <c r="N10" s="2306" t="s">
        <v>490</v>
      </c>
      <c r="O10" s="2358"/>
      <c r="P10" s="2099"/>
      <c r="Q10" s="2099"/>
      <c r="R10"/>
      <c r="S10" s="2361"/>
      <c r="T10"/>
      <c r="U10"/>
      <c r="V10"/>
      <c r="W10"/>
      <c r="X10"/>
      <c r="Y10"/>
      <c r="Z10"/>
      <c r="AA10"/>
      <c r="AB10"/>
      <c r="AC10"/>
      <c r="AD10"/>
      <c r="AE10"/>
      <c r="AF10"/>
      <c r="AG10"/>
      <c r="AH10"/>
    </row>
    <row r="11" ht="17.25" customHeight="1" spans="1:34">
      <c r="A11" s="2280">
        <v>9</v>
      </c>
      <c r="B11" s="2281" t="s">
        <v>491</v>
      </c>
      <c r="C11" s="2282"/>
      <c r="D11" s="2283">
        <v>30</v>
      </c>
      <c r="E11" s="2294">
        <v>70</v>
      </c>
      <c r="F11" s="2295" t="s">
        <v>482</v>
      </c>
      <c r="G11" s="2295">
        <f>EDU*4</f>
        <v>220</v>
      </c>
      <c r="H11" s="2296" t="s">
        <v>492</v>
      </c>
      <c r="I11" s="2291"/>
      <c r="J11" s="2307" t="s">
        <v>493</v>
      </c>
      <c r="K11" s="2308"/>
      <c r="L11" s="2306" t="s">
        <v>494</v>
      </c>
      <c r="M11" s="2306"/>
      <c r="N11" s="2306" t="s">
        <v>495</v>
      </c>
      <c r="O11" s="2358"/>
      <c r="P11" s="2099"/>
      <c r="Q11" s="2099"/>
      <c r="R11"/>
      <c r="S11" s="2361"/>
      <c r="T11"/>
      <c r="U11"/>
      <c r="V11"/>
      <c r="W11"/>
      <c r="X11"/>
      <c r="Y11"/>
      <c r="Z11"/>
      <c r="AA11"/>
      <c r="AB11"/>
      <c r="AC11"/>
      <c r="AD11"/>
      <c r="AE11"/>
      <c r="AF11"/>
      <c r="AG11"/>
      <c r="AH11"/>
    </row>
    <row r="12" ht="17.75" spans="1:34">
      <c r="A12" s="2272">
        <v>10</v>
      </c>
      <c r="B12" s="2278" t="s">
        <v>496</v>
      </c>
      <c r="C12" s="2278"/>
      <c r="D12" s="2279">
        <v>30</v>
      </c>
      <c r="E12" s="2291">
        <v>50</v>
      </c>
      <c r="F12" s="2292" t="s">
        <v>482</v>
      </c>
      <c r="G12" s="2292">
        <f>EDU*4</f>
        <v>220</v>
      </c>
      <c r="H12" s="2293" t="s">
        <v>497</v>
      </c>
      <c r="I12" s="2309"/>
      <c r="J12" s="2309"/>
      <c r="K12" s="2309"/>
      <c r="L12" s="2306" t="s">
        <v>498</v>
      </c>
      <c r="M12" s="2306"/>
      <c r="N12" s="2306" t="s">
        <v>499</v>
      </c>
      <c r="O12" s="2358"/>
      <c r="P12" s="2099"/>
      <c r="Q12" s="2099"/>
      <c r="R12"/>
      <c r="S12" s="2361"/>
      <c r="T12"/>
      <c r="U12"/>
      <c r="V12"/>
      <c r="W12"/>
      <c r="X12"/>
      <c r="Y12"/>
      <c r="Z12"/>
      <c r="AA12"/>
      <c r="AB12"/>
      <c r="AC12"/>
      <c r="AD12"/>
      <c r="AE12"/>
      <c r="AF12"/>
      <c r="AG12"/>
      <c r="AH12"/>
    </row>
    <row r="13" ht="17" spans="1:34">
      <c r="A13" s="2280">
        <v>11</v>
      </c>
      <c r="B13" s="2281" t="s">
        <v>500</v>
      </c>
      <c r="C13" s="2282"/>
      <c r="D13" s="2283">
        <v>10</v>
      </c>
      <c r="E13" s="2294">
        <v>40</v>
      </c>
      <c r="F13" s="2295" t="s">
        <v>482</v>
      </c>
      <c r="G13" s="2295">
        <f>EDU*4</f>
        <v>220</v>
      </c>
      <c r="H13" s="2296" t="s">
        <v>501</v>
      </c>
      <c r="I13" s="2310" t="s">
        <v>502</v>
      </c>
      <c r="J13" s="2311"/>
      <c r="K13" s="2312"/>
      <c r="L13" s="2306" t="s">
        <v>503</v>
      </c>
      <c r="M13" s="2306"/>
      <c r="N13" s="2306" t="s">
        <v>504</v>
      </c>
      <c r="O13" s="2358"/>
      <c r="P13" s="2099"/>
      <c r="Q13" s="2099"/>
      <c r="R13"/>
      <c r="S13" s="2361"/>
      <c r="T13"/>
      <c r="U13"/>
      <c r="V13"/>
      <c r="W13"/>
      <c r="X13"/>
      <c r="Y13"/>
      <c r="Z13"/>
      <c r="AA13"/>
      <c r="AB13"/>
      <c r="AC13"/>
      <c r="AD13"/>
      <c r="AE13"/>
      <c r="AF13"/>
      <c r="AG13"/>
      <c r="AH13"/>
    </row>
    <row r="14" ht="17" spans="1:34">
      <c r="A14" s="2272">
        <v>12</v>
      </c>
      <c r="B14" s="2273" t="s">
        <v>505</v>
      </c>
      <c r="C14" s="2273"/>
      <c r="D14" s="2273">
        <v>30</v>
      </c>
      <c r="E14" s="2273">
        <v>70</v>
      </c>
      <c r="F14" s="2273" t="s">
        <v>482</v>
      </c>
      <c r="G14" s="2273">
        <f>EDU*4</f>
        <v>220</v>
      </c>
      <c r="H14" s="2286" t="s">
        <v>506</v>
      </c>
      <c r="I14" s="2313" t="s">
        <v>507</v>
      </c>
      <c r="J14" s="2314" t="s">
        <v>508</v>
      </c>
      <c r="K14" s="2315" t="s">
        <v>509</v>
      </c>
      <c r="L14" s="2306" t="s">
        <v>510</v>
      </c>
      <c r="M14" s="2306"/>
      <c r="N14" s="2306" t="s">
        <v>511</v>
      </c>
      <c r="O14" s="2358"/>
      <c r="P14" s="2099"/>
      <c r="Q14" s="2099"/>
      <c r="R14"/>
      <c r="S14" s="2361"/>
      <c r="T14"/>
      <c r="U14"/>
      <c r="V14"/>
      <c r="W14"/>
      <c r="X14"/>
      <c r="Y14"/>
      <c r="Z14"/>
      <c r="AA14"/>
      <c r="AB14"/>
      <c r="AC14"/>
      <c r="AD14"/>
      <c r="AE14"/>
      <c r="AF14"/>
      <c r="AG14"/>
      <c r="AH14"/>
    </row>
    <row r="15" ht="17.25" customHeight="1" spans="1:34">
      <c r="A15" s="2274">
        <v>13</v>
      </c>
      <c r="B15" s="2275" t="s">
        <v>512</v>
      </c>
      <c r="C15" s="2276"/>
      <c r="D15" s="2277">
        <v>9</v>
      </c>
      <c r="E15" s="2287">
        <v>50</v>
      </c>
      <c r="F15" s="2288" t="s">
        <v>513</v>
      </c>
      <c r="G15" s="2289">
        <f>EDU*2+MAX(DEX*2,POW*2)</f>
        <v>250</v>
      </c>
      <c r="H15" s="2290" t="s">
        <v>514</v>
      </c>
      <c r="I15" s="2316" t="s">
        <v>381</v>
      </c>
      <c r="J15" s="2317" t="s">
        <v>515</v>
      </c>
      <c r="K15" s="2318">
        <f>IF(J15="√",2,0)</f>
        <v>2</v>
      </c>
      <c r="L15" s="2306" t="s">
        <v>516</v>
      </c>
      <c r="M15" s="2306"/>
      <c r="N15" s="2306" t="s">
        <v>517</v>
      </c>
      <c r="O15" s="2358"/>
      <c r="P15" s="2099"/>
      <c r="Q15" s="2099"/>
      <c r="R15"/>
      <c r="S15" s="2361"/>
      <c r="T15"/>
      <c r="U15"/>
      <c r="V15"/>
      <c r="W15"/>
      <c r="X15"/>
      <c r="Y15"/>
      <c r="Z15"/>
      <c r="AA15"/>
      <c r="AB15"/>
      <c r="AC15"/>
      <c r="AD15"/>
      <c r="AE15"/>
      <c r="AF15"/>
      <c r="AG15"/>
      <c r="AH15"/>
    </row>
    <row r="16" ht="17.25" customHeight="1" spans="1:34">
      <c r="A16" s="2272">
        <v>14</v>
      </c>
      <c r="B16" s="2278" t="s">
        <v>518</v>
      </c>
      <c r="C16" s="2278"/>
      <c r="D16" s="2279">
        <v>8</v>
      </c>
      <c r="E16" s="2291">
        <v>20</v>
      </c>
      <c r="F16" s="2292" t="s">
        <v>477</v>
      </c>
      <c r="G16" s="2292">
        <f>EDU*2+MAX(STR*2,DEX*2)</f>
        <v>250</v>
      </c>
      <c r="H16" s="2293" t="s">
        <v>519</v>
      </c>
      <c r="I16" s="2319" t="s">
        <v>386</v>
      </c>
      <c r="J16" s="2320" t="s">
        <v>181</v>
      </c>
      <c r="K16" s="2321">
        <f>IF(J16="√",2,0)</f>
        <v>0</v>
      </c>
      <c r="L16" s="2306" t="s">
        <v>520</v>
      </c>
      <c r="M16" s="2306"/>
      <c r="N16" s="2306" t="s">
        <v>521</v>
      </c>
      <c r="O16" s="2358"/>
      <c r="P16" s="2099"/>
      <c r="Q16" s="2099"/>
      <c r="R16"/>
      <c r="S16" s="2361"/>
      <c r="T16"/>
      <c r="U16"/>
      <c r="V16"/>
      <c r="W16"/>
      <c r="X16"/>
      <c r="Y16"/>
      <c r="Z16"/>
      <c r="AA16"/>
      <c r="AB16"/>
      <c r="AC16"/>
      <c r="AD16"/>
      <c r="AE16"/>
      <c r="AF16"/>
      <c r="AG16"/>
      <c r="AH16"/>
    </row>
    <row r="17" s="2264" customFormat="1" ht="16.5" customHeight="1" spans="1:34">
      <c r="A17" s="2280">
        <v>15</v>
      </c>
      <c r="B17" s="2281" t="s">
        <v>522</v>
      </c>
      <c r="C17" s="2282"/>
      <c r="D17" s="2283">
        <v>9</v>
      </c>
      <c r="E17" s="2294">
        <v>70</v>
      </c>
      <c r="F17" s="2295" t="s">
        <v>477</v>
      </c>
      <c r="G17" s="2295">
        <f>EDU*2+MAX(STR*2,DEX*2)</f>
        <v>250</v>
      </c>
      <c r="H17" s="2296" t="s">
        <v>523</v>
      </c>
      <c r="I17" s="2319" t="s">
        <v>391</v>
      </c>
      <c r="J17" s="2320" t="s">
        <v>515</v>
      </c>
      <c r="K17" s="2321">
        <f>IF(J17="√",2,0)</f>
        <v>2</v>
      </c>
      <c r="L17" s="2306" t="s">
        <v>524</v>
      </c>
      <c r="M17" s="2306"/>
      <c r="N17" s="2306" t="s">
        <v>525</v>
      </c>
      <c r="O17" s="2358"/>
      <c r="P17" s="2099"/>
      <c r="Q17" s="2099"/>
      <c r="R17"/>
      <c r="S17" s="2361"/>
      <c r="T17"/>
      <c r="U17"/>
      <c r="V17"/>
      <c r="W17"/>
      <c r="X17"/>
      <c r="Y17"/>
      <c r="Z17"/>
      <c r="AA17"/>
      <c r="AB17"/>
      <c r="AC17"/>
      <c r="AD17" s="2365"/>
      <c r="AE17" s="2365"/>
      <c r="AF17" s="2365"/>
      <c r="AG17" s="2365"/>
      <c r="AH17" s="2365"/>
    </row>
    <row r="18" ht="17" spans="1:34">
      <c r="A18" s="2272">
        <v>16</v>
      </c>
      <c r="B18" s="2278" t="s">
        <v>526</v>
      </c>
      <c r="C18" s="2278"/>
      <c r="D18" s="2279">
        <v>9</v>
      </c>
      <c r="E18" s="2291">
        <v>30</v>
      </c>
      <c r="F18" s="2292" t="s">
        <v>482</v>
      </c>
      <c r="G18" s="2292">
        <f>EDU*4</f>
        <v>220</v>
      </c>
      <c r="H18" s="2293" t="s">
        <v>527</v>
      </c>
      <c r="I18" s="2319" t="s">
        <v>397</v>
      </c>
      <c r="J18" s="2320" t="s">
        <v>181</v>
      </c>
      <c r="K18" s="2321">
        <f t="shared" ref="K18:K23" si="0">IF(J18="√",2,0)</f>
        <v>0</v>
      </c>
      <c r="L18" s="2306" t="s">
        <v>528</v>
      </c>
      <c r="M18" s="2306"/>
      <c r="N18" s="2306" t="s">
        <v>529</v>
      </c>
      <c r="O18" s="2358"/>
      <c r="P18" s="2099"/>
      <c r="Q18" s="2099"/>
      <c r="R18"/>
      <c r="S18" s="2361"/>
      <c r="T18"/>
      <c r="U18"/>
      <c r="V18" s="2304">
        <f>IF(K39="是",I40,0)</f>
        <v>0</v>
      </c>
      <c r="W18" s="2305"/>
      <c r="X18"/>
      <c r="Y18"/>
      <c r="Z18"/>
      <c r="AA18"/>
      <c r="AB18"/>
      <c r="AC18"/>
      <c r="AD18"/>
      <c r="AE18"/>
      <c r="AF18"/>
      <c r="AG18"/>
      <c r="AH18"/>
    </row>
    <row r="19" ht="16.5" customHeight="1" spans="1:34">
      <c r="A19" s="2280">
        <v>17</v>
      </c>
      <c r="B19" s="2281" t="s">
        <v>530</v>
      </c>
      <c r="C19" s="2282"/>
      <c r="D19" s="2283">
        <v>8</v>
      </c>
      <c r="E19" s="2294">
        <v>25</v>
      </c>
      <c r="F19" s="2295" t="s">
        <v>469</v>
      </c>
      <c r="G19" s="2295">
        <f>EDU*2+APP*2</f>
        <v>270</v>
      </c>
      <c r="H19" s="2296" t="s">
        <v>531</v>
      </c>
      <c r="I19" s="2316" t="s">
        <v>399</v>
      </c>
      <c r="J19" s="2317" t="s">
        <v>181</v>
      </c>
      <c r="K19" s="2318">
        <f t="shared" si="0"/>
        <v>0</v>
      </c>
      <c r="L19" s="2306" t="s">
        <v>532</v>
      </c>
      <c r="M19" s="2306"/>
      <c r="N19" s="2306" t="s">
        <v>533</v>
      </c>
      <c r="O19" s="2358"/>
      <c r="P19" s="2099"/>
      <c r="Q19" s="2099"/>
      <c r="R19"/>
      <c r="S19" s="2361"/>
      <c r="T19"/>
      <c r="U19"/>
      <c r="V19" s="2304">
        <f>IF(K51="是",I52,0)</f>
        <v>0</v>
      </c>
      <c r="W19" s="2305"/>
      <c r="X19"/>
      <c r="Y19"/>
      <c r="Z19"/>
      <c r="AA19"/>
      <c r="AB19"/>
      <c r="AC19"/>
      <c r="AD19"/>
      <c r="AE19"/>
      <c r="AF19"/>
      <c r="AG19"/>
      <c r="AH19"/>
    </row>
    <row r="20" ht="16.5" customHeight="1" spans="1:31">
      <c r="A20" s="2272">
        <v>18</v>
      </c>
      <c r="B20" s="2273" t="s">
        <v>534</v>
      </c>
      <c r="C20" s="2273"/>
      <c r="D20" s="2273">
        <v>20</v>
      </c>
      <c r="E20" s="2273">
        <v>50</v>
      </c>
      <c r="F20" s="2273" t="s">
        <v>477</v>
      </c>
      <c r="G20" s="2273">
        <f>EDU*2+MAX(STR*2,DEX*2)</f>
        <v>250</v>
      </c>
      <c r="H20" s="2286" t="s">
        <v>535</v>
      </c>
      <c r="I20" s="2319" t="s">
        <v>401</v>
      </c>
      <c r="J20" s="2320" t="s">
        <v>181</v>
      </c>
      <c r="K20" s="2321">
        <f t="shared" si="0"/>
        <v>0</v>
      </c>
      <c r="L20" s="2306" t="s">
        <v>536</v>
      </c>
      <c r="M20" s="2306"/>
      <c r="N20" s="2306" t="s">
        <v>537</v>
      </c>
      <c r="O20" s="2358"/>
      <c r="P20" s="2099"/>
      <c r="Q20" s="2099"/>
      <c r="R20"/>
      <c r="S20" s="2361"/>
      <c r="T20"/>
      <c r="U20"/>
      <c r="V20" s="2304">
        <f>IF(K63="是",I64,0)</f>
        <v>0</v>
      </c>
      <c r="W20" s="2305"/>
      <c r="X20"/>
      <c r="Y20"/>
      <c r="Z20"/>
      <c r="AA20"/>
      <c r="AB20"/>
      <c r="AC20"/>
      <c r="AD20"/>
      <c r="AE20"/>
    </row>
    <row r="21" ht="17" spans="1:31">
      <c r="A21" s="2274">
        <v>19</v>
      </c>
      <c r="B21" s="2275" t="s">
        <v>538</v>
      </c>
      <c r="C21" s="2276"/>
      <c r="D21" s="2277">
        <v>20</v>
      </c>
      <c r="E21" s="2287">
        <v>40</v>
      </c>
      <c r="F21" s="2288" t="s">
        <v>482</v>
      </c>
      <c r="G21" s="2289">
        <f>EDU*4</f>
        <v>220</v>
      </c>
      <c r="H21" s="2290" t="s">
        <v>539</v>
      </c>
      <c r="I21" s="2316" t="s">
        <v>408</v>
      </c>
      <c r="J21" s="2317" t="s">
        <v>515</v>
      </c>
      <c r="K21" s="2318">
        <f>IF(J21="√",IF(SUM(K15:K20,K22:K23)&gt;0,2,4),0)</f>
        <v>2</v>
      </c>
      <c r="L21" s="2306" t="s">
        <v>540</v>
      </c>
      <c r="M21" s="2306"/>
      <c r="N21" s="2306" t="s">
        <v>541</v>
      </c>
      <c r="O21" s="2358"/>
      <c r="P21" s="2099"/>
      <c r="Q21" s="2099"/>
      <c r="R21"/>
      <c r="S21" s="2363"/>
      <c r="T21"/>
      <c r="U21"/>
      <c r="X21"/>
      <c r="Y21"/>
      <c r="Z21"/>
      <c r="AA21"/>
      <c r="AB21"/>
      <c r="AC21"/>
      <c r="AD21"/>
      <c r="AE21"/>
    </row>
    <row r="22" ht="16.5" customHeight="1" spans="1:31">
      <c r="A22" s="2272">
        <v>20</v>
      </c>
      <c r="B22" s="2278" t="s">
        <v>542</v>
      </c>
      <c r="C22" s="2278"/>
      <c r="D22" s="2279">
        <v>9</v>
      </c>
      <c r="E22" s="2291">
        <v>30</v>
      </c>
      <c r="F22" s="2292" t="s">
        <v>477</v>
      </c>
      <c r="G22" s="2292">
        <f>EDU*2+MAX(STR*2,DEX*2)</f>
        <v>250</v>
      </c>
      <c r="H22" s="2293" t="s">
        <v>543</v>
      </c>
      <c r="I22" s="2319" t="s">
        <v>404</v>
      </c>
      <c r="J22" s="2320" t="s">
        <v>181</v>
      </c>
      <c r="K22" s="2321">
        <f t="shared" si="0"/>
        <v>0</v>
      </c>
      <c r="L22" s="2306" t="s">
        <v>544</v>
      </c>
      <c r="M22" s="2306"/>
      <c r="N22" s="2306" t="s">
        <v>545</v>
      </c>
      <c r="O22" s="2358"/>
      <c r="P22" s="2099"/>
      <c r="Q22" s="2099"/>
      <c r="R22"/>
      <c r="S22" s="2363"/>
      <c r="T22"/>
      <c r="U22"/>
      <c r="V22"/>
      <c r="W22"/>
      <c r="X22"/>
      <c r="Y22"/>
      <c r="Z22"/>
      <c r="AA22"/>
      <c r="AB22"/>
      <c r="AC22"/>
      <c r="AD22"/>
      <c r="AE22"/>
    </row>
    <row r="23" ht="16.5" customHeight="1" spans="1:30">
      <c r="A23" s="2280">
        <v>21</v>
      </c>
      <c r="B23" s="2281" t="s">
        <v>546</v>
      </c>
      <c r="C23" s="2282"/>
      <c r="D23" s="2283">
        <v>9</v>
      </c>
      <c r="E23" s="2294">
        <v>60</v>
      </c>
      <c r="F23" s="2295" t="s">
        <v>547</v>
      </c>
      <c r="G23" s="2295">
        <f>EDU*2+STR*2</f>
        <v>170</v>
      </c>
      <c r="H23" s="2296" t="s">
        <v>548</v>
      </c>
      <c r="I23" s="2316" t="s">
        <v>414</v>
      </c>
      <c r="J23" s="2317" t="s">
        <v>181</v>
      </c>
      <c r="K23" s="2318">
        <f t="shared" si="0"/>
        <v>0</v>
      </c>
      <c r="L23" s="2306" t="s">
        <v>549</v>
      </c>
      <c r="M23" s="2306"/>
      <c r="N23" s="2306" t="s">
        <v>550</v>
      </c>
      <c r="O23" s="2358"/>
      <c r="P23" s="2099"/>
      <c r="Q23" s="2099"/>
      <c r="R23"/>
      <c r="S23" s="2361"/>
      <c r="T23"/>
      <c r="U23"/>
      <c r="V23"/>
      <c r="W23"/>
      <c r="X23"/>
      <c r="Y23"/>
      <c r="Z23"/>
      <c r="AA23"/>
      <c r="AB23"/>
      <c r="AC23"/>
      <c r="AD23"/>
    </row>
    <row r="24" ht="17" spans="1:30">
      <c r="A24" s="2272">
        <v>22</v>
      </c>
      <c r="B24" s="2278" t="s">
        <v>551</v>
      </c>
      <c r="C24" s="2278"/>
      <c r="D24" s="2279">
        <v>9</v>
      </c>
      <c r="E24" s="2291">
        <v>40</v>
      </c>
      <c r="F24" s="2292" t="s">
        <v>482</v>
      </c>
      <c r="G24" s="2292">
        <f>EDU*4</f>
        <v>220</v>
      </c>
      <c r="H24" s="2293" t="s">
        <v>552</v>
      </c>
      <c r="I24" s="2322" t="s">
        <v>553</v>
      </c>
      <c r="J24" s="2323"/>
      <c r="K24" s="2324"/>
      <c r="L24" s="2325"/>
      <c r="M24" s="2325"/>
      <c r="N24" s="2325"/>
      <c r="O24" s="2325"/>
      <c r="P24" s="2325"/>
      <c r="Q24" s="2325"/>
      <c r="R24"/>
      <c r="S24" s="2362"/>
      <c r="T24"/>
      <c r="U24"/>
      <c r="V24" t="s">
        <v>554</v>
      </c>
      <c r="W24"/>
      <c r="X24"/>
      <c r="Y24"/>
      <c r="Z24"/>
      <c r="AA24"/>
      <c r="AB24"/>
      <c r="AC24"/>
      <c r="AD24"/>
    </row>
    <row r="25" ht="17" spans="1:22">
      <c r="A25" s="2280">
        <v>23</v>
      </c>
      <c r="B25" s="2281" t="s">
        <v>555</v>
      </c>
      <c r="C25" s="2282"/>
      <c r="D25" s="2283">
        <v>9</v>
      </c>
      <c r="E25" s="2294">
        <v>60</v>
      </c>
      <c r="F25" s="2295" t="s">
        <v>482</v>
      </c>
      <c r="G25" s="2295">
        <f>EDU*4</f>
        <v>220</v>
      </c>
      <c r="H25" s="2296" t="s">
        <v>556</v>
      </c>
      <c r="I25" s="2326" t="s">
        <v>557</v>
      </c>
      <c r="J25" s="2327"/>
      <c r="K25" s="2328"/>
      <c r="L25" s="2306" t="s">
        <v>558</v>
      </c>
      <c r="M25" s="2306"/>
      <c r="N25" s="2306" t="s">
        <v>559</v>
      </c>
      <c r="O25" s="2358"/>
      <c r="P25" s="2359"/>
      <c r="Q25" s="2099"/>
      <c r="R25"/>
      <c r="S25" s="2363"/>
      <c r="V25" s="1875" t="str">
        <f>IF(K39="是",IF(职业列表!$I$31="社交技能","☯","☆"),"")</f>
        <v/>
      </c>
    </row>
    <row r="26" ht="17.55" spans="1:23">
      <c r="A26" s="2272">
        <v>24</v>
      </c>
      <c r="B26" s="2273" t="s">
        <v>560</v>
      </c>
      <c r="C26" s="2273"/>
      <c r="D26" s="2273">
        <v>10</v>
      </c>
      <c r="E26" s="2273">
        <v>70</v>
      </c>
      <c r="F26" s="2273" t="s">
        <v>482</v>
      </c>
      <c r="G26" s="2273">
        <f>EDU*4</f>
        <v>220</v>
      </c>
      <c r="H26" s="2286" t="s">
        <v>561</v>
      </c>
      <c r="I26" s="2329" t="str">
        <f>F3</f>
        <v>教育×2+力量×2或体质×2</v>
      </c>
      <c r="J26" s="2330"/>
      <c r="K26" s="2331"/>
      <c r="L26" s="2306" t="s">
        <v>562</v>
      </c>
      <c r="M26" s="2306"/>
      <c r="N26" s="2306" t="s">
        <v>563</v>
      </c>
      <c r="O26" s="2358"/>
      <c r="P26" s="2359"/>
      <c r="Q26" s="2099"/>
      <c r="R26"/>
      <c r="S26" s="2363"/>
      <c r="V26" s="1875" t="str">
        <f>IF(K51="是",IF(职业列表!$I$43="社交技能","☯","⊙"),"")</f>
        <v/>
      </c>
      <c r="W26" s="1875" t="s">
        <v>564</v>
      </c>
    </row>
    <row r="27" ht="17.75" spans="1:23">
      <c r="A27" s="2280">
        <v>25</v>
      </c>
      <c r="B27" s="2281" t="s">
        <v>565</v>
      </c>
      <c r="C27" s="2282"/>
      <c r="D27" s="2283">
        <v>10</v>
      </c>
      <c r="E27" s="2294">
        <v>70</v>
      </c>
      <c r="F27" s="2295" t="s">
        <v>482</v>
      </c>
      <c r="G27" s="2295">
        <f>EDU*4</f>
        <v>220</v>
      </c>
      <c r="H27" s="2297" t="s">
        <v>566</v>
      </c>
      <c r="I27" s="2332"/>
      <c r="J27" s="2330"/>
      <c r="K27" s="2330"/>
      <c r="L27" s="2306" t="s">
        <v>567</v>
      </c>
      <c r="M27" s="2306"/>
      <c r="N27" s="2306" t="s">
        <v>568</v>
      </c>
      <c r="O27" s="2358"/>
      <c r="P27" s="2359"/>
      <c r="Q27" s="2099"/>
      <c r="R27"/>
      <c r="S27" s="2362"/>
      <c r="V27" s="1875" t="str">
        <f>IF(K63="是",IF(职业列表!$I$55="社交技能","☯","※"),"")</f>
        <v/>
      </c>
      <c r="W27" s="2364">
        <f>IF(ISNUMBER(职业列表!$J$3+职业列表!$J$4+职业列表!$J$5+职业列表!$J$6+职业列表!$J$7+职业列表!$J$8+职业列表!$J$9+职业列表!$J$10),0,1)</f>
        <v>0</v>
      </c>
    </row>
    <row r="28" ht="17.25" customHeight="1" spans="1:19">
      <c r="A28" s="2272">
        <v>26</v>
      </c>
      <c r="B28" s="2278" t="s">
        <v>569</v>
      </c>
      <c r="C28" s="2278"/>
      <c r="D28" s="2279">
        <v>9</v>
      </c>
      <c r="E28" s="2291">
        <v>20</v>
      </c>
      <c r="F28" s="2292" t="s">
        <v>477</v>
      </c>
      <c r="G28" s="2292">
        <f>EDU*2+MAX(STR*2,DEX*2)</f>
        <v>250</v>
      </c>
      <c r="H28" s="2291" t="s">
        <v>570</v>
      </c>
      <c r="I28" s="2332"/>
      <c r="J28" s="2330"/>
      <c r="K28" s="2330"/>
      <c r="L28" s="2306" t="s">
        <v>571</v>
      </c>
      <c r="M28" s="2306"/>
      <c r="N28" s="2306" t="s">
        <v>572</v>
      </c>
      <c r="O28" s="2358"/>
      <c r="P28" s="2359"/>
      <c r="Q28" s="2099"/>
      <c r="R28"/>
      <c r="S28" s="2361"/>
    </row>
    <row r="29" ht="16.5" customHeight="1" spans="1:19">
      <c r="A29" s="2280">
        <v>27</v>
      </c>
      <c r="B29" s="2281" t="s">
        <v>573</v>
      </c>
      <c r="C29" s="2282"/>
      <c r="D29" s="2283">
        <v>10</v>
      </c>
      <c r="E29" s="2294" t="s">
        <v>574</v>
      </c>
      <c r="F29" s="2295" t="s">
        <v>575</v>
      </c>
      <c r="G29" s="2295">
        <f>EDU*2+DEX*2</f>
        <v>250</v>
      </c>
      <c r="H29" s="2297" t="s">
        <v>576</v>
      </c>
      <c r="I29" s="2333" t="str">
        <f>V25&amp;"自定义 X 选 X 技能"&amp;V25</f>
        <v>自定义 X 选 X 技能</v>
      </c>
      <c r="J29" s="2334"/>
      <c r="K29" s="2335"/>
      <c r="L29"/>
      <c r="M29"/>
      <c r="N29"/>
      <c r="O29"/>
      <c r="P29"/>
      <c r="Q29"/>
      <c r="R29" s="1875"/>
      <c r="S29" s="2361"/>
    </row>
    <row r="30" ht="17.25" customHeight="1" spans="1:19">
      <c r="A30" s="2272">
        <v>28</v>
      </c>
      <c r="B30" s="2278" t="s">
        <v>577</v>
      </c>
      <c r="C30" s="2278"/>
      <c r="D30" s="2279">
        <v>30</v>
      </c>
      <c r="E30" s="2291">
        <v>60</v>
      </c>
      <c r="F30" s="2292" t="s">
        <v>477</v>
      </c>
      <c r="G30" s="2292">
        <f>EDU*2+MAX(STR*2,DEX*2)</f>
        <v>250</v>
      </c>
      <c r="H30" s="2291" t="s">
        <v>578</v>
      </c>
      <c r="I30" s="2336" t="s">
        <v>124</v>
      </c>
      <c r="J30" s="2314" t="s">
        <v>579</v>
      </c>
      <c r="K30" s="2315" t="s">
        <v>580</v>
      </c>
      <c r="L30"/>
      <c r="M30"/>
      <c r="N30"/>
      <c r="O30"/>
      <c r="P30"/>
      <c r="Q30"/>
      <c r="R30" s="1875"/>
      <c r="S30" s="2361"/>
    </row>
    <row r="31" ht="17.25" customHeight="1" spans="1:19">
      <c r="A31" s="2280">
        <v>29</v>
      </c>
      <c r="B31" s="2281" t="s">
        <v>581</v>
      </c>
      <c r="C31" s="2282"/>
      <c r="D31" s="2283">
        <v>5</v>
      </c>
      <c r="E31" s="2294">
        <v>75</v>
      </c>
      <c r="F31" s="2295" t="s">
        <v>582</v>
      </c>
      <c r="G31" s="2295">
        <f>EDU*2+MAX(STR*2,DEX*2)</f>
        <v>250</v>
      </c>
      <c r="H31" s="2297" t="s">
        <v>583</v>
      </c>
      <c r="I31" s="2337" t="s">
        <v>584</v>
      </c>
      <c r="J31" s="2338" t="s">
        <v>154</v>
      </c>
      <c r="K31" s="2339">
        <v>1</v>
      </c>
      <c r="L31"/>
      <c r="M31"/>
      <c r="N31"/>
      <c r="O31"/>
      <c r="P31"/>
      <c r="R31" s="1875"/>
      <c r="S31" s="2361"/>
    </row>
    <row r="32" ht="17.25" customHeight="1" spans="1:24">
      <c r="A32" s="2272">
        <v>30</v>
      </c>
      <c r="B32" s="2278" t="s">
        <v>585</v>
      </c>
      <c r="C32" s="2278"/>
      <c r="D32" s="2279">
        <v>5</v>
      </c>
      <c r="E32" s="2291">
        <v>30</v>
      </c>
      <c r="F32" s="2292" t="s">
        <v>586</v>
      </c>
      <c r="G32" s="2292">
        <f>EDU*2+STR*2</f>
        <v>170</v>
      </c>
      <c r="H32" s="2291" t="s">
        <v>587</v>
      </c>
      <c r="I32" s="2340" t="s">
        <v>588</v>
      </c>
      <c r="J32" s="2341" t="s">
        <v>103</v>
      </c>
      <c r="K32" s="2342"/>
      <c r="L32"/>
      <c r="M32"/>
      <c r="N32"/>
      <c r="O32"/>
      <c r="P32"/>
      <c r="R32" s="1875"/>
      <c r="S32" s="2362"/>
      <c r="U32" s="1875">
        <f>IF(IFERROR(VLOOKUP("驯兽",$J$3:$K$10,1,FALSE),"%^&amp;@%##@^")="驯兽",1,0)</f>
        <v>0</v>
      </c>
      <c r="W32" s="1875" t="s">
        <v>148</v>
      </c>
      <c r="X32" s="1875" t="s">
        <v>589</v>
      </c>
    </row>
    <row r="33" ht="17.25" customHeight="1" spans="1:24">
      <c r="A33" s="2280">
        <v>31</v>
      </c>
      <c r="B33" s="2281" t="s">
        <v>590</v>
      </c>
      <c r="C33" s="2282"/>
      <c r="D33" s="2283">
        <v>5</v>
      </c>
      <c r="E33" s="2294">
        <v>40</v>
      </c>
      <c r="F33" s="2295" t="s">
        <v>591</v>
      </c>
      <c r="G33" s="2295">
        <f>EDU*2+DEX*2</f>
        <v>250</v>
      </c>
      <c r="H33" s="2297" t="s">
        <v>592</v>
      </c>
      <c r="I33" s="2343"/>
      <c r="J33" s="2344" t="s">
        <v>122</v>
      </c>
      <c r="K33" s="2342"/>
      <c r="L33"/>
      <c r="M33"/>
      <c r="N33"/>
      <c r="O33"/>
      <c r="P33"/>
      <c r="Q33"/>
      <c r="R33" s="1875"/>
      <c r="S33" s="2363"/>
      <c r="U33" s="1875">
        <f>IF(IFERROR(VLOOKUP("驯兽",$J$31:$J$39,1,FALSE),"%^&amp;@%##@^")="驯兽",1,0)</f>
        <v>0</v>
      </c>
      <c r="V33" s="1875">
        <f>IF(IF(IFERROR(VLOOKUP("驯兽",$J$3:$K$10,1,FALSE),"%^&amp;@%##@^")="驯兽",1,0)+IF(IFERROR(VLOOKUP("驯兽",$J$31:$J$39,1,FALSE),"%^&amp;@%##@^")="驯兽",1,0)+IF(IFERROR(VLOOKUP("驯兽",$J$43:$J$51,1,FALSE),"%^&amp;@%##@^")="驯兽",1,0)+IF(IFERROR(VLOOKUP("驯兽",$J$55:$J$63,1,FALSE),"%^&amp;@%##@^")="驯兽",1,0)=0,0,0)</f>
        <v>0</v>
      </c>
      <c r="W33" s="1875">
        <f>_xlfn.IFS(IF(IFERROR(VLOOKUP("驯兽",职业列表!$J$3:$K$10,1,FALSE),"%^&amp;@%##@^")="驯兽",1,0)=1,"★",IF(IFERROR(VLOOKUP("驯兽",职业列表!$J$31:$J$39,1,FALSE),"%^&amp;@%##@^")="驯兽",1,0)=1,IF($I$31="社交技能","☯","☆"),IF(IFERROR(VLOOKUP("驯兽",职业列表!$J$43:$J$51,1,FALSE),"%^&amp;@%##@^")="驯兽",1,0)=1,IF($I$43="社交技能","☯","⊙"),IF(IFERROR(VLOOKUP("驯兽",职业列表!$J$55:$J$63,1,FALSE),"%^&amp;@%##@^")="驯兽",1,0)=1,IF($I$55="社交技能","☯","※"),IF(IFERROR(VLOOKUP("驯兽",职业列表!$J$3:$K$10,1,FALSE),"%^&amp;@%##@^")="驯兽",1,0)+IF(IFERROR(VLOOKUP("驯兽",职业列表!$J$31:$J$39,1,FALSE),"%^&amp;@%##@^")="驯兽",1,0)+IF(IFERROR(VLOOKUP("驯兽",职业列表!$J$43:$J$51,1,FALSE),"%^&amp;@%##@^")="驯兽",1,0)+IF(IFERROR(VLOOKUP("驯兽",职业列表!$J$55:$J$63,1,FALSE),"%^&amp;@%##@^")="驯兽",1,0)=0,0)</f>
        <v>0</v>
      </c>
      <c r="X33" s="1875" t="s">
        <v>593</v>
      </c>
    </row>
    <row r="34" ht="17.25" customHeight="1" spans="1:24">
      <c r="A34" s="2272">
        <v>32</v>
      </c>
      <c r="B34" s="2278" t="s">
        <v>594</v>
      </c>
      <c r="C34" s="2278"/>
      <c r="D34" s="2279">
        <v>10</v>
      </c>
      <c r="E34" s="2291">
        <v>65</v>
      </c>
      <c r="F34" s="2292" t="s">
        <v>595</v>
      </c>
      <c r="G34" s="2292">
        <f>EDU*2+APP*2</f>
        <v>270</v>
      </c>
      <c r="H34" s="2291" t="s">
        <v>596</v>
      </c>
      <c r="I34" s="2343"/>
      <c r="J34" s="2341" t="s">
        <v>87</v>
      </c>
      <c r="K34" s="2342"/>
      <c r="L34"/>
      <c r="M34"/>
      <c r="N34"/>
      <c r="O34"/>
      <c r="P34"/>
      <c r="Q34"/>
      <c r="R34" s="1875"/>
      <c r="S34" s="2362"/>
      <c r="U34" s="1875">
        <f>IF(IFERROR(VLOOKUP("驯兽",$J$43:$J$51,1,FALSE),"%^&amp;@%##@^")="驯兽",1,0)</f>
        <v>0</v>
      </c>
      <c r="X34" s="1245" t="s">
        <v>597</v>
      </c>
    </row>
    <row r="35" ht="17.25" customHeight="1" spans="1:24">
      <c r="A35" s="2280">
        <v>33</v>
      </c>
      <c r="B35" s="2281" t="s">
        <v>598</v>
      </c>
      <c r="C35" s="2282"/>
      <c r="D35" s="2283">
        <v>5</v>
      </c>
      <c r="E35" s="2294">
        <v>65</v>
      </c>
      <c r="F35" s="2295" t="s">
        <v>599</v>
      </c>
      <c r="G35" s="2295">
        <f>EDU*2+MAX(DEX*2,APP*2)</f>
        <v>270</v>
      </c>
      <c r="H35" s="2297" t="s">
        <v>600</v>
      </c>
      <c r="I35" s="2343"/>
      <c r="J35" s="2344"/>
      <c r="K35" s="2342"/>
      <c r="L35"/>
      <c r="M35"/>
      <c r="N35"/>
      <c r="O35"/>
      <c r="P35"/>
      <c r="Q35"/>
      <c r="R35" s="1875"/>
      <c r="S35" s="2361"/>
      <c r="U35" s="1875">
        <f>IF(IFERROR(VLOOKUP("驯兽",$J$55:$J$63,1,FALSE),"%^&amp;@%##@^")="驯兽",1,0)</f>
        <v>0</v>
      </c>
      <c r="V35" s="1245"/>
      <c r="X35" s="1875" t="s">
        <v>601</v>
      </c>
    </row>
    <row r="36" ht="17.25" customHeight="1" spans="1:19">
      <c r="A36" s="2272">
        <v>34</v>
      </c>
      <c r="B36" s="2278" t="s">
        <v>602</v>
      </c>
      <c r="C36" s="2278"/>
      <c r="D36" s="2279">
        <v>10</v>
      </c>
      <c r="E36" s="2291">
        <v>80</v>
      </c>
      <c r="F36" s="2298" t="s">
        <v>469</v>
      </c>
      <c r="G36" s="2292">
        <f>EDU*2+APP*2</f>
        <v>270</v>
      </c>
      <c r="H36" s="2291" t="s">
        <v>603</v>
      </c>
      <c r="I36" s="2343"/>
      <c r="J36" s="2341"/>
      <c r="K36" s="2342"/>
      <c r="L36"/>
      <c r="M36"/>
      <c r="N36"/>
      <c r="O36"/>
      <c r="P36"/>
      <c r="Q36"/>
      <c r="R36" s="1875"/>
      <c r="S36" s="2099"/>
    </row>
    <row r="37" ht="17.25" customHeight="1" spans="1:19">
      <c r="A37" s="2280">
        <v>35</v>
      </c>
      <c r="B37" s="2281" t="s">
        <v>604</v>
      </c>
      <c r="C37" s="2282"/>
      <c r="D37" s="2283">
        <v>20</v>
      </c>
      <c r="E37" s="2294">
        <v>40</v>
      </c>
      <c r="F37" s="2295" t="s">
        <v>595</v>
      </c>
      <c r="G37" s="2295">
        <f>EDU*2+APP*2</f>
        <v>270</v>
      </c>
      <c r="H37" s="2297" t="s">
        <v>605</v>
      </c>
      <c r="I37" s="2343"/>
      <c r="J37" s="2344"/>
      <c r="K37" s="2342"/>
      <c r="L37"/>
      <c r="M37"/>
      <c r="N37"/>
      <c r="O37"/>
      <c r="P37"/>
      <c r="Q37"/>
      <c r="R37"/>
      <c r="S37" s="2099"/>
    </row>
    <row r="38" ht="17" spans="1:19">
      <c r="A38" s="2272">
        <v>36</v>
      </c>
      <c r="B38" s="2278" t="s">
        <v>606</v>
      </c>
      <c r="C38" s="2278"/>
      <c r="D38" s="2279">
        <v>20</v>
      </c>
      <c r="E38" s="2291">
        <v>60</v>
      </c>
      <c r="F38" s="2292" t="s">
        <v>482</v>
      </c>
      <c r="G38" s="2292">
        <f>EDU*4</f>
        <v>220</v>
      </c>
      <c r="H38" s="2291" t="s">
        <v>607</v>
      </c>
      <c r="I38" s="2343"/>
      <c r="J38" s="2341"/>
      <c r="K38" s="2345" t="s">
        <v>608</v>
      </c>
      <c r="L38"/>
      <c r="M38"/>
      <c r="N38"/>
      <c r="O38"/>
      <c r="R38"/>
      <c r="S38" s="2099"/>
    </row>
    <row r="39" ht="17.25" customHeight="1" spans="1:19">
      <c r="A39" s="2280">
        <v>37</v>
      </c>
      <c r="B39" s="2281" t="s">
        <v>609</v>
      </c>
      <c r="C39" s="2282"/>
      <c r="D39" s="2283">
        <v>20</v>
      </c>
      <c r="E39" s="2294">
        <v>60</v>
      </c>
      <c r="F39" s="2295" t="s">
        <v>610</v>
      </c>
      <c r="G39" s="2295">
        <f>EDU*2+MAX(DEX*2,APP*2)</f>
        <v>270</v>
      </c>
      <c r="H39" s="2297" t="s">
        <v>611</v>
      </c>
      <c r="I39" s="2343"/>
      <c r="J39" s="2346"/>
      <c r="K39" s="2347" t="s">
        <v>612</v>
      </c>
      <c r="L39"/>
      <c r="M39"/>
      <c r="N39"/>
      <c r="O39"/>
      <c r="R39"/>
      <c r="S39" s="2099"/>
    </row>
    <row r="40" ht="17.25" customHeight="1" spans="1:19">
      <c r="A40" s="2272">
        <v>38</v>
      </c>
      <c r="B40" s="2278" t="s">
        <v>613</v>
      </c>
      <c r="C40" s="2278"/>
      <c r="D40" s="2279">
        <v>3</v>
      </c>
      <c r="E40" s="2291">
        <v>10</v>
      </c>
      <c r="F40" s="2292" t="s">
        <v>477</v>
      </c>
      <c r="G40" s="2292">
        <f>EDU*2+MAX(STR*2,DEX*2)</f>
        <v>250</v>
      </c>
      <c r="H40" s="2291" t="s">
        <v>614</v>
      </c>
      <c r="I40" s="2348" t="str">
        <f>_xlfn.IFS(附表!P74=0,"",附表!P74=1,附表!O75&amp;附表!Q85,附表!P74=2,附表!O76&amp;附表!Q85,附表!P74=3,附表!O74&amp;附表!Q85)</f>
        <v>一项社交技能:(恐吓、说服、话术、取悦)</v>
      </c>
      <c r="J40" s="2349"/>
      <c r="K40" s="2350"/>
      <c r="L40"/>
      <c r="M40"/>
      <c r="N40"/>
      <c r="O40"/>
      <c r="P40"/>
      <c r="Q40"/>
      <c r="R40" s="1875"/>
      <c r="S40" s="2099"/>
    </row>
    <row r="41" ht="17" spans="1:19">
      <c r="A41" s="2280">
        <v>39</v>
      </c>
      <c r="B41" s="2281" t="s">
        <v>615</v>
      </c>
      <c r="C41" s="2282"/>
      <c r="D41" s="2283">
        <v>30</v>
      </c>
      <c r="E41" s="2294">
        <v>30</v>
      </c>
      <c r="F41" s="2295" t="s">
        <v>482</v>
      </c>
      <c r="G41" s="2295">
        <f>EDU*4</f>
        <v>220</v>
      </c>
      <c r="H41" s="2297" t="s">
        <v>616</v>
      </c>
      <c r="I41" s="2333" t="str">
        <f>V26&amp;"自定义 X 选 X 技能"&amp;V26</f>
        <v>自定义 X 选 X 技能</v>
      </c>
      <c r="J41" s="2334"/>
      <c r="K41" s="2335"/>
      <c r="L41"/>
      <c r="M41"/>
      <c r="N41"/>
      <c r="O41"/>
      <c r="Q41"/>
      <c r="R41" s="1875"/>
      <c r="S41" s="2099"/>
    </row>
    <row r="42" ht="34" spans="1:19">
      <c r="A42" s="2280">
        <v>40</v>
      </c>
      <c r="B42" s="2281" t="s">
        <v>617</v>
      </c>
      <c r="C42" s="2282"/>
      <c r="D42" s="2283">
        <v>20</v>
      </c>
      <c r="E42" s="2294">
        <v>60</v>
      </c>
      <c r="F42" s="2295" t="s">
        <v>482</v>
      </c>
      <c r="G42" s="2295">
        <f>EDU*4</f>
        <v>220</v>
      </c>
      <c r="H42" s="2297" t="s">
        <v>618</v>
      </c>
      <c r="I42" s="2336" t="s">
        <v>124</v>
      </c>
      <c r="J42" s="2314" t="s">
        <v>579</v>
      </c>
      <c r="K42" s="2315" t="s">
        <v>580</v>
      </c>
      <c r="L42"/>
      <c r="M42"/>
      <c r="N42"/>
      <c r="O42"/>
      <c r="Q42"/>
      <c r="R42" s="1875"/>
      <c r="S42" s="2099"/>
    </row>
    <row r="43" ht="17" spans="1:19">
      <c r="A43" s="2272">
        <v>41</v>
      </c>
      <c r="B43" s="2278" t="s">
        <v>619</v>
      </c>
      <c r="C43" s="2278"/>
      <c r="D43" s="2279">
        <v>20</v>
      </c>
      <c r="E43" s="2291">
        <v>60</v>
      </c>
      <c r="F43" s="2292" t="s">
        <v>482</v>
      </c>
      <c r="G43" s="2292">
        <f>EDU*4</f>
        <v>220</v>
      </c>
      <c r="H43" s="2291" t="s">
        <v>620</v>
      </c>
      <c r="I43" s="2337"/>
      <c r="J43" s="2338"/>
      <c r="K43" s="2339"/>
      <c r="L43"/>
      <c r="M43"/>
      <c r="N43"/>
      <c r="O43"/>
      <c r="Q43"/>
      <c r="R43" s="1875"/>
      <c r="S43" s="2099"/>
    </row>
    <row r="44" ht="17.25" customHeight="1" spans="1:18">
      <c r="A44" s="2280">
        <v>42</v>
      </c>
      <c r="B44" s="2281" t="s">
        <v>621</v>
      </c>
      <c r="C44" s="2282"/>
      <c r="D44" s="2283">
        <v>50</v>
      </c>
      <c r="E44" s="2294">
        <v>99</v>
      </c>
      <c r="F44" s="2295" t="s">
        <v>469</v>
      </c>
      <c r="G44" s="2295">
        <f>EDU*2+APP*2</f>
        <v>270</v>
      </c>
      <c r="H44" s="2297" t="s">
        <v>622</v>
      </c>
      <c r="I44" s="2351"/>
      <c r="J44" s="2341"/>
      <c r="K44" s="2342"/>
      <c r="L44"/>
      <c r="M44"/>
      <c r="N44"/>
      <c r="O44"/>
      <c r="Q44"/>
      <c r="R44" s="1875"/>
    </row>
    <row r="45" ht="17.25" customHeight="1" spans="1:18">
      <c r="A45" s="2272">
        <v>43</v>
      </c>
      <c r="B45" s="2278" t="s">
        <v>623</v>
      </c>
      <c r="C45" s="2278"/>
      <c r="D45" s="2279">
        <v>9</v>
      </c>
      <c r="E45" s="2291">
        <v>30</v>
      </c>
      <c r="F45" s="2292" t="s">
        <v>591</v>
      </c>
      <c r="G45" s="2292">
        <f>EDU*2+DEX*2</f>
        <v>250</v>
      </c>
      <c r="H45" s="2291" t="s">
        <v>624</v>
      </c>
      <c r="I45" s="2352"/>
      <c r="J45" s="2344"/>
      <c r="K45" s="2342"/>
      <c r="L45"/>
      <c r="M45"/>
      <c r="N45"/>
      <c r="O45"/>
      <c r="Q45"/>
      <c r="R45" s="1875"/>
    </row>
    <row r="46" ht="17" spans="1:18">
      <c r="A46" s="2280">
        <v>44</v>
      </c>
      <c r="B46" s="2281" t="s">
        <v>625</v>
      </c>
      <c r="C46" s="2282"/>
      <c r="D46" s="2283">
        <v>30</v>
      </c>
      <c r="E46" s="2294">
        <v>80</v>
      </c>
      <c r="F46" s="2295" t="s">
        <v>482</v>
      </c>
      <c r="G46" s="2295">
        <f>EDU*4</f>
        <v>220</v>
      </c>
      <c r="H46" s="2297" t="s">
        <v>626</v>
      </c>
      <c r="I46" s="2352"/>
      <c r="J46" s="2341"/>
      <c r="K46" s="2342"/>
      <c r="L46"/>
      <c r="M46"/>
      <c r="N46"/>
      <c r="O46"/>
      <c r="Q46"/>
      <c r="R46" s="1875"/>
    </row>
    <row r="47" ht="17.25" customHeight="1" spans="1:18">
      <c r="A47" s="2272">
        <v>45</v>
      </c>
      <c r="B47" s="2278" t="s">
        <v>627</v>
      </c>
      <c r="C47" s="2278"/>
      <c r="D47" s="2279">
        <v>0</v>
      </c>
      <c r="E47" s="2291">
        <v>5</v>
      </c>
      <c r="F47" s="2292" t="s">
        <v>628</v>
      </c>
      <c r="G47" s="2292">
        <f>EDU*2+MAX(DEX*2,APP*2,STR*2)</f>
        <v>270</v>
      </c>
      <c r="H47" s="2291" t="s">
        <v>629</v>
      </c>
      <c r="I47" s="2352"/>
      <c r="J47" s="2344"/>
      <c r="K47" s="2342"/>
      <c r="L47"/>
      <c r="M47"/>
      <c r="N47"/>
      <c r="O47"/>
      <c r="Q47"/>
      <c r="R47" s="1875"/>
    </row>
    <row r="48" ht="17.25" customHeight="1" spans="1:18">
      <c r="A48" s="2280">
        <v>46</v>
      </c>
      <c r="B48" s="2281" t="s">
        <v>630</v>
      </c>
      <c r="C48" s="2282"/>
      <c r="D48" s="2283">
        <v>10</v>
      </c>
      <c r="E48" s="2294">
        <v>40</v>
      </c>
      <c r="F48" s="2295" t="s">
        <v>464</v>
      </c>
      <c r="G48" s="2295">
        <f>EDU*2+DEX*2</f>
        <v>250</v>
      </c>
      <c r="H48" s="2297" t="s">
        <v>631</v>
      </c>
      <c r="I48" s="2352"/>
      <c r="J48" s="2341"/>
      <c r="K48" s="2342"/>
      <c r="L48"/>
      <c r="M48"/>
      <c r="N48"/>
      <c r="O48"/>
      <c r="Q48"/>
      <c r="R48" s="1875"/>
    </row>
    <row r="49" ht="17.25" customHeight="1" spans="1:18">
      <c r="A49" s="2272">
        <v>47</v>
      </c>
      <c r="B49" s="2278" t="s">
        <v>632</v>
      </c>
      <c r="C49" s="2278"/>
      <c r="D49" s="2279">
        <v>9</v>
      </c>
      <c r="E49" s="2291">
        <v>20</v>
      </c>
      <c r="F49" s="2292" t="s">
        <v>477</v>
      </c>
      <c r="G49" s="2292">
        <f>EDU*2+MAX(STR*2,DEX*2)</f>
        <v>250</v>
      </c>
      <c r="H49" s="2291" t="s">
        <v>633</v>
      </c>
      <c r="I49" s="2352"/>
      <c r="J49" s="2344"/>
      <c r="K49" s="2342"/>
      <c r="L49"/>
      <c r="M49"/>
      <c r="N49"/>
      <c r="O49"/>
      <c r="Q49"/>
      <c r="R49" s="1875"/>
    </row>
    <row r="50" ht="17.25" customHeight="1" spans="1:18">
      <c r="A50" s="2280">
        <v>48</v>
      </c>
      <c r="B50" s="2281" t="s">
        <v>634</v>
      </c>
      <c r="C50" s="2282"/>
      <c r="D50" s="2283">
        <v>9</v>
      </c>
      <c r="E50" s="2294">
        <v>30</v>
      </c>
      <c r="F50" s="2295" t="s">
        <v>591</v>
      </c>
      <c r="G50" s="2295">
        <f>EDU*2+DEX*2</f>
        <v>250</v>
      </c>
      <c r="H50" s="2297" t="s">
        <v>635</v>
      </c>
      <c r="I50" s="2352"/>
      <c r="J50" s="2341"/>
      <c r="K50" s="2353" t="s">
        <v>608</v>
      </c>
      <c r="L50"/>
      <c r="M50"/>
      <c r="N50"/>
      <c r="O50"/>
      <c r="Q50"/>
      <c r="R50" s="1875"/>
    </row>
    <row r="51" ht="17" spans="1:18">
      <c r="A51" s="2272">
        <v>49</v>
      </c>
      <c r="B51" s="2278" t="s">
        <v>636</v>
      </c>
      <c r="C51" s="2278"/>
      <c r="D51" s="2279">
        <v>10</v>
      </c>
      <c r="E51" s="2291">
        <v>30</v>
      </c>
      <c r="F51" s="2298" t="s">
        <v>482</v>
      </c>
      <c r="G51" s="2292">
        <f>EDU*4</f>
        <v>220</v>
      </c>
      <c r="H51" s="2291" t="s">
        <v>637</v>
      </c>
      <c r="I51" s="2352"/>
      <c r="J51" s="2346"/>
      <c r="K51" s="2347" t="s">
        <v>612</v>
      </c>
      <c r="L51"/>
      <c r="M51"/>
      <c r="N51"/>
      <c r="O51"/>
      <c r="Q51"/>
      <c r="R51" s="1875"/>
    </row>
    <row r="52" ht="17.25" customHeight="1" spans="1:18">
      <c r="A52" s="2280">
        <v>50</v>
      </c>
      <c r="B52" s="2281" t="s">
        <v>638</v>
      </c>
      <c r="C52" s="2282"/>
      <c r="D52" s="2283">
        <v>50</v>
      </c>
      <c r="E52" s="2294">
        <v>90</v>
      </c>
      <c r="F52" s="2295" t="s">
        <v>595</v>
      </c>
      <c r="G52" s="2295">
        <f>EDU*2+APP*2</f>
        <v>270</v>
      </c>
      <c r="H52" s="2297" t="s">
        <v>639</v>
      </c>
      <c r="I52" s="2348" t="str">
        <f>_xlfn.IFS(附表!P86=0,"",附表!P86=1,附表!O87&amp;附表!Q97,附表!P86=2,附表!O88&amp;附表!Q97,附表!P86=3,附表!O86&amp;附表!Q97)</f>
        <v/>
      </c>
      <c r="J52" s="2349"/>
      <c r="K52" s="2350"/>
      <c r="L52"/>
      <c r="M52"/>
      <c r="N52"/>
      <c r="O52"/>
      <c r="P52"/>
      <c r="Q52"/>
      <c r="R52" s="1875"/>
    </row>
    <row r="53" ht="17" spans="1:18">
      <c r="A53" s="2272">
        <v>51</v>
      </c>
      <c r="B53" s="2278" t="s">
        <v>640</v>
      </c>
      <c r="C53" s="2278"/>
      <c r="D53" s="2279">
        <v>30</v>
      </c>
      <c r="E53" s="2291">
        <v>60</v>
      </c>
      <c r="F53" s="2292" t="s">
        <v>482</v>
      </c>
      <c r="G53" s="2292">
        <f>EDU*4</f>
        <v>220</v>
      </c>
      <c r="H53" s="2291" t="s">
        <v>641</v>
      </c>
      <c r="I53" s="2333" t="str">
        <f>V27&amp;"自定义 X 选 X 技能"&amp;V27</f>
        <v>自定义 X 选 X 技能</v>
      </c>
      <c r="J53" s="2334"/>
      <c r="K53" s="2335"/>
      <c r="L53"/>
      <c r="M53"/>
      <c r="N53"/>
      <c r="O53"/>
      <c r="P53"/>
      <c r="Q53"/>
      <c r="R53" s="1875"/>
    </row>
    <row r="54" ht="16.5" customHeight="1" spans="1:18">
      <c r="A54" s="2280">
        <v>52</v>
      </c>
      <c r="B54" s="2281" t="s">
        <v>642</v>
      </c>
      <c r="C54" s="2282"/>
      <c r="D54" s="2283">
        <v>9</v>
      </c>
      <c r="E54" s="2294">
        <v>70</v>
      </c>
      <c r="F54" s="2295" t="s">
        <v>469</v>
      </c>
      <c r="G54" s="2295">
        <f>EDU*2+APP*2</f>
        <v>270</v>
      </c>
      <c r="H54" s="2297" t="s">
        <v>643</v>
      </c>
      <c r="I54" s="2336" t="s">
        <v>124</v>
      </c>
      <c r="J54" s="2314" t="s">
        <v>579</v>
      </c>
      <c r="K54" s="2315" t="s">
        <v>580</v>
      </c>
      <c r="L54"/>
      <c r="M54"/>
      <c r="N54"/>
      <c r="O54"/>
      <c r="P54"/>
      <c r="Q54"/>
      <c r="R54" s="1875"/>
    </row>
    <row r="55" ht="17.25" customHeight="1" spans="1:19">
      <c r="A55" s="2272">
        <v>53</v>
      </c>
      <c r="B55" s="2278" t="s">
        <v>644</v>
      </c>
      <c r="C55" s="2278"/>
      <c r="D55" s="2279">
        <v>55</v>
      </c>
      <c r="E55" s="2291">
        <v>80</v>
      </c>
      <c r="F55" s="2292" t="s">
        <v>628</v>
      </c>
      <c r="G55" s="2292">
        <f>EDU*2+MAX(DEX*2,APP*2,STR*2)</f>
        <v>270</v>
      </c>
      <c r="H55" s="2291" t="s">
        <v>645</v>
      </c>
      <c r="I55" s="2337"/>
      <c r="J55" s="2338"/>
      <c r="K55" s="2339"/>
      <c r="L55"/>
      <c r="M55"/>
      <c r="N55"/>
      <c r="O55"/>
      <c r="P55"/>
      <c r="R55" s="1875"/>
      <c r="S55" s="2099"/>
    </row>
    <row r="56" ht="16.5" customHeight="1" spans="1:19">
      <c r="A56" s="2280">
        <v>54</v>
      </c>
      <c r="B56" s="2281" t="s">
        <v>646</v>
      </c>
      <c r="C56" s="2282"/>
      <c r="D56" s="2283">
        <v>9</v>
      </c>
      <c r="E56" s="2294">
        <v>30</v>
      </c>
      <c r="F56" s="2295" t="s">
        <v>477</v>
      </c>
      <c r="G56" s="2295">
        <f>EDU*2+MAX(STR*2,DEX*2)</f>
        <v>250</v>
      </c>
      <c r="H56" s="2297" t="s">
        <v>647</v>
      </c>
      <c r="I56" s="2354"/>
      <c r="J56" s="2341"/>
      <c r="K56" s="2342"/>
      <c r="L56"/>
      <c r="M56"/>
      <c r="N56"/>
      <c r="O56"/>
      <c r="P56"/>
      <c r="R56" s="1875"/>
      <c r="S56" s="2099"/>
    </row>
    <row r="57" ht="17" spans="1:19">
      <c r="A57" s="2280">
        <v>55</v>
      </c>
      <c r="B57" s="2281" t="s">
        <v>648</v>
      </c>
      <c r="C57" s="2282"/>
      <c r="D57" s="2283">
        <v>20</v>
      </c>
      <c r="E57" s="2294">
        <v>40</v>
      </c>
      <c r="F57" s="2295" t="s">
        <v>482</v>
      </c>
      <c r="G57" s="2295">
        <f>EDU*4</f>
        <v>220</v>
      </c>
      <c r="H57" s="2297" t="s">
        <v>649</v>
      </c>
      <c r="I57" s="2355"/>
      <c r="J57" s="2344"/>
      <c r="K57" s="2342"/>
      <c r="L57"/>
      <c r="M57"/>
      <c r="N57"/>
      <c r="O57"/>
      <c r="P57"/>
      <c r="R57" s="1875"/>
      <c r="S57" s="2099"/>
    </row>
    <row r="58" ht="15" customHeight="1" spans="1:19">
      <c r="A58" s="2272">
        <v>56</v>
      </c>
      <c r="B58" s="2278" t="s">
        <v>650</v>
      </c>
      <c r="C58" s="2278"/>
      <c r="D58" s="2279">
        <v>9</v>
      </c>
      <c r="E58" s="2291">
        <v>30</v>
      </c>
      <c r="F58" s="2292" t="s">
        <v>477</v>
      </c>
      <c r="G58" s="2292">
        <f>EDU*2+MAX(STR*2,DEX*2)</f>
        <v>250</v>
      </c>
      <c r="H58" s="2291" t="s">
        <v>651</v>
      </c>
      <c r="I58" s="2355"/>
      <c r="J58" s="2341"/>
      <c r="K58" s="2342"/>
      <c r="L58"/>
      <c r="M58"/>
      <c r="N58"/>
      <c r="O58"/>
      <c r="P58"/>
      <c r="R58" s="1875"/>
      <c r="S58" s="2099"/>
    </row>
    <row r="59" ht="16" customHeight="1" spans="1:19">
      <c r="A59" s="2280">
        <v>57</v>
      </c>
      <c r="B59" s="2281" t="s">
        <v>652</v>
      </c>
      <c r="C59" s="2282"/>
      <c r="D59" s="2283">
        <v>10</v>
      </c>
      <c r="E59" s="2294">
        <v>40</v>
      </c>
      <c r="F59" s="2295" t="s">
        <v>482</v>
      </c>
      <c r="G59" s="2295">
        <f>EDU*4</f>
        <v>220</v>
      </c>
      <c r="H59" s="2297" t="s">
        <v>653</v>
      </c>
      <c r="I59" s="2355"/>
      <c r="J59" s="2344"/>
      <c r="K59" s="2342"/>
      <c r="L59"/>
      <c r="M59"/>
      <c r="N59"/>
      <c r="O59"/>
      <c r="P59"/>
      <c r="R59" s="1875"/>
      <c r="S59" s="2099"/>
    </row>
    <row r="60" ht="17" spans="1:19">
      <c r="A60" s="2272">
        <v>58</v>
      </c>
      <c r="B60" s="2278" t="s">
        <v>654</v>
      </c>
      <c r="C60" s="2278"/>
      <c r="D60" s="2279">
        <v>40</v>
      </c>
      <c r="E60" s="2291">
        <v>60</v>
      </c>
      <c r="F60" s="2292" t="s">
        <v>482</v>
      </c>
      <c r="G60" s="2292">
        <f>EDU*4</f>
        <v>220</v>
      </c>
      <c r="H60" s="2291" t="s">
        <v>655</v>
      </c>
      <c r="I60" s="2355"/>
      <c r="J60" s="2341"/>
      <c r="K60" s="2342"/>
      <c r="L60"/>
      <c r="M60"/>
      <c r="N60"/>
      <c r="O60"/>
      <c r="P60"/>
      <c r="R60" s="1875"/>
      <c r="S60" s="2099"/>
    </row>
    <row r="61" ht="17" spans="1:19">
      <c r="A61" s="2280">
        <v>59</v>
      </c>
      <c r="B61" s="2281" t="s">
        <v>656</v>
      </c>
      <c r="C61" s="2282"/>
      <c r="D61" s="2283">
        <v>8</v>
      </c>
      <c r="E61" s="2294">
        <v>50</v>
      </c>
      <c r="F61" s="2295" t="s">
        <v>657</v>
      </c>
      <c r="G61" s="2295">
        <f>EDU*2+MAX(DEX*2,APP*2)</f>
        <v>270</v>
      </c>
      <c r="H61" s="2297" t="s">
        <v>658</v>
      </c>
      <c r="I61" s="2355"/>
      <c r="J61" s="2344"/>
      <c r="K61" s="2342"/>
      <c r="L61"/>
      <c r="M61"/>
      <c r="N61"/>
      <c r="O61"/>
      <c r="R61" s="1875"/>
      <c r="S61" s="2099"/>
    </row>
    <row r="62" ht="17" spans="1:19">
      <c r="A62" s="2272">
        <v>60</v>
      </c>
      <c r="B62" s="2278" t="s">
        <v>659</v>
      </c>
      <c r="C62" s="2278"/>
      <c r="D62" s="2279">
        <v>60</v>
      </c>
      <c r="E62" s="2291">
        <v>95</v>
      </c>
      <c r="F62" s="2292" t="s">
        <v>469</v>
      </c>
      <c r="G62" s="2292">
        <f>EDU*2+APP*2</f>
        <v>270</v>
      </c>
      <c r="H62" s="2291" t="s">
        <v>660</v>
      </c>
      <c r="I62" s="2355"/>
      <c r="J62" s="2341"/>
      <c r="K62" s="2356" t="s">
        <v>608</v>
      </c>
      <c r="L62"/>
      <c r="M62"/>
      <c r="N62"/>
      <c r="O62"/>
      <c r="P62"/>
      <c r="R62" s="1875"/>
      <c r="S62" s="2099"/>
    </row>
    <row r="63" ht="17" spans="1:19">
      <c r="A63" s="2280">
        <v>61</v>
      </c>
      <c r="B63" s="2281" t="s">
        <v>661</v>
      </c>
      <c r="C63" s="2282"/>
      <c r="D63" s="2283">
        <v>9</v>
      </c>
      <c r="E63" s="2294">
        <v>20</v>
      </c>
      <c r="F63" s="2295" t="s">
        <v>477</v>
      </c>
      <c r="G63" s="2295">
        <f>EDU*2+MAX(STR*2,DEX*2)</f>
        <v>250</v>
      </c>
      <c r="H63" s="2297" t="s">
        <v>662</v>
      </c>
      <c r="I63" s="2355"/>
      <c r="J63" s="2344"/>
      <c r="K63" s="2347" t="s">
        <v>612</v>
      </c>
      <c r="L63"/>
      <c r="M63"/>
      <c r="N63"/>
      <c r="O63"/>
      <c r="P63"/>
      <c r="Q63"/>
      <c r="R63"/>
      <c r="S63" s="2099"/>
    </row>
    <row r="64" ht="17.75" spans="1:19">
      <c r="A64" s="2272">
        <v>62</v>
      </c>
      <c r="B64" s="2278" t="s">
        <v>663</v>
      </c>
      <c r="C64" s="2278"/>
      <c r="D64" s="2279">
        <v>40</v>
      </c>
      <c r="E64" s="2291">
        <v>90</v>
      </c>
      <c r="F64" s="2292" t="s">
        <v>595</v>
      </c>
      <c r="G64" s="2292">
        <f>EDU*2+APP*2</f>
        <v>270</v>
      </c>
      <c r="H64" s="2291" t="s">
        <v>664</v>
      </c>
      <c r="I64" s="2348" t="str">
        <f>_xlfn.IFS(附表!P98=0,"",附表!P98=1,附表!O99&amp;附表!Q109,附表!P98=2,附表!O100&amp;附表!Q109,附表!P98=3,附表!O98&amp;附表!Q109)</f>
        <v/>
      </c>
      <c r="J64" s="2349"/>
      <c r="K64" s="2350"/>
      <c r="L64"/>
      <c r="M64"/>
      <c r="N64"/>
      <c r="O64"/>
      <c r="P64"/>
      <c r="Q64"/>
      <c r="R64"/>
      <c r="S64" s="2099"/>
    </row>
    <row r="65" ht="17" spans="1:19">
      <c r="A65" s="2280">
        <v>63</v>
      </c>
      <c r="B65" s="2281" t="s">
        <v>665</v>
      </c>
      <c r="C65" s="2282"/>
      <c r="D65" s="2283">
        <v>0</v>
      </c>
      <c r="E65" s="2294">
        <v>5</v>
      </c>
      <c r="F65" s="2295" t="s">
        <v>666</v>
      </c>
      <c r="G65" s="2295">
        <f>EDU*2+MAX(DEX*2,APP*2)</f>
        <v>270</v>
      </c>
      <c r="H65" s="2297" t="s">
        <v>667</v>
      </c>
      <c r="I65" s="2265"/>
      <c r="L65" s="2306" t="s">
        <v>668</v>
      </c>
      <c r="M65" s="2306"/>
      <c r="N65" s="2306" t="s">
        <v>669</v>
      </c>
      <c r="O65" s="2358"/>
      <c r="P65" s="2099"/>
      <c r="Q65" s="2099"/>
      <c r="R65"/>
      <c r="S65" s="2099"/>
    </row>
    <row r="66" ht="17" spans="1:19">
      <c r="A66" s="2272">
        <v>64</v>
      </c>
      <c r="B66" s="2278" t="s">
        <v>670</v>
      </c>
      <c r="C66" s="2278"/>
      <c r="D66" s="2279">
        <v>6</v>
      </c>
      <c r="E66" s="2291">
        <v>15</v>
      </c>
      <c r="F66" s="2298" t="s">
        <v>671</v>
      </c>
      <c r="G66" s="2292">
        <f>EDU*2+STR*2</f>
        <v>170</v>
      </c>
      <c r="H66" s="2291" t="s">
        <v>672</v>
      </c>
      <c r="I66" s="2265"/>
      <c r="L66" s="2306" t="s">
        <v>673</v>
      </c>
      <c r="M66" s="2306"/>
      <c r="N66" s="2306" t="s">
        <v>674</v>
      </c>
      <c r="O66" s="2358"/>
      <c r="P66" s="2099"/>
      <c r="Q66" s="2099"/>
      <c r="R66"/>
      <c r="S66" s="2099"/>
    </row>
    <row r="67" ht="17" spans="1:19">
      <c r="A67" s="2280">
        <v>65</v>
      </c>
      <c r="B67" s="2281" t="s">
        <v>675</v>
      </c>
      <c r="C67" s="2282"/>
      <c r="D67" s="2283">
        <v>9</v>
      </c>
      <c r="E67" s="2294">
        <v>30</v>
      </c>
      <c r="F67" s="2295" t="s">
        <v>482</v>
      </c>
      <c r="G67" s="2295">
        <f>EDU*4</f>
        <v>220</v>
      </c>
      <c r="H67" s="2297" t="s">
        <v>676</v>
      </c>
      <c r="I67" s="2265"/>
      <c r="L67" s="2306" t="s">
        <v>677</v>
      </c>
      <c r="M67" s="2306"/>
      <c r="N67" s="2306" t="s">
        <v>678</v>
      </c>
      <c r="O67" s="2358"/>
      <c r="P67" s="2099"/>
      <c r="Q67" s="2099"/>
      <c r="R67"/>
      <c r="S67" s="2099"/>
    </row>
    <row r="68" ht="17" spans="1:20">
      <c r="A68" s="2272">
        <v>66</v>
      </c>
      <c r="B68" s="2278" t="s">
        <v>679</v>
      </c>
      <c r="C68" s="2278"/>
      <c r="D68" s="2279">
        <v>9</v>
      </c>
      <c r="E68" s="2291">
        <v>30</v>
      </c>
      <c r="F68" s="2292" t="s">
        <v>482</v>
      </c>
      <c r="G68" s="2292">
        <f>EDU*4</f>
        <v>220</v>
      </c>
      <c r="H68" s="2291" t="s">
        <v>680</v>
      </c>
      <c r="I68" s="2265"/>
      <c r="L68" s="2306" t="s">
        <v>681</v>
      </c>
      <c r="M68" s="2306"/>
      <c r="N68" s="2306" t="s">
        <v>682</v>
      </c>
      <c r="O68" s="2358"/>
      <c r="P68" s="2099"/>
      <c r="Q68" s="2099"/>
      <c r="S68" s="2099"/>
      <c r="T68" s="2099"/>
    </row>
    <row r="69" ht="17" spans="1:20">
      <c r="A69" s="2280">
        <v>67</v>
      </c>
      <c r="B69" s="2281" t="s">
        <v>683</v>
      </c>
      <c r="C69" s="2282"/>
      <c r="D69" s="2283">
        <v>50</v>
      </c>
      <c r="E69" s="2294">
        <v>80</v>
      </c>
      <c r="F69" s="2295" t="s">
        <v>482</v>
      </c>
      <c r="G69" s="2295">
        <f>EDU*4</f>
        <v>220</v>
      </c>
      <c r="H69" s="2297" t="s">
        <v>684</v>
      </c>
      <c r="I69" s="2265"/>
      <c r="L69" s="2306" t="s">
        <v>685</v>
      </c>
      <c r="M69" s="2306"/>
      <c r="N69" s="2306" t="s">
        <v>686</v>
      </c>
      <c r="O69" s="2358"/>
      <c r="P69" s="2099"/>
      <c r="Q69" s="2099"/>
      <c r="S69" s="2099"/>
      <c r="T69" s="2099"/>
    </row>
    <row r="70" ht="17" spans="1:21">
      <c r="A70" s="2272">
        <v>68</v>
      </c>
      <c r="B70" s="2278" t="s">
        <v>687</v>
      </c>
      <c r="C70" s="2278"/>
      <c r="D70" s="2279">
        <v>10</v>
      </c>
      <c r="E70" s="2291">
        <v>30</v>
      </c>
      <c r="F70" s="2292" t="s">
        <v>482</v>
      </c>
      <c r="G70" s="2292">
        <f>EDU*4</f>
        <v>220</v>
      </c>
      <c r="H70" s="2291" t="s">
        <v>688</v>
      </c>
      <c r="I70" s="2265"/>
      <c r="L70" s="2306" t="s">
        <v>689</v>
      </c>
      <c r="M70" s="2306"/>
      <c r="N70" s="2306" t="s">
        <v>690</v>
      </c>
      <c r="O70" s="2358"/>
      <c r="P70" s="2099"/>
      <c r="Q70" s="2099"/>
      <c r="S70" s="2099"/>
      <c r="T70" s="2099"/>
      <c r="U70" s="2099"/>
    </row>
    <row r="71" ht="17" spans="1:21">
      <c r="A71" s="2280">
        <v>69</v>
      </c>
      <c r="B71" s="2281" t="s">
        <v>691</v>
      </c>
      <c r="C71" s="2282"/>
      <c r="D71" s="2283">
        <v>9</v>
      </c>
      <c r="E71" s="2294">
        <v>30</v>
      </c>
      <c r="F71" s="2295" t="s">
        <v>477</v>
      </c>
      <c r="G71" s="2295">
        <f>EDU*2+MAX(STR*2,DEX*2)</f>
        <v>250</v>
      </c>
      <c r="H71" s="2297" t="s">
        <v>692</v>
      </c>
      <c r="I71" s="2265"/>
      <c r="L71" s="2306" t="s">
        <v>693</v>
      </c>
      <c r="M71" s="2306"/>
      <c r="N71" s="2306" t="s">
        <v>694</v>
      </c>
      <c r="O71" s="2358"/>
      <c r="P71" s="2099"/>
      <c r="Q71" s="2099"/>
      <c r="S71" s="2099"/>
      <c r="T71" s="2099"/>
      <c r="U71" s="2099"/>
    </row>
    <row r="72" ht="16.5" customHeight="1" spans="1:21">
      <c r="A72" s="2280">
        <v>70</v>
      </c>
      <c r="B72" s="2281" t="s">
        <v>695</v>
      </c>
      <c r="C72" s="2282"/>
      <c r="D72" s="2283">
        <v>9</v>
      </c>
      <c r="E72" s="2294">
        <v>30</v>
      </c>
      <c r="F72" s="2295" t="s">
        <v>477</v>
      </c>
      <c r="G72" s="2295">
        <f>EDU*2+MAX(STR*2,DEX*2)</f>
        <v>250</v>
      </c>
      <c r="H72" s="2297" t="s">
        <v>696</v>
      </c>
      <c r="I72" s="2265"/>
      <c r="L72" s="2306" t="s">
        <v>697</v>
      </c>
      <c r="M72" s="2306"/>
      <c r="N72" s="2306" t="s">
        <v>694</v>
      </c>
      <c r="O72" s="2358"/>
      <c r="P72" s="2099"/>
      <c r="Q72" s="2099"/>
      <c r="S72" s="2099"/>
      <c r="T72" s="2099"/>
      <c r="U72" s="2099"/>
    </row>
    <row r="73" ht="16.5" customHeight="1" spans="1:21">
      <c r="A73" s="2272">
        <v>71</v>
      </c>
      <c r="B73" s="2278" t="s">
        <v>698</v>
      </c>
      <c r="C73" s="2278"/>
      <c r="D73" s="2279">
        <v>9</v>
      </c>
      <c r="E73" s="2291">
        <v>30</v>
      </c>
      <c r="F73" s="2292" t="s">
        <v>477</v>
      </c>
      <c r="G73" s="2292">
        <f>EDU*2+MAX(STR*2,DEX*2)</f>
        <v>250</v>
      </c>
      <c r="H73" s="2291" t="s">
        <v>699</v>
      </c>
      <c r="I73" s="2265"/>
      <c r="L73" s="2306" t="s">
        <v>700</v>
      </c>
      <c r="M73" s="2306"/>
      <c r="N73" s="2306" t="s">
        <v>694</v>
      </c>
      <c r="O73" s="2358"/>
      <c r="P73" s="2099"/>
      <c r="Q73" s="2099"/>
      <c r="S73" s="2099"/>
      <c r="T73" s="2099"/>
      <c r="U73" s="2099"/>
    </row>
    <row r="74" ht="17" spans="1:21">
      <c r="A74" s="2280">
        <v>72</v>
      </c>
      <c r="B74" s="2281" t="s">
        <v>701</v>
      </c>
      <c r="C74" s="2282"/>
      <c r="D74" s="2283">
        <v>30</v>
      </c>
      <c r="E74" s="2294">
        <v>80</v>
      </c>
      <c r="F74" s="2295" t="s">
        <v>482</v>
      </c>
      <c r="G74" s="2295">
        <f>EDU*4</f>
        <v>220</v>
      </c>
      <c r="H74" s="2297" t="s">
        <v>702</v>
      </c>
      <c r="I74" s="2265"/>
      <c r="L74" s="2306" t="s">
        <v>703</v>
      </c>
      <c r="M74" s="2306"/>
      <c r="N74" s="2306" t="s">
        <v>704</v>
      </c>
      <c r="O74" s="2358"/>
      <c r="P74" s="2099"/>
      <c r="Q74" s="2099"/>
      <c r="S74" s="2099"/>
      <c r="T74" s="2099"/>
      <c r="U74" s="2099"/>
    </row>
    <row r="75" ht="17" spans="1:21">
      <c r="A75" s="2272">
        <v>73</v>
      </c>
      <c r="B75" s="2278" t="s">
        <v>705</v>
      </c>
      <c r="C75" s="2278"/>
      <c r="D75" s="2279">
        <v>9</v>
      </c>
      <c r="E75" s="2291">
        <v>35</v>
      </c>
      <c r="F75" s="2292" t="s">
        <v>482</v>
      </c>
      <c r="G75" s="2292">
        <f>EDU*4</f>
        <v>220</v>
      </c>
      <c r="H75" s="2291" t="s">
        <v>706</v>
      </c>
      <c r="I75" s="2265"/>
      <c r="L75" s="2306" t="s">
        <v>707</v>
      </c>
      <c r="M75" s="2306"/>
      <c r="N75" s="2306" t="s">
        <v>708</v>
      </c>
      <c r="O75" s="2358"/>
      <c r="P75" s="2099"/>
      <c r="Q75" s="2099"/>
      <c r="S75" s="2099"/>
      <c r="T75" s="2099"/>
      <c r="U75" s="2099"/>
    </row>
    <row r="76" ht="17" spans="1:21">
      <c r="A76" s="2280">
        <v>74</v>
      </c>
      <c r="B76" s="2281" t="s">
        <v>709</v>
      </c>
      <c r="C76" s="2282"/>
      <c r="D76" s="2283">
        <v>9</v>
      </c>
      <c r="E76" s="2294">
        <v>40</v>
      </c>
      <c r="F76" s="2295" t="s">
        <v>482</v>
      </c>
      <c r="G76" s="2295">
        <f>EDU*4</f>
        <v>220</v>
      </c>
      <c r="H76" s="2297" t="s">
        <v>710</v>
      </c>
      <c r="I76" s="2265"/>
      <c r="L76" s="2306" t="s">
        <v>711</v>
      </c>
      <c r="M76" s="2306"/>
      <c r="N76" s="2306" t="s">
        <v>712</v>
      </c>
      <c r="O76" s="2358"/>
      <c r="P76" s="2099"/>
      <c r="Q76" s="2099"/>
      <c r="S76" s="2099"/>
      <c r="T76" s="2099"/>
      <c r="U76" s="2099"/>
    </row>
    <row r="77" ht="16.5" customHeight="1" spans="1:21">
      <c r="A77" s="2272">
        <v>75</v>
      </c>
      <c r="B77" s="2278" t="s">
        <v>713</v>
      </c>
      <c r="C77" s="2278"/>
      <c r="D77" s="2279">
        <v>20</v>
      </c>
      <c r="E77" s="2291">
        <v>70</v>
      </c>
      <c r="F77" s="2292" t="s">
        <v>477</v>
      </c>
      <c r="G77" s="2292">
        <f>EDU*2+MAX(STR*2,DEX*2)</f>
        <v>250</v>
      </c>
      <c r="H77" s="2291" t="s">
        <v>714</v>
      </c>
      <c r="I77" s="2265"/>
      <c r="L77" s="2306" t="s">
        <v>715</v>
      </c>
      <c r="M77" s="2306"/>
      <c r="N77" s="2306" t="s">
        <v>716</v>
      </c>
      <c r="O77" s="2358"/>
      <c r="P77" s="2099"/>
      <c r="Q77" s="2099"/>
      <c r="S77" s="2099"/>
      <c r="T77" s="2099"/>
      <c r="U77" s="2099"/>
    </row>
    <row r="78" ht="17.25" customHeight="1" spans="1:21">
      <c r="A78" s="2280">
        <v>76</v>
      </c>
      <c r="B78" s="2281" t="s">
        <v>717</v>
      </c>
      <c r="C78" s="2282"/>
      <c r="D78" s="2283">
        <v>0</v>
      </c>
      <c r="E78" s="2294">
        <v>30</v>
      </c>
      <c r="F78" s="2295" t="s">
        <v>469</v>
      </c>
      <c r="G78" s="2295">
        <f>EDU*2+APP*2</f>
        <v>270</v>
      </c>
      <c r="H78" s="2297" t="s">
        <v>718</v>
      </c>
      <c r="I78" s="2265"/>
      <c r="L78" s="2306" t="s">
        <v>719</v>
      </c>
      <c r="M78" s="2306"/>
      <c r="N78" s="2306" t="s">
        <v>720</v>
      </c>
      <c r="O78" s="2358"/>
      <c r="P78" s="2099"/>
      <c r="Q78" s="2099"/>
      <c r="S78" s="2099"/>
      <c r="T78" s="2099"/>
      <c r="U78" s="2099"/>
    </row>
    <row r="79" ht="17.25" customHeight="1" spans="1:21">
      <c r="A79" s="2272">
        <v>77</v>
      </c>
      <c r="B79" s="2278" t="s">
        <v>721</v>
      </c>
      <c r="C79" s="2278"/>
      <c r="D79" s="2279">
        <v>30</v>
      </c>
      <c r="E79" s="2291">
        <v>60</v>
      </c>
      <c r="F79" s="2292" t="s">
        <v>477</v>
      </c>
      <c r="G79" s="2292">
        <f>EDU*2+MAX(STR*2,DEX*2)</f>
        <v>250</v>
      </c>
      <c r="H79" s="2291" t="s">
        <v>722</v>
      </c>
      <c r="I79" s="2265"/>
      <c r="L79" s="2306" t="s">
        <v>723</v>
      </c>
      <c r="M79" s="2306"/>
      <c r="N79" s="2306" t="s">
        <v>724</v>
      </c>
      <c r="O79" s="2358"/>
      <c r="P79" s="2099"/>
      <c r="Q79" s="2099"/>
      <c r="S79" s="2099"/>
      <c r="T79" s="2099"/>
      <c r="U79" s="2099"/>
    </row>
    <row r="80" ht="17" spans="1:21">
      <c r="A80" s="2280">
        <v>78</v>
      </c>
      <c r="B80" s="2281" t="s">
        <v>725</v>
      </c>
      <c r="C80" s="2282"/>
      <c r="D80" s="2283">
        <v>10</v>
      </c>
      <c r="E80" s="2294">
        <v>30</v>
      </c>
      <c r="F80" s="2295" t="s">
        <v>482</v>
      </c>
      <c r="G80" s="2295">
        <f>EDU*4</f>
        <v>220</v>
      </c>
      <c r="H80" s="2297" t="s">
        <v>726</v>
      </c>
      <c r="I80" s="2265"/>
      <c r="L80" s="2306" t="s">
        <v>727</v>
      </c>
      <c r="M80" s="2306"/>
      <c r="N80" s="2306" t="s">
        <v>728</v>
      </c>
      <c r="O80" s="2358"/>
      <c r="P80" s="2099"/>
      <c r="Q80" s="2099"/>
      <c r="S80" s="2099"/>
      <c r="T80" s="2099"/>
      <c r="U80" s="2099"/>
    </row>
    <row r="81" ht="16.5" customHeight="1" spans="1:21">
      <c r="A81" s="2272">
        <v>79</v>
      </c>
      <c r="B81" s="2278" t="s">
        <v>729</v>
      </c>
      <c r="C81" s="2278"/>
      <c r="D81" s="2279">
        <v>9</v>
      </c>
      <c r="E81" s="2291">
        <v>30</v>
      </c>
      <c r="F81" s="2298" t="s">
        <v>730</v>
      </c>
      <c r="G81" s="2292">
        <f>EDU*2+MAX(POW*2,DEX*2)</f>
        <v>250</v>
      </c>
      <c r="H81" s="2291" t="s">
        <v>731</v>
      </c>
      <c r="I81" s="2265"/>
      <c r="L81" s="2306" t="s">
        <v>732</v>
      </c>
      <c r="M81" s="2306"/>
      <c r="N81" s="2306" t="s">
        <v>733</v>
      </c>
      <c r="O81" s="2358"/>
      <c r="P81" s="2099"/>
      <c r="Q81" s="2099"/>
      <c r="S81" s="2099"/>
      <c r="T81" s="2099"/>
      <c r="U81" s="2099"/>
    </row>
    <row r="82" ht="17" spans="1:21">
      <c r="A82" s="2280">
        <v>80</v>
      </c>
      <c r="B82" s="2281" t="s">
        <v>734</v>
      </c>
      <c r="C82" s="2282"/>
      <c r="D82" s="2283">
        <v>9</v>
      </c>
      <c r="E82" s="2294">
        <v>30</v>
      </c>
      <c r="F82" s="2295" t="s">
        <v>482</v>
      </c>
      <c r="G82" s="2295">
        <f>EDU*4</f>
        <v>220</v>
      </c>
      <c r="H82" s="2297" t="s">
        <v>735</v>
      </c>
      <c r="I82" s="2265"/>
      <c r="L82" s="2306" t="s">
        <v>736</v>
      </c>
      <c r="M82" s="2306"/>
      <c r="N82" s="2306" t="s">
        <v>737</v>
      </c>
      <c r="O82" s="2358"/>
      <c r="P82" s="2099"/>
      <c r="Q82" s="2099"/>
      <c r="S82" s="2099"/>
      <c r="T82" s="2099"/>
      <c r="U82" s="2099"/>
    </row>
    <row r="83" ht="16" customHeight="1" spans="1:21">
      <c r="A83" s="2272">
        <v>81</v>
      </c>
      <c r="B83" s="2278" t="s">
        <v>738</v>
      </c>
      <c r="C83" s="2278"/>
      <c r="D83" s="2279">
        <v>9</v>
      </c>
      <c r="E83" s="2291">
        <v>65</v>
      </c>
      <c r="F83" s="2292" t="s">
        <v>482</v>
      </c>
      <c r="G83" s="2292">
        <f>EDU*4</f>
        <v>220</v>
      </c>
      <c r="H83" s="2291" t="s">
        <v>739</v>
      </c>
      <c r="I83" s="2265"/>
      <c r="L83" s="2306" t="s">
        <v>740</v>
      </c>
      <c r="M83" s="2306"/>
      <c r="N83" s="2368" t="s">
        <v>741</v>
      </c>
      <c r="O83" s="2358"/>
      <c r="P83" s="2099"/>
      <c r="Q83" s="2099"/>
      <c r="S83" s="2099"/>
      <c r="T83" s="2099"/>
      <c r="U83" s="2099"/>
    </row>
    <row r="84" ht="16.5" customHeight="1" spans="1:21">
      <c r="A84" s="2280">
        <v>82</v>
      </c>
      <c r="B84" s="2281" t="s">
        <v>742</v>
      </c>
      <c r="C84" s="2282"/>
      <c r="D84" s="2283">
        <v>5</v>
      </c>
      <c r="E84" s="2294">
        <v>20</v>
      </c>
      <c r="F84" s="2295" t="s">
        <v>477</v>
      </c>
      <c r="G84" s="2295">
        <f>EDU*2+MAX(STR*2,DEX*2)</f>
        <v>250</v>
      </c>
      <c r="H84" s="2297" t="s">
        <v>743</v>
      </c>
      <c r="L84" s="2306" t="s">
        <v>744</v>
      </c>
      <c r="M84" s="2306"/>
      <c r="N84" s="2306" t="s">
        <v>745</v>
      </c>
      <c r="O84" s="2358"/>
      <c r="P84" s="2099"/>
      <c r="Q84" s="2099"/>
      <c r="S84" s="2099"/>
      <c r="T84" s="2099"/>
      <c r="U84" s="2099"/>
    </row>
    <row r="85" ht="15" customHeight="1" spans="1:21">
      <c r="A85" s="2272">
        <v>83</v>
      </c>
      <c r="B85" s="2278" t="s">
        <v>746</v>
      </c>
      <c r="C85" s="2278"/>
      <c r="D85" s="2279">
        <v>9</v>
      </c>
      <c r="E85" s="2291">
        <v>30</v>
      </c>
      <c r="F85" s="2292" t="s">
        <v>482</v>
      </c>
      <c r="G85" s="2292">
        <f>EDU*4</f>
        <v>220</v>
      </c>
      <c r="H85" s="2291" t="s">
        <v>747</v>
      </c>
      <c r="L85" s="2306" t="s">
        <v>748</v>
      </c>
      <c r="M85" s="2306"/>
      <c r="N85" s="2368" t="s">
        <v>749</v>
      </c>
      <c r="O85" s="2358"/>
      <c r="P85" s="2099"/>
      <c r="Q85" s="2099"/>
      <c r="S85" s="2099"/>
      <c r="T85" s="2099"/>
      <c r="U85" s="2099"/>
    </row>
    <row r="86" ht="17" spans="1:21">
      <c r="A86" s="2280">
        <v>84</v>
      </c>
      <c r="B86" s="2281" t="s">
        <v>750</v>
      </c>
      <c r="C86" s="2282"/>
      <c r="D86" s="2283">
        <v>35</v>
      </c>
      <c r="E86" s="2294">
        <v>75</v>
      </c>
      <c r="F86" s="2295" t="s">
        <v>482</v>
      </c>
      <c r="G86" s="2295">
        <f>EDU*4</f>
        <v>220</v>
      </c>
      <c r="H86" s="2297" t="s">
        <v>751</v>
      </c>
      <c r="L86" s="2306" t="s">
        <v>752</v>
      </c>
      <c r="M86" s="2306"/>
      <c r="N86" s="2306" t="s">
        <v>753</v>
      </c>
      <c r="O86" s="2358"/>
      <c r="P86" s="2099"/>
      <c r="Q86" s="2099"/>
      <c r="S86" s="2099"/>
      <c r="T86" s="2099"/>
      <c r="U86" s="2099"/>
    </row>
    <row r="87" ht="17" spans="1:21">
      <c r="A87" s="2280">
        <v>85</v>
      </c>
      <c r="B87" s="2281" t="s">
        <v>754</v>
      </c>
      <c r="C87" s="2282"/>
      <c r="D87" s="2283">
        <v>9</v>
      </c>
      <c r="E87" s="2294">
        <v>30</v>
      </c>
      <c r="F87" s="2295" t="s">
        <v>482</v>
      </c>
      <c r="G87" s="2295">
        <f>EDU*4</f>
        <v>220</v>
      </c>
      <c r="H87" s="2297" t="s">
        <v>755</v>
      </c>
      <c r="L87" s="2306" t="s">
        <v>756</v>
      </c>
      <c r="M87" s="2306"/>
      <c r="N87" s="2306" t="s">
        <v>757</v>
      </c>
      <c r="O87" s="2358"/>
      <c r="P87" s="2099"/>
      <c r="Q87" s="2099"/>
      <c r="S87" s="2099"/>
      <c r="T87" s="2099"/>
      <c r="U87" s="2099"/>
    </row>
    <row r="88" ht="17" spans="1:21">
      <c r="A88" s="2272">
        <v>86</v>
      </c>
      <c r="B88" s="2278" t="s">
        <v>758</v>
      </c>
      <c r="C88" s="2278"/>
      <c r="D88" s="2279">
        <v>10</v>
      </c>
      <c r="E88" s="2291">
        <v>30</v>
      </c>
      <c r="F88" s="2292" t="s">
        <v>482</v>
      </c>
      <c r="G88" s="2292">
        <f>EDU*4</f>
        <v>220</v>
      </c>
      <c r="H88" s="2291" t="s">
        <v>759</v>
      </c>
      <c r="L88" s="2306" t="s">
        <v>760</v>
      </c>
      <c r="M88" s="2306"/>
      <c r="N88" s="2306" t="s">
        <v>757</v>
      </c>
      <c r="O88" s="2358"/>
      <c r="P88" s="2099"/>
      <c r="Q88" s="2099"/>
      <c r="S88" s="2099"/>
      <c r="T88" s="2099"/>
      <c r="U88" s="2099"/>
    </row>
    <row r="89" ht="16.5" customHeight="1" spans="1:21">
      <c r="A89" s="2280">
        <v>87</v>
      </c>
      <c r="B89" s="2281" t="s">
        <v>761</v>
      </c>
      <c r="C89" s="2282"/>
      <c r="D89" s="2283">
        <v>20</v>
      </c>
      <c r="E89" s="2294">
        <v>70</v>
      </c>
      <c r="F89" s="2295" t="s">
        <v>575</v>
      </c>
      <c r="G89" s="2295">
        <f>EDU*2+DEX*2</f>
        <v>250</v>
      </c>
      <c r="H89" s="2297" t="s">
        <v>762</v>
      </c>
      <c r="L89" s="2306" t="s">
        <v>763</v>
      </c>
      <c r="M89" s="2306"/>
      <c r="N89" s="2306" t="s">
        <v>764</v>
      </c>
      <c r="O89" s="2358"/>
      <c r="P89" s="2099"/>
      <c r="Q89" s="2099"/>
      <c r="S89" s="2099"/>
      <c r="T89" s="2099"/>
      <c r="U89" s="2099"/>
    </row>
    <row r="90" ht="17" spans="1:21">
      <c r="A90" s="2272">
        <v>88</v>
      </c>
      <c r="B90" s="2278" t="s">
        <v>765</v>
      </c>
      <c r="C90" s="2278"/>
      <c r="D90" s="2279">
        <v>30</v>
      </c>
      <c r="E90" s="2291">
        <v>60</v>
      </c>
      <c r="F90" s="2292" t="s">
        <v>482</v>
      </c>
      <c r="G90" s="2292">
        <f>EDU*4</f>
        <v>220</v>
      </c>
      <c r="H90" s="2291" t="s">
        <v>766</v>
      </c>
      <c r="L90" s="2306" t="s">
        <v>767</v>
      </c>
      <c r="M90" s="2306"/>
      <c r="N90" s="2306" t="s">
        <v>768</v>
      </c>
      <c r="O90" s="2358"/>
      <c r="P90" s="2099"/>
      <c r="Q90" s="2099"/>
      <c r="S90" s="2099"/>
      <c r="T90" s="2099"/>
      <c r="U90" s="2099"/>
    </row>
    <row r="91" ht="16.5" customHeight="1" spans="1:21">
      <c r="A91" s="2280">
        <v>89</v>
      </c>
      <c r="B91" s="2281" t="s">
        <v>769</v>
      </c>
      <c r="C91" s="2282"/>
      <c r="D91" s="2283">
        <v>20</v>
      </c>
      <c r="E91" s="2294">
        <v>50</v>
      </c>
      <c r="F91" s="2295" t="s">
        <v>477</v>
      </c>
      <c r="G91" s="2295">
        <f>EDU*2+MAX(STR*2,DEX*2)</f>
        <v>250</v>
      </c>
      <c r="H91" s="2297" t="s">
        <v>770</v>
      </c>
      <c r="L91" s="2306" t="s">
        <v>771</v>
      </c>
      <c r="M91" s="2306"/>
      <c r="N91" s="2306" t="s">
        <v>772</v>
      </c>
      <c r="O91" s="2358"/>
      <c r="P91" s="2099"/>
      <c r="Q91" s="2099"/>
      <c r="S91" s="2099"/>
      <c r="T91" s="2099"/>
      <c r="U91" s="2099"/>
    </row>
    <row r="92" ht="16.5" customHeight="1" spans="1:21">
      <c r="A92" s="2272">
        <v>90</v>
      </c>
      <c r="B92" s="2278" t="s">
        <v>773</v>
      </c>
      <c r="C92" s="2278"/>
      <c r="D92" s="2279">
        <v>9</v>
      </c>
      <c r="E92" s="2291">
        <v>30</v>
      </c>
      <c r="F92" s="2292" t="s">
        <v>477</v>
      </c>
      <c r="G92" s="2292">
        <f>EDU*2+MAX(STR*2,DEX*2)</f>
        <v>250</v>
      </c>
      <c r="H92" s="2291" t="s">
        <v>774</v>
      </c>
      <c r="L92" s="2306" t="s">
        <v>775</v>
      </c>
      <c r="M92" s="2306"/>
      <c r="N92" s="2306" t="s">
        <v>776</v>
      </c>
      <c r="O92" s="2358"/>
      <c r="P92" s="2099"/>
      <c r="Q92" s="2099"/>
      <c r="S92" s="2099"/>
      <c r="T92" s="2099"/>
      <c r="U92" s="2099"/>
    </row>
    <row r="93" ht="16.5" customHeight="1" spans="1:21">
      <c r="A93" s="2280">
        <v>91</v>
      </c>
      <c r="B93" s="2281" t="s">
        <v>17</v>
      </c>
      <c r="C93" s="2282"/>
      <c r="D93" s="2283">
        <v>9</v>
      </c>
      <c r="E93" s="2294">
        <v>30</v>
      </c>
      <c r="F93" s="2295" t="s">
        <v>477</v>
      </c>
      <c r="G93" s="2295">
        <f>EDU*2+MAX(STR*2,DEX*2)</f>
        <v>250</v>
      </c>
      <c r="H93" s="2297" t="s">
        <v>777</v>
      </c>
      <c r="L93" s="2306" t="s">
        <v>778</v>
      </c>
      <c r="M93" s="2306"/>
      <c r="N93" s="2306" t="s">
        <v>779</v>
      </c>
      <c r="O93" s="2358"/>
      <c r="P93" s="2099"/>
      <c r="Q93" s="2099"/>
      <c r="S93" s="2099"/>
      <c r="T93" s="2099"/>
      <c r="U93" s="2099"/>
    </row>
    <row r="94" ht="17" spans="1:21">
      <c r="A94" s="2272">
        <v>92</v>
      </c>
      <c r="B94" s="2278" t="s">
        <v>780</v>
      </c>
      <c r="C94" s="2278"/>
      <c r="D94" s="2279">
        <v>20</v>
      </c>
      <c r="E94" s="2291">
        <v>70</v>
      </c>
      <c r="F94" s="2292" t="s">
        <v>482</v>
      </c>
      <c r="G94" s="2292">
        <f>EDU*4</f>
        <v>220</v>
      </c>
      <c r="H94" s="2291" t="s">
        <v>781</v>
      </c>
      <c r="L94" s="2306" t="s">
        <v>782</v>
      </c>
      <c r="M94" s="2306"/>
      <c r="N94" s="2306" t="s">
        <v>783</v>
      </c>
      <c r="O94" s="2358"/>
      <c r="P94" s="2099"/>
      <c r="Q94" s="2099"/>
      <c r="S94" s="2099"/>
      <c r="T94" s="2099"/>
      <c r="U94" s="2099"/>
    </row>
    <row r="95" ht="16.5" customHeight="1" spans="1:21">
      <c r="A95" s="2280">
        <v>93</v>
      </c>
      <c r="B95" s="2281" t="s">
        <v>784</v>
      </c>
      <c r="C95" s="2282"/>
      <c r="D95" s="2283">
        <v>0</v>
      </c>
      <c r="E95" s="2294">
        <v>10</v>
      </c>
      <c r="F95" s="2295" t="s">
        <v>477</v>
      </c>
      <c r="G95" s="2295">
        <f>EDU*2+MAX(STR*2,DEX*2)</f>
        <v>250</v>
      </c>
      <c r="H95" s="2297" t="s">
        <v>785</v>
      </c>
      <c r="L95" s="2306" t="s">
        <v>786</v>
      </c>
      <c r="M95" s="2306"/>
      <c r="N95" s="2306" t="s">
        <v>787</v>
      </c>
      <c r="O95" s="2358"/>
      <c r="P95" s="2099"/>
      <c r="Q95" s="2099"/>
      <c r="S95" s="2099"/>
      <c r="T95" s="2099"/>
      <c r="U95" s="2099"/>
    </row>
    <row r="96" ht="17.25" customHeight="1" spans="1:21">
      <c r="A96" s="2272">
        <v>94</v>
      </c>
      <c r="B96" s="2278" t="s">
        <v>788</v>
      </c>
      <c r="C96" s="2278"/>
      <c r="D96" s="2279">
        <v>5</v>
      </c>
      <c r="E96" s="2291">
        <v>50</v>
      </c>
      <c r="F96" s="2298" t="s">
        <v>469</v>
      </c>
      <c r="G96" s="2292">
        <f>EDU*2+APP*2</f>
        <v>270</v>
      </c>
      <c r="H96" s="2291" t="s">
        <v>789</v>
      </c>
      <c r="L96" s="2306" t="s">
        <v>790</v>
      </c>
      <c r="M96" s="2306"/>
      <c r="N96" s="2306" t="s">
        <v>791</v>
      </c>
      <c r="O96" s="2358"/>
      <c r="P96" s="2099"/>
      <c r="Q96" s="2099"/>
      <c r="S96" s="2099"/>
      <c r="T96" s="2099"/>
      <c r="U96" s="2099"/>
    </row>
    <row r="97" ht="17" spans="1:21">
      <c r="A97" s="2280">
        <v>95</v>
      </c>
      <c r="B97" s="2281" t="s">
        <v>792</v>
      </c>
      <c r="C97" s="2282"/>
      <c r="D97" s="2283">
        <v>30</v>
      </c>
      <c r="E97" s="2294">
        <v>80</v>
      </c>
      <c r="F97" s="2295" t="s">
        <v>482</v>
      </c>
      <c r="G97" s="2295">
        <f>EDU*4</f>
        <v>220</v>
      </c>
      <c r="H97" s="2297" t="s">
        <v>793</v>
      </c>
      <c r="L97" s="2306" t="s">
        <v>794</v>
      </c>
      <c r="M97" s="2306"/>
      <c r="N97" s="2306" t="s">
        <v>795</v>
      </c>
      <c r="O97" s="2358"/>
      <c r="P97" s="2099"/>
      <c r="Q97" s="2099"/>
      <c r="S97" s="2099"/>
      <c r="T97" s="2099"/>
      <c r="U97" s="2099"/>
    </row>
    <row r="98" ht="17" spans="1:21">
      <c r="A98" s="2272">
        <v>96</v>
      </c>
      <c r="B98" s="2278" t="s">
        <v>796</v>
      </c>
      <c r="C98" s="2278"/>
      <c r="D98" s="2279">
        <v>10</v>
      </c>
      <c r="E98" s="2291">
        <v>40</v>
      </c>
      <c r="F98" s="2292" t="s">
        <v>482</v>
      </c>
      <c r="G98" s="2292">
        <f>EDU*4</f>
        <v>220</v>
      </c>
      <c r="H98" s="2291" t="s">
        <v>797</v>
      </c>
      <c r="L98" s="2306" t="s">
        <v>798</v>
      </c>
      <c r="M98" s="2306"/>
      <c r="N98" s="2306" t="s">
        <v>799</v>
      </c>
      <c r="O98" s="2358"/>
      <c r="P98" s="2099"/>
      <c r="Q98" s="2099"/>
      <c r="S98" s="2099"/>
      <c r="T98" s="2099"/>
      <c r="U98" s="2099"/>
    </row>
    <row r="99" ht="17" spans="1:21">
      <c r="A99" s="2280">
        <v>97</v>
      </c>
      <c r="B99" s="2281" t="s">
        <v>800</v>
      </c>
      <c r="C99" s="2282"/>
      <c r="D99" s="2283">
        <v>9</v>
      </c>
      <c r="E99" s="2294">
        <v>30</v>
      </c>
      <c r="F99" s="2295" t="s">
        <v>482</v>
      </c>
      <c r="G99" s="2295">
        <f>EDU*4</f>
        <v>220</v>
      </c>
      <c r="H99" s="2297" t="s">
        <v>801</v>
      </c>
      <c r="L99" s="2306" t="s">
        <v>802</v>
      </c>
      <c r="M99" s="2306"/>
      <c r="N99" s="2306" t="s">
        <v>803</v>
      </c>
      <c r="O99" s="2358"/>
      <c r="P99" s="2099"/>
      <c r="Q99" s="2099"/>
      <c r="S99" s="2099"/>
      <c r="T99" s="2099"/>
      <c r="U99" s="2099"/>
    </row>
    <row r="100" ht="17" spans="1:21">
      <c r="A100" s="2272">
        <v>98</v>
      </c>
      <c r="B100" s="2278" t="s">
        <v>804</v>
      </c>
      <c r="C100" s="2278"/>
      <c r="D100" s="2279">
        <v>9</v>
      </c>
      <c r="E100" s="2291">
        <v>30</v>
      </c>
      <c r="F100" s="2292" t="s">
        <v>482</v>
      </c>
      <c r="G100" s="2292">
        <f>EDU*4</f>
        <v>220</v>
      </c>
      <c r="H100" s="2291" t="s">
        <v>805</v>
      </c>
      <c r="L100" s="2306" t="s">
        <v>806</v>
      </c>
      <c r="M100" s="2306"/>
      <c r="N100" s="2306" t="s">
        <v>807</v>
      </c>
      <c r="O100" s="2358"/>
      <c r="P100" s="2099"/>
      <c r="Q100" s="2099"/>
      <c r="S100" s="2099"/>
      <c r="T100" s="2099"/>
      <c r="U100" s="2099"/>
    </row>
    <row r="101" ht="17" spans="1:21">
      <c r="A101" s="2280">
        <v>99</v>
      </c>
      <c r="B101" s="2281" t="s">
        <v>808</v>
      </c>
      <c r="C101" s="2282"/>
      <c r="D101" s="2283">
        <v>20</v>
      </c>
      <c r="E101" s="2294">
        <v>40</v>
      </c>
      <c r="F101" s="2295" t="s">
        <v>482</v>
      </c>
      <c r="G101" s="2295">
        <f>EDU*4</f>
        <v>220</v>
      </c>
      <c r="H101" s="2297" t="s">
        <v>809</v>
      </c>
      <c r="L101" s="2306" t="s">
        <v>810</v>
      </c>
      <c r="M101" s="2306"/>
      <c r="N101" s="2306" t="s">
        <v>811</v>
      </c>
      <c r="O101" s="2358"/>
      <c r="P101" s="2099"/>
      <c r="Q101" s="2099"/>
      <c r="S101" s="2099"/>
      <c r="T101" s="2099"/>
      <c r="U101" s="2099"/>
    </row>
    <row r="102" ht="17.25" customHeight="1" spans="1:21">
      <c r="A102" s="2280">
        <v>100</v>
      </c>
      <c r="B102" s="2281" t="s">
        <v>812</v>
      </c>
      <c r="C102" s="2282"/>
      <c r="D102" s="2283">
        <v>9</v>
      </c>
      <c r="E102" s="2294">
        <v>40</v>
      </c>
      <c r="F102" s="2295" t="s">
        <v>595</v>
      </c>
      <c r="G102" s="2295">
        <f>EDU*2+APP*2</f>
        <v>270</v>
      </c>
      <c r="H102" s="2297" t="s">
        <v>813</v>
      </c>
      <c r="L102" s="2306" t="s">
        <v>814</v>
      </c>
      <c r="M102" s="2306"/>
      <c r="N102" s="2306" t="s">
        <v>815</v>
      </c>
      <c r="O102" s="2358"/>
      <c r="P102" s="2099"/>
      <c r="Q102" s="2099"/>
      <c r="S102" s="2099"/>
      <c r="T102" s="2099"/>
      <c r="U102" s="2099"/>
    </row>
    <row r="103" ht="17" spans="1:21">
      <c r="A103" s="2272">
        <v>101</v>
      </c>
      <c r="B103" s="2278" t="s">
        <v>816</v>
      </c>
      <c r="C103" s="2278"/>
      <c r="D103" s="2279">
        <v>9</v>
      </c>
      <c r="E103" s="2291">
        <v>50</v>
      </c>
      <c r="F103" s="2292" t="s">
        <v>482</v>
      </c>
      <c r="G103" s="2292">
        <f>EDU*4</f>
        <v>220</v>
      </c>
      <c r="H103" s="2291" t="s">
        <v>817</v>
      </c>
      <c r="L103" s="2306" t="s">
        <v>818</v>
      </c>
      <c r="M103" s="2306"/>
      <c r="N103" s="2306" t="s">
        <v>819</v>
      </c>
      <c r="O103" s="2358"/>
      <c r="P103" s="2099"/>
      <c r="Q103" s="2099"/>
      <c r="S103" s="2099"/>
      <c r="T103" s="2099"/>
      <c r="U103" s="2099"/>
    </row>
    <row r="104" ht="17.25" customHeight="1" spans="1:21">
      <c r="A104" s="2280">
        <v>102</v>
      </c>
      <c r="B104" s="2281" t="s">
        <v>820</v>
      </c>
      <c r="C104" s="2282"/>
      <c r="D104" s="2283">
        <v>9</v>
      </c>
      <c r="E104" s="2294">
        <v>30</v>
      </c>
      <c r="F104" s="2295" t="s">
        <v>821</v>
      </c>
      <c r="G104" s="2295">
        <f>EDU*2+MAX(DEX*2,APP*2)</f>
        <v>270</v>
      </c>
      <c r="H104" s="2297" t="s">
        <v>822</v>
      </c>
      <c r="L104" s="2306" t="s">
        <v>823</v>
      </c>
      <c r="M104" s="2306"/>
      <c r="N104" s="2306" t="s">
        <v>824</v>
      </c>
      <c r="O104" s="2358"/>
      <c r="P104" s="2099"/>
      <c r="Q104" s="2099"/>
      <c r="S104" s="2099"/>
      <c r="T104" s="2099"/>
      <c r="U104" s="2099"/>
    </row>
    <row r="105" ht="17.25" customHeight="1" spans="1:21">
      <c r="A105" s="2272">
        <v>103</v>
      </c>
      <c r="B105" s="2278" t="s">
        <v>825</v>
      </c>
      <c r="C105" s="2278"/>
      <c r="D105" s="2279">
        <v>20</v>
      </c>
      <c r="E105" s="2291">
        <v>40</v>
      </c>
      <c r="F105" s="2292" t="s">
        <v>657</v>
      </c>
      <c r="G105" s="2292">
        <f>EDU*2+MAX(DEX*2,APP*2)</f>
        <v>270</v>
      </c>
      <c r="H105" s="2291" t="s">
        <v>826</v>
      </c>
      <c r="L105" s="2306" t="s">
        <v>827</v>
      </c>
      <c r="M105" s="2306"/>
      <c r="N105" s="2306" t="s">
        <v>828</v>
      </c>
      <c r="O105" s="2358"/>
      <c r="P105" s="2099"/>
      <c r="Q105" s="2099"/>
      <c r="S105" s="2099"/>
      <c r="T105" s="2099"/>
      <c r="U105" s="2099"/>
    </row>
    <row r="106" ht="16.5" customHeight="1" spans="1:21">
      <c r="A106" s="2280">
        <v>104</v>
      </c>
      <c r="B106" s="2281" t="s">
        <v>829</v>
      </c>
      <c r="C106" s="2282"/>
      <c r="D106" s="2283">
        <v>9</v>
      </c>
      <c r="E106" s="2294">
        <v>30</v>
      </c>
      <c r="F106" s="2295" t="s">
        <v>477</v>
      </c>
      <c r="G106" s="2295">
        <f>EDU*2+MAX(STR*2,DEX*2)</f>
        <v>250</v>
      </c>
      <c r="H106" s="2297" t="s">
        <v>830</v>
      </c>
      <c r="L106" s="2306" t="s">
        <v>806</v>
      </c>
      <c r="M106" s="2306"/>
      <c r="N106" s="2306" t="s">
        <v>831</v>
      </c>
      <c r="O106" s="2358"/>
      <c r="P106" s="2099"/>
      <c r="Q106" s="2099"/>
      <c r="S106" s="2099"/>
      <c r="T106" s="2099"/>
      <c r="U106" s="2099"/>
    </row>
    <row r="107" ht="17.25" customHeight="1" spans="1:21">
      <c r="A107" s="2272">
        <v>105</v>
      </c>
      <c r="B107" s="2278" t="s">
        <v>832</v>
      </c>
      <c r="C107" s="2278"/>
      <c r="D107" s="2279">
        <v>20</v>
      </c>
      <c r="E107" s="2291">
        <v>60</v>
      </c>
      <c r="F107" s="2292" t="s">
        <v>610</v>
      </c>
      <c r="G107" s="2292">
        <f>EDU*2+MAX(DEX*2,APP*2)</f>
        <v>270</v>
      </c>
      <c r="H107" s="2291" t="s">
        <v>833</v>
      </c>
      <c r="L107" s="2306" t="s">
        <v>834</v>
      </c>
      <c r="M107" s="2306"/>
      <c r="N107" s="2306" t="s">
        <v>835</v>
      </c>
      <c r="O107" s="2358"/>
      <c r="P107" s="2099"/>
      <c r="Q107" s="2099"/>
      <c r="S107" s="2099"/>
      <c r="T107" s="2099"/>
      <c r="U107" s="2099"/>
    </row>
    <row r="108" ht="17" spans="1:21">
      <c r="A108" s="2280">
        <v>106</v>
      </c>
      <c r="B108" s="2281" t="s">
        <v>836</v>
      </c>
      <c r="C108" s="2282"/>
      <c r="D108" s="2283">
        <v>5</v>
      </c>
      <c r="E108" s="2294">
        <v>10</v>
      </c>
      <c r="F108" s="2295" t="s">
        <v>482</v>
      </c>
      <c r="G108" s="2295">
        <f>EDU*4</f>
        <v>220</v>
      </c>
      <c r="H108" s="2297" t="s">
        <v>837</v>
      </c>
      <c r="L108" s="2306" t="s">
        <v>838</v>
      </c>
      <c r="M108" s="2306"/>
      <c r="N108" s="2306" t="s">
        <v>839</v>
      </c>
      <c r="O108" s="2358"/>
      <c r="P108" s="2099"/>
      <c r="Q108" s="2099"/>
      <c r="S108" s="2099"/>
      <c r="T108" s="2099"/>
      <c r="U108" s="2099"/>
    </row>
    <row r="109" ht="16.5" customHeight="1" spans="1:21">
      <c r="A109" s="2272">
        <v>107</v>
      </c>
      <c r="B109" s="2278" t="s">
        <v>840</v>
      </c>
      <c r="C109" s="2278"/>
      <c r="D109" s="2279">
        <v>10</v>
      </c>
      <c r="E109" s="2291">
        <v>50</v>
      </c>
      <c r="F109" s="2292" t="s">
        <v>477</v>
      </c>
      <c r="G109" s="2292">
        <f>EDU*2+MAX(STR*2,DEX*2)</f>
        <v>250</v>
      </c>
      <c r="H109" s="2291" t="s">
        <v>841</v>
      </c>
      <c r="L109" s="2306" t="s">
        <v>842</v>
      </c>
      <c r="M109" s="2306"/>
      <c r="N109" s="2306" t="s">
        <v>843</v>
      </c>
      <c r="O109" s="2358"/>
      <c r="P109" s="2099"/>
      <c r="Q109" s="2099"/>
      <c r="S109" s="2099"/>
      <c r="T109" s="2099"/>
      <c r="U109" s="2099"/>
    </row>
    <row r="110" ht="16.5" customHeight="1" spans="1:21">
      <c r="A110" s="2280">
        <v>108</v>
      </c>
      <c r="B110" s="2281" t="s">
        <v>844</v>
      </c>
      <c r="C110" s="2282"/>
      <c r="D110" s="2283">
        <v>0</v>
      </c>
      <c r="E110" s="2294">
        <v>15</v>
      </c>
      <c r="F110" s="2295" t="s">
        <v>477</v>
      </c>
      <c r="G110" s="2295">
        <f>EDU*2+MAX(STR*2,DEX*2)</f>
        <v>250</v>
      </c>
      <c r="H110" s="2297" t="s">
        <v>845</v>
      </c>
      <c r="L110" s="2306" t="s">
        <v>846</v>
      </c>
      <c r="M110" s="2306"/>
      <c r="N110" s="2306" t="s">
        <v>847</v>
      </c>
      <c r="O110" s="2358"/>
      <c r="P110" s="2099"/>
      <c r="Q110" s="2099"/>
      <c r="S110" s="2099"/>
      <c r="T110" s="2099"/>
      <c r="U110" s="2099"/>
    </row>
    <row r="111" ht="17" spans="1:21">
      <c r="A111" s="2272">
        <v>109</v>
      </c>
      <c r="B111" s="2278" t="s">
        <v>848</v>
      </c>
      <c r="C111" s="2278"/>
      <c r="D111" s="2279">
        <v>20</v>
      </c>
      <c r="E111" s="2291">
        <v>40</v>
      </c>
      <c r="F111" s="2298" t="s">
        <v>482</v>
      </c>
      <c r="G111" s="2292">
        <f>EDU*4</f>
        <v>220</v>
      </c>
      <c r="H111" s="2291" t="s">
        <v>849</v>
      </c>
      <c r="L111" s="2306" t="s">
        <v>850</v>
      </c>
      <c r="M111" s="2306"/>
      <c r="N111" s="2306" t="s">
        <v>851</v>
      </c>
      <c r="O111" s="2358"/>
      <c r="P111" s="2099"/>
      <c r="Q111" s="2099"/>
      <c r="S111" s="2099"/>
      <c r="T111" s="2099"/>
      <c r="U111" s="2099"/>
    </row>
    <row r="112" ht="17" spans="1:21">
      <c r="A112" s="2280">
        <v>110</v>
      </c>
      <c r="B112" s="2281" t="s">
        <v>852</v>
      </c>
      <c r="C112" s="2282"/>
      <c r="D112" s="2283">
        <v>5</v>
      </c>
      <c r="E112" s="2294">
        <v>50</v>
      </c>
      <c r="F112" s="2295" t="s">
        <v>482</v>
      </c>
      <c r="G112" s="2295">
        <f>EDU*4</f>
        <v>220</v>
      </c>
      <c r="H112" s="2297" t="s">
        <v>853</v>
      </c>
      <c r="L112" s="2306" t="s">
        <v>854</v>
      </c>
      <c r="M112" s="2306"/>
      <c r="N112" s="2306" t="s">
        <v>855</v>
      </c>
      <c r="O112" s="2358"/>
      <c r="P112" s="2099"/>
      <c r="Q112" s="2099"/>
      <c r="S112" s="2099"/>
      <c r="T112" s="2099"/>
      <c r="U112" s="2099"/>
    </row>
    <row r="113" ht="17.25" customHeight="1" spans="1:21">
      <c r="A113" s="2272">
        <v>111</v>
      </c>
      <c r="B113" s="2278" t="s">
        <v>856</v>
      </c>
      <c r="C113" s="2278"/>
      <c r="D113" s="2279">
        <v>9</v>
      </c>
      <c r="E113" s="2291">
        <v>20</v>
      </c>
      <c r="F113" s="2292" t="s">
        <v>666</v>
      </c>
      <c r="G113" s="2292">
        <f>EDU*2+MAX(DEX*2,APP*2)</f>
        <v>270</v>
      </c>
      <c r="H113" s="2291" t="s">
        <v>857</v>
      </c>
      <c r="L113" s="2306" t="s">
        <v>858</v>
      </c>
      <c r="M113" s="2306"/>
      <c r="N113" s="2306" t="s">
        <v>859</v>
      </c>
      <c r="O113" s="2358"/>
      <c r="P113" s="2099"/>
      <c r="Q113" s="2099"/>
      <c r="S113" s="2099"/>
      <c r="T113" s="2099"/>
      <c r="U113" s="2099"/>
    </row>
    <row r="114" ht="17" spans="1:21">
      <c r="A114" s="2280">
        <v>112</v>
      </c>
      <c r="B114" s="2281" t="s">
        <v>860</v>
      </c>
      <c r="C114" s="2282"/>
      <c r="D114" s="2283">
        <v>9</v>
      </c>
      <c r="E114" s="2294">
        <v>20</v>
      </c>
      <c r="F114" s="2295" t="s">
        <v>482</v>
      </c>
      <c r="G114" s="2295">
        <f>EDU*4</f>
        <v>220</v>
      </c>
      <c r="H114" s="2297" t="s">
        <v>861</v>
      </c>
      <c r="L114" s="2306" t="s">
        <v>862</v>
      </c>
      <c r="M114" s="2306"/>
      <c r="N114" s="2306" t="s">
        <v>863</v>
      </c>
      <c r="O114" s="2358"/>
      <c r="P114" s="2099"/>
      <c r="Q114" s="2099"/>
      <c r="S114" s="2099"/>
      <c r="T114" s="2099"/>
      <c r="U114" s="2099"/>
    </row>
    <row r="115" ht="17" spans="1:21">
      <c r="A115" s="2272">
        <v>113</v>
      </c>
      <c r="B115" s="2278" t="s">
        <v>864</v>
      </c>
      <c r="C115" s="2278"/>
      <c r="D115" s="2279">
        <v>20</v>
      </c>
      <c r="E115" s="2291">
        <v>80</v>
      </c>
      <c r="F115" s="2292" t="s">
        <v>482</v>
      </c>
      <c r="G115" s="2292">
        <f>EDU*4</f>
        <v>220</v>
      </c>
      <c r="H115" s="2291" t="s">
        <v>865</v>
      </c>
      <c r="L115" s="2306" t="s">
        <v>866</v>
      </c>
      <c r="M115" s="2306"/>
      <c r="N115" s="2306" t="s">
        <v>867</v>
      </c>
      <c r="O115" s="2358"/>
      <c r="P115" s="2099"/>
      <c r="Q115" s="2099"/>
      <c r="S115" s="2099"/>
      <c r="T115" s="2099"/>
      <c r="U115" s="2099"/>
    </row>
    <row r="116" ht="16.5" customHeight="1" spans="1:21">
      <c r="A116" s="2280">
        <v>114</v>
      </c>
      <c r="B116" s="2281" t="s">
        <v>868</v>
      </c>
      <c r="C116" s="2282"/>
      <c r="D116" s="2283">
        <v>0</v>
      </c>
      <c r="E116" s="2294">
        <v>30</v>
      </c>
      <c r="F116" s="2295" t="s">
        <v>487</v>
      </c>
      <c r="G116" s="2295">
        <f>EDU*2+MAX(APP*2,POW*2)</f>
        <v>270</v>
      </c>
      <c r="H116" s="2297" t="s">
        <v>869</v>
      </c>
      <c r="L116" s="2306" t="s">
        <v>870</v>
      </c>
      <c r="M116" s="2306"/>
      <c r="N116" s="2306" t="s">
        <v>871</v>
      </c>
      <c r="O116" s="2358"/>
      <c r="P116" s="2099"/>
      <c r="Q116" s="2099"/>
      <c r="S116" s="2099"/>
      <c r="T116" s="2099"/>
      <c r="U116" s="2099"/>
    </row>
    <row r="117" ht="17" spans="1:21">
      <c r="A117" s="2280">
        <v>115</v>
      </c>
      <c r="B117" s="2281" t="s">
        <v>872</v>
      </c>
      <c r="C117" s="2282"/>
      <c r="D117" s="2283">
        <v>9</v>
      </c>
      <c r="E117" s="2294">
        <v>40</v>
      </c>
      <c r="F117" s="2295" t="s">
        <v>482</v>
      </c>
      <c r="G117" s="2295">
        <f>EDU*4</f>
        <v>220</v>
      </c>
      <c r="H117" s="2297" t="s">
        <v>873</v>
      </c>
      <c r="L117" s="2306" t="s">
        <v>874</v>
      </c>
      <c r="M117" s="2306"/>
      <c r="N117" s="2306" t="s">
        <v>875</v>
      </c>
      <c r="O117" s="2358"/>
      <c r="P117" s="2099"/>
      <c r="Q117" s="2099"/>
      <c r="S117" s="2099"/>
      <c r="T117" s="2099"/>
      <c r="U117" s="2099"/>
    </row>
    <row r="118" ht="17" spans="1:21">
      <c r="A118" s="2272">
        <v>116</v>
      </c>
      <c r="B118" s="2278" t="s">
        <v>876</v>
      </c>
      <c r="C118" s="2278"/>
      <c r="D118" s="2279">
        <v>50</v>
      </c>
      <c r="E118" s="2291">
        <v>90</v>
      </c>
      <c r="F118" s="2292" t="s">
        <v>595</v>
      </c>
      <c r="G118" s="2292">
        <f>EDU*2+APP*2</f>
        <v>270</v>
      </c>
      <c r="H118" s="2291" t="s">
        <v>877</v>
      </c>
      <c r="I118" s="2366" t="s">
        <v>878</v>
      </c>
      <c r="J118" s="2366"/>
      <c r="L118" s="1892" t="s">
        <v>879</v>
      </c>
      <c r="M118" s="2099"/>
      <c r="N118" s="1892" t="s">
        <v>880</v>
      </c>
      <c r="O118" s="2099"/>
      <c r="P118" s="2099"/>
      <c r="Q118" s="2099"/>
      <c r="S118" s="2099"/>
      <c r="T118" s="2099"/>
      <c r="U118" s="2099"/>
    </row>
    <row r="119" ht="17" spans="1:21">
      <c r="A119" s="2280">
        <v>117</v>
      </c>
      <c r="B119" s="2281" t="s">
        <v>881</v>
      </c>
      <c r="C119" s="2282"/>
      <c r="D119" s="2283">
        <v>9</v>
      </c>
      <c r="E119" s="2294">
        <v>20</v>
      </c>
      <c r="F119" s="2295" t="s">
        <v>477</v>
      </c>
      <c r="G119" s="2295">
        <f>EDU*2+MAX(STR*2,DEX*2)</f>
        <v>250</v>
      </c>
      <c r="H119" s="2297" t="s">
        <v>882</v>
      </c>
      <c r="I119" s="2366"/>
      <c r="J119" s="2366"/>
      <c r="L119" s="1892" t="s">
        <v>524</v>
      </c>
      <c r="M119" s="2099"/>
      <c r="N119" s="1892" t="s">
        <v>880</v>
      </c>
      <c r="O119" s="2099"/>
      <c r="P119" s="2099"/>
      <c r="Q119" s="2099"/>
      <c r="S119" s="2099"/>
      <c r="T119" s="2099"/>
      <c r="U119" s="2099"/>
    </row>
    <row r="120" ht="17" spans="1:21">
      <c r="A120" s="2272">
        <v>118</v>
      </c>
      <c r="B120" s="2278" t="s">
        <v>883</v>
      </c>
      <c r="C120" s="2278"/>
      <c r="D120" s="2279">
        <v>50</v>
      </c>
      <c r="E120" s="2291">
        <v>70</v>
      </c>
      <c r="F120" s="2292" t="s">
        <v>477</v>
      </c>
      <c r="G120" s="2292">
        <f>EDU*2+MAX(STR*2,DEX*2)</f>
        <v>250</v>
      </c>
      <c r="H120" s="2291" t="s">
        <v>884</v>
      </c>
      <c r="I120" s="2366"/>
      <c r="J120" s="2366"/>
      <c r="L120" s="1892" t="s">
        <v>885</v>
      </c>
      <c r="M120" s="2099"/>
      <c r="N120" s="1892" t="s">
        <v>886</v>
      </c>
      <c r="O120" s="2099"/>
      <c r="P120" s="2099"/>
      <c r="Q120" s="2099"/>
      <c r="S120" s="2099"/>
      <c r="T120" s="2099"/>
      <c r="U120" s="2099"/>
    </row>
    <row r="121" ht="17" spans="1:21">
      <c r="A121" s="2280">
        <v>119</v>
      </c>
      <c r="B121" s="2281" t="s">
        <v>887</v>
      </c>
      <c r="C121" s="2282"/>
      <c r="D121" s="2283">
        <v>30</v>
      </c>
      <c r="E121" s="2294">
        <v>70</v>
      </c>
      <c r="F121" s="2295" t="s">
        <v>477</v>
      </c>
      <c r="G121" s="2295">
        <f>EDU*2+MAX(STR*2,DEX*2)</f>
        <v>250</v>
      </c>
      <c r="H121" s="2297" t="s">
        <v>888</v>
      </c>
      <c r="I121" s="2366"/>
      <c r="J121" s="2366"/>
      <c r="L121" s="1892" t="s">
        <v>889</v>
      </c>
      <c r="M121" s="2099"/>
      <c r="N121" s="1892" t="s">
        <v>880</v>
      </c>
      <c r="O121" s="2099"/>
      <c r="P121" s="2099"/>
      <c r="Q121" s="2099"/>
      <c r="S121" s="2099"/>
      <c r="T121" s="2099"/>
      <c r="U121" s="2099"/>
    </row>
    <row r="122" ht="17" spans="1:21">
      <c r="A122" s="2272">
        <v>120</v>
      </c>
      <c r="B122" s="2278" t="s">
        <v>890</v>
      </c>
      <c r="C122" s="2278"/>
      <c r="D122" s="2279">
        <v>9</v>
      </c>
      <c r="E122" s="2291">
        <v>20</v>
      </c>
      <c r="F122" s="2292" t="s">
        <v>477</v>
      </c>
      <c r="G122" s="2292">
        <f>EDU*2+MAX(STR*2,DEX*2)</f>
        <v>250</v>
      </c>
      <c r="H122" s="2291" t="s">
        <v>891</v>
      </c>
      <c r="I122" s="2366"/>
      <c r="J122" s="2366"/>
      <c r="L122" s="1892" t="s">
        <v>892</v>
      </c>
      <c r="M122" s="2099"/>
      <c r="N122" s="1892" t="s">
        <v>886</v>
      </c>
      <c r="O122" s="2099"/>
      <c r="P122" s="2099"/>
      <c r="Q122" s="2099"/>
      <c r="S122" s="2099"/>
      <c r="T122" s="2099"/>
      <c r="U122" s="2099"/>
    </row>
    <row r="123" ht="17" spans="1:21">
      <c r="A123" s="2280">
        <v>121</v>
      </c>
      <c r="B123" s="2281" t="s">
        <v>893</v>
      </c>
      <c r="C123" s="2282"/>
      <c r="D123" s="2283">
        <v>50</v>
      </c>
      <c r="E123" s="2294">
        <v>80</v>
      </c>
      <c r="F123" s="2295" t="s">
        <v>482</v>
      </c>
      <c r="G123" s="2295">
        <f t="shared" ref="G123:G128" si="1">EDU*4</f>
        <v>220</v>
      </c>
      <c r="H123" s="2297" t="s">
        <v>894</v>
      </c>
      <c r="I123" s="2366"/>
      <c r="J123" s="2366"/>
      <c r="L123" s="1892" t="s">
        <v>895</v>
      </c>
      <c r="M123" s="2099"/>
      <c r="N123" s="1892" t="s">
        <v>886</v>
      </c>
      <c r="O123" s="2099"/>
      <c r="P123" s="2099"/>
      <c r="Q123" s="2099"/>
      <c r="S123" s="2099"/>
      <c r="T123" s="2099"/>
      <c r="U123" s="2099"/>
    </row>
    <row r="124" ht="17" spans="1:21">
      <c r="A124" s="2272">
        <v>122</v>
      </c>
      <c r="B124" s="2278" t="s">
        <v>896</v>
      </c>
      <c r="C124" s="2278"/>
      <c r="D124" s="2279">
        <v>50</v>
      </c>
      <c r="E124" s="2291">
        <v>80</v>
      </c>
      <c r="F124" s="2292" t="s">
        <v>482</v>
      </c>
      <c r="G124" s="2292">
        <f t="shared" si="1"/>
        <v>220</v>
      </c>
      <c r="H124" s="2291" t="s">
        <v>897</v>
      </c>
      <c r="I124" s="2367" t="s">
        <v>898</v>
      </c>
      <c r="J124" s="2367"/>
      <c r="L124" s="1892" t="s">
        <v>899</v>
      </c>
      <c r="M124" s="2099"/>
      <c r="N124" s="1892" t="s">
        <v>886</v>
      </c>
      <c r="O124" s="2099"/>
      <c r="P124" s="2099"/>
      <c r="Q124" s="2099"/>
      <c r="S124" s="2099"/>
      <c r="T124" s="2099"/>
      <c r="U124" s="2099"/>
    </row>
    <row r="125" ht="17" spans="1:21">
      <c r="A125" s="2280">
        <v>123</v>
      </c>
      <c r="B125" s="2281" t="s">
        <v>900</v>
      </c>
      <c r="C125" s="2282"/>
      <c r="D125" s="2283">
        <v>20</v>
      </c>
      <c r="E125" s="2294">
        <v>70</v>
      </c>
      <c r="F125" s="2295" t="s">
        <v>482</v>
      </c>
      <c r="G125" s="2295">
        <f t="shared" si="1"/>
        <v>220</v>
      </c>
      <c r="H125" s="2297" t="s">
        <v>901</v>
      </c>
      <c r="I125" s="2367" t="s">
        <v>902</v>
      </c>
      <c r="J125" s="2367"/>
      <c r="L125" s="1892" t="s">
        <v>558</v>
      </c>
      <c r="M125" s="2099"/>
      <c r="N125" s="1892" t="s">
        <v>886</v>
      </c>
      <c r="O125" s="2099"/>
      <c r="P125" s="2099"/>
      <c r="Q125" s="2099"/>
      <c r="S125" s="2099"/>
      <c r="T125" s="2099"/>
      <c r="U125" s="2099"/>
    </row>
    <row r="126" ht="17" spans="1:21">
      <c r="A126" s="2272">
        <v>124</v>
      </c>
      <c r="B126" s="2278" t="s">
        <v>903</v>
      </c>
      <c r="C126" s="2278"/>
      <c r="D126" s="2279">
        <v>9</v>
      </c>
      <c r="E126" s="2291">
        <v>60</v>
      </c>
      <c r="F126" s="2298" t="s">
        <v>482</v>
      </c>
      <c r="G126" s="2292">
        <f t="shared" si="1"/>
        <v>220</v>
      </c>
      <c r="H126" s="2291" t="s">
        <v>556</v>
      </c>
      <c r="L126" s="1892" t="s">
        <v>558</v>
      </c>
      <c r="M126" s="2099"/>
      <c r="N126" s="1892" t="s">
        <v>886</v>
      </c>
      <c r="O126" s="2099"/>
      <c r="P126" s="2099"/>
      <c r="Q126" s="2099"/>
      <c r="S126" s="2099"/>
      <c r="T126" s="2099"/>
      <c r="U126" s="2099"/>
    </row>
    <row r="127" ht="17" spans="1:21">
      <c r="A127" s="2280">
        <v>125</v>
      </c>
      <c r="B127" s="2281" t="s">
        <v>904</v>
      </c>
      <c r="C127" s="2282"/>
      <c r="D127" s="2283">
        <v>9</v>
      </c>
      <c r="E127" s="2294">
        <v>60</v>
      </c>
      <c r="F127" s="2295" t="s">
        <v>482</v>
      </c>
      <c r="G127" s="2295">
        <f t="shared" si="1"/>
        <v>220</v>
      </c>
      <c r="H127" s="2297" t="s">
        <v>905</v>
      </c>
      <c r="L127" s="1892" t="s">
        <v>906</v>
      </c>
      <c r="M127" s="2099"/>
      <c r="N127" s="1892" t="s">
        <v>886</v>
      </c>
      <c r="O127" s="2099"/>
      <c r="P127" s="2099"/>
      <c r="Q127" s="2099"/>
      <c r="S127" s="2099"/>
      <c r="T127" s="2099"/>
      <c r="U127" s="2099"/>
    </row>
    <row r="128" ht="17" spans="1:21">
      <c r="A128" s="2272">
        <v>126</v>
      </c>
      <c r="B128" s="2278" t="s">
        <v>907</v>
      </c>
      <c r="C128" s="2278"/>
      <c r="D128" s="2279">
        <v>30</v>
      </c>
      <c r="E128" s="2291">
        <v>70</v>
      </c>
      <c r="F128" s="2292" t="s">
        <v>482</v>
      </c>
      <c r="G128" s="2292">
        <f t="shared" si="1"/>
        <v>220</v>
      </c>
      <c r="H128" s="2291" t="s">
        <v>908</v>
      </c>
      <c r="L128" s="1892" t="s">
        <v>909</v>
      </c>
      <c r="M128" s="2099"/>
      <c r="N128" s="1892" t="s">
        <v>886</v>
      </c>
      <c r="O128" s="2099"/>
      <c r="P128" s="2099"/>
      <c r="Q128" s="2099"/>
      <c r="S128" s="2099"/>
      <c r="T128" s="2099"/>
      <c r="U128" s="2099"/>
    </row>
    <row r="129" ht="17" spans="1:21">
      <c r="A129" s="2280">
        <v>127</v>
      </c>
      <c r="B129" s="2281" t="s">
        <v>910</v>
      </c>
      <c r="C129" s="2282"/>
      <c r="D129" s="2283">
        <v>0</v>
      </c>
      <c r="E129" s="2294">
        <v>30</v>
      </c>
      <c r="F129" s="2295" t="s">
        <v>487</v>
      </c>
      <c r="G129" s="2295">
        <f>EDU*2+MAX(APP*2,POW*2)</f>
        <v>270</v>
      </c>
      <c r="H129" s="2297" t="s">
        <v>911</v>
      </c>
      <c r="L129" s="1892" t="s">
        <v>912</v>
      </c>
      <c r="M129" s="2099"/>
      <c r="N129" s="1892" t="s">
        <v>886</v>
      </c>
      <c r="O129" s="2099"/>
      <c r="P129" s="2099"/>
      <c r="Q129" s="2099"/>
      <c r="S129" s="2099"/>
      <c r="T129" s="2099"/>
      <c r="U129" s="2099"/>
    </row>
    <row r="130" ht="17" spans="1:21">
      <c r="A130" s="2272">
        <v>128</v>
      </c>
      <c r="B130" s="2278" t="s">
        <v>913</v>
      </c>
      <c r="C130" s="2278"/>
      <c r="D130" s="2279">
        <v>20</v>
      </c>
      <c r="E130" s="2291">
        <v>60</v>
      </c>
      <c r="F130" s="2292" t="s">
        <v>482</v>
      </c>
      <c r="G130" s="2292">
        <f>EDU*4</f>
        <v>220</v>
      </c>
      <c r="H130" s="2291" t="s">
        <v>914</v>
      </c>
      <c r="L130" s="1892" t="s">
        <v>915</v>
      </c>
      <c r="M130" s="2099"/>
      <c r="N130" s="1892" t="s">
        <v>886</v>
      </c>
      <c r="O130" s="2099"/>
      <c r="P130" s="2099"/>
      <c r="Q130" s="2099"/>
      <c r="S130" s="2099"/>
      <c r="T130" s="2099"/>
      <c r="U130" s="2099"/>
    </row>
    <row r="131" ht="17" spans="1:21">
      <c r="A131" s="2280">
        <v>129</v>
      </c>
      <c r="B131" s="2281" t="s">
        <v>916</v>
      </c>
      <c r="C131" s="2282"/>
      <c r="D131" s="2283">
        <v>50</v>
      </c>
      <c r="E131" s="2294">
        <v>80</v>
      </c>
      <c r="F131" s="2295" t="s">
        <v>821</v>
      </c>
      <c r="G131" s="2295">
        <f>EDU*2+MAX(DEX*2,APP*2)</f>
        <v>270</v>
      </c>
      <c r="H131" s="2297" t="s">
        <v>917</v>
      </c>
      <c r="L131" s="1892" t="s">
        <v>918</v>
      </c>
      <c r="M131" s="2099"/>
      <c r="N131" s="1892" t="s">
        <v>886</v>
      </c>
      <c r="O131" s="2099"/>
      <c r="P131" s="2099"/>
      <c r="Q131" s="2099"/>
      <c r="S131" s="2099"/>
      <c r="T131" s="2099"/>
      <c r="U131" s="2099"/>
    </row>
    <row r="132" ht="17" spans="1:21">
      <c r="A132" s="2280">
        <v>130</v>
      </c>
      <c r="B132" s="2281" t="s">
        <v>919</v>
      </c>
      <c r="C132" s="2282"/>
      <c r="D132" s="2283">
        <v>50</v>
      </c>
      <c r="E132" s="2294">
        <v>80</v>
      </c>
      <c r="F132" s="2295" t="s">
        <v>821</v>
      </c>
      <c r="G132" s="2295">
        <f>EDU*2+MAX(DEX*2,APP*2)</f>
        <v>270</v>
      </c>
      <c r="H132" s="2297" t="s">
        <v>920</v>
      </c>
      <c r="L132" s="1892" t="s">
        <v>921</v>
      </c>
      <c r="M132" s="2099"/>
      <c r="N132" s="1892" t="s">
        <v>886</v>
      </c>
      <c r="O132" s="2099"/>
      <c r="P132" s="2099"/>
      <c r="Q132" s="2099"/>
      <c r="S132" s="2099"/>
      <c r="T132" s="2099"/>
      <c r="U132" s="2099"/>
    </row>
    <row r="133" ht="17" spans="1:21">
      <c r="A133" s="2272">
        <v>131</v>
      </c>
      <c r="B133" s="2278" t="s">
        <v>922</v>
      </c>
      <c r="C133" s="2278"/>
      <c r="D133" s="2279">
        <v>9</v>
      </c>
      <c r="E133" s="2291">
        <v>30</v>
      </c>
      <c r="F133" s="2292" t="s">
        <v>575</v>
      </c>
      <c r="G133" s="2292">
        <f>EDU*2+DEX*2</f>
        <v>250</v>
      </c>
      <c r="H133" s="2291" t="s">
        <v>923</v>
      </c>
      <c r="L133" s="1892" t="s">
        <v>924</v>
      </c>
      <c r="M133" s="2099"/>
      <c r="N133" s="1892" t="s">
        <v>886</v>
      </c>
      <c r="O133" s="2099"/>
      <c r="P133" s="2099"/>
      <c r="Q133" s="2099"/>
      <c r="S133" s="2099"/>
      <c r="T133" s="2099"/>
      <c r="U133" s="2099"/>
    </row>
    <row r="134" ht="17" spans="1:21">
      <c r="A134" s="2280">
        <v>132</v>
      </c>
      <c r="B134" s="2281" t="s">
        <v>925</v>
      </c>
      <c r="C134" s="2282"/>
      <c r="D134" s="2283">
        <v>30</v>
      </c>
      <c r="E134" s="2294">
        <v>70</v>
      </c>
      <c r="F134" s="2295" t="s">
        <v>459</v>
      </c>
      <c r="G134" s="2295">
        <f>EDU*4</f>
        <v>220</v>
      </c>
      <c r="H134" s="2297" t="s">
        <v>926</v>
      </c>
      <c r="L134" s="1892" t="s">
        <v>927</v>
      </c>
      <c r="M134" s="2099"/>
      <c r="N134" s="1892" t="s">
        <v>886</v>
      </c>
      <c r="O134" s="2099"/>
      <c r="P134" s="2099"/>
      <c r="Q134" s="2099"/>
      <c r="S134" s="2099"/>
      <c r="T134" s="2099"/>
      <c r="U134" s="2099"/>
    </row>
    <row r="135" ht="17" spans="1:21">
      <c r="A135" s="2272">
        <v>133</v>
      </c>
      <c r="B135" s="2278" t="s">
        <v>928</v>
      </c>
      <c r="C135" s="2278"/>
      <c r="D135" s="2279">
        <v>30</v>
      </c>
      <c r="E135" s="2291">
        <v>80</v>
      </c>
      <c r="F135" s="2292" t="s">
        <v>482</v>
      </c>
      <c r="G135" s="2292">
        <f>EDU*4</f>
        <v>220</v>
      </c>
      <c r="H135" s="2291" t="s">
        <v>702</v>
      </c>
      <c r="L135" s="1892" t="s">
        <v>927</v>
      </c>
      <c r="M135" s="2099"/>
      <c r="N135" s="1892" t="s">
        <v>886</v>
      </c>
      <c r="O135" s="2099"/>
      <c r="P135" s="2099"/>
      <c r="Q135" s="2099"/>
      <c r="S135" s="2099"/>
      <c r="T135" s="2099"/>
      <c r="U135" s="2099"/>
    </row>
    <row r="136" ht="17" spans="1:21">
      <c r="A136" s="2280">
        <v>134</v>
      </c>
      <c r="B136" s="2281" t="s">
        <v>929</v>
      </c>
      <c r="C136" s="2282"/>
      <c r="D136" s="2283">
        <v>30</v>
      </c>
      <c r="E136" s="2294">
        <v>70</v>
      </c>
      <c r="F136" s="2295" t="s">
        <v>482</v>
      </c>
      <c r="G136" s="2295">
        <f>EDU*4</f>
        <v>220</v>
      </c>
      <c r="H136" s="2297" t="s">
        <v>626</v>
      </c>
      <c r="L136" s="1892" t="s">
        <v>930</v>
      </c>
      <c r="M136" s="2099"/>
      <c r="N136" s="1892" t="s">
        <v>886</v>
      </c>
      <c r="O136" s="2099"/>
      <c r="P136" s="2099"/>
      <c r="Q136" s="2099"/>
      <c r="S136" s="2099"/>
      <c r="T136" s="2099"/>
      <c r="U136" s="2099"/>
    </row>
    <row r="137" ht="17" spans="1:21">
      <c r="A137" s="2272">
        <v>135</v>
      </c>
      <c r="B137" s="2278" t="s">
        <v>931</v>
      </c>
      <c r="C137" s="2278"/>
      <c r="D137" s="2279">
        <v>50</v>
      </c>
      <c r="E137" s="2291">
        <v>80</v>
      </c>
      <c r="F137" s="2292" t="s">
        <v>482</v>
      </c>
      <c r="G137" s="2292">
        <f>EDU*4</f>
        <v>220</v>
      </c>
      <c r="H137" s="2291" t="s">
        <v>626</v>
      </c>
      <c r="L137" s="1892" t="s">
        <v>930</v>
      </c>
      <c r="M137" s="2099"/>
      <c r="N137" s="1892" t="s">
        <v>886</v>
      </c>
      <c r="O137" s="2099"/>
      <c r="P137" s="2099"/>
      <c r="Q137" s="2099"/>
      <c r="S137" s="2099"/>
      <c r="T137" s="2099"/>
      <c r="U137" s="2099"/>
    </row>
    <row r="138" ht="17" spans="1:21">
      <c r="A138" s="2280">
        <v>136</v>
      </c>
      <c r="B138" s="2281" t="s">
        <v>932</v>
      </c>
      <c r="C138" s="2282"/>
      <c r="D138" s="2283">
        <v>30</v>
      </c>
      <c r="E138" s="2294">
        <v>80</v>
      </c>
      <c r="F138" s="2295" t="s">
        <v>482</v>
      </c>
      <c r="G138" s="2295">
        <f>EDU*4</f>
        <v>220</v>
      </c>
      <c r="H138" s="2297" t="s">
        <v>626</v>
      </c>
      <c r="L138" s="1892" t="s">
        <v>933</v>
      </c>
      <c r="M138" s="2099"/>
      <c r="N138" s="1892" t="s">
        <v>886</v>
      </c>
      <c r="O138" s="2099"/>
      <c r="P138" s="2099"/>
      <c r="Q138" s="2099"/>
      <c r="S138" s="2099"/>
      <c r="T138" s="2099"/>
      <c r="U138" s="2099"/>
    </row>
    <row r="139" ht="17" spans="1:21">
      <c r="A139" s="2272">
        <v>137</v>
      </c>
      <c r="B139" s="2278" t="s">
        <v>934</v>
      </c>
      <c r="C139" s="2278"/>
      <c r="D139" s="2279">
        <v>30</v>
      </c>
      <c r="E139" s="2291">
        <v>50</v>
      </c>
      <c r="F139" s="2292" t="s">
        <v>591</v>
      </c>
      <c r="G139" s="2292">
        <f>EDU*2+DEX*2</f>
        <v>250</v>
      </c>
      <c r="H139" s="2291" t="s">
        <v>935</v>
      </c>
      <c r="L139" s="1892" t="s">
        <v>936</v>
      </c>
      <c r="M139" s="2099"/>
      <c r="N139" s="1892" t="s">
        <v>886</v>
      </c>
      <c r="O139" s="2099"/>
      <c r="P139" s="2099"/>
      <c r="Q139" s="2099"/>
      <c r="S139" s="2099"/>
      <c r="T139" s="2099"/>
      <c r="U139" s="2099"/>
    </row>
    <row r="140" ht="17" spans="1:21">
      <c r="A140" s="2280">
        <v>138</v>
      </c>
      <c r="B140" s="2281" t="s">
        <v>937</v>
      </c>
      <c r="C140" s="2282"/>
      <c r="D140" s="2283">
        <v>9</v>
      </c>
      <c r="E140" s="2294">
        <v>30</v>
      </c>
      <c r="F140" s="2295" t="s">
        <v>482</v>
      </c>
      <c r="G140" s="2295">
        <f>EDU*4</f>
        <v>220</v>
      </c>
      <c r="H140" s="2297" t="s">
        <v>938</v>
      </c>
      <c r="L140" s="1892" t="s">
        <v>939</v>
      </c>
      <c r="M140" s="2099"/>
      <c r="N140" s="1892" t="s">
        <v>886</v>
      </c>
      <c r="O140" s="2099"/>
      <c r="P140" s="2099"/>
      <c r="Q140" s="2099"/>
      <c r="S140" s="2099"/>
      <c r="T140" s="2099"/>
      <c r="U140" s="2099"/>
    </row>
    <row r="141" ht="17" spans="1:21">
      <c r="A141" s="2272">
        <v>139</v>
      </c>
      <c r="B141" s="2278" t="s">
        <v>940</v>
      </c>
      <c r="C141" s="2278"/>
      <c r="D141" s="2279">
        <v>9</v>
      </c>
      <c r="E141" s="2291">
        <v>30</v>
      </c>
      <c r="F141" s="2298" t="s">
        <v>730</v>
      </c>
      <c r="G141" s="2292">
        <f>EDU*2+MAX(DEX*2,POW*2)</f>
        <v>250</v>
      </c>
      <c r="H141" s="2291" t="s">
        <v>941</v>
      </c>
      <c r="L141" s="1892" t="s">
        <v>942</v>
      </c>
      <c r="M141" s="2099"/>
      <c r="N141" s="1892" t="s">
        <v>886</v>
      </c>
      <c r="O141" s="2099"/>
      <c r="P141" s="2099"/>
      <c r="Q141" s="2099"/>
      <c r="S141" s="2099"/>
      <c r="T141" s="2099"/>
      <c r="U141" s="2099"/>
    </row>
    <row r="142" ht="17" spans="1:21">
      <c r="A142" s="2280">
        <v>140</v>
      </c>
      <c r="B142" s="2281" t="s">
        <v>943</v>
      </c>
      <c r="C142" s="2282"/>
      <c r="D142" s="2283">
        <v>30</v>
      </c>
      <c r="E142" s="2294">
        <v>50</v>
      </c>
      <c r="F142" s="2295" t="s">
        <v>482</v>
      </c>
      <c r="G142" s="2295">
        <f>EDU*4</f>
        <v>220</v>
      </c>
      <c r="H142" s="2297" t="s">
        <v>944</v>
      </c>
      <c r="L142" s="1892" t="s">
        <v>945</v>
      </c>
      <c r="M142" s="2099"/>
      <c r="N142" s="1892" t="s">
        <v>886</v>
      </c>
      <c r="O142" s="2099"/>
      <c r="P142" s="2099"/>
      <c r="Q142" s="2099"/>
      <c r="S142" s="2099"/>
      <c r="T142" s="2099"/>
      <c r="U142" s="2099"/>
    </row>
    <row r="143" ht="17" spans="1:21">
      <c r="A143" s="2272">
        <v>141</v>
      </c>
      <c r="B143" s="2278" t="s">
        <v>946</v>
      </c>
      <c r="C143" s="2278"/>
      <c r="D143" s="2279">
        <v>20</v>
      </c>
      <c r="E143" s="2291">
        <v>70</v>
      </c>
      <c r="F143" s="2292" t="s">
        <v>477</v>
      </c>
      <c r="G143" s="2292">
        <f>EDU*2+MAX(STR*2,DEX*2)</f>
        <v>250</v>
      </c>
      <c r="H143" s="2291" t="s">
        <v>947</v>
      </c>
      <c r="L143" s="1892" t="s">
        <v>948</v>
      </c>
      <c r="M143" s="2099"/>
      <c r="N143" s="1892" t="s">
        <v>886</v>
      </c>
      <c r="O143" s="2099"/>
      <c r="P143" s="2099"/>
      <c r="Q143" s="2099"/>
      <c r="S143" s="2099"/>
      <c r="T143" s="2099"/>
      <c r="U143" s="2099"/>
    </row>
    <row r="144" ht="17" spans="1:21">
      <c r="A144" s="2280">
        <v>142</v>
      </c>
      <c r="B144" s="2281" t="s">
        <v>949</v>
      </c>
      <c r="C144" s="2282"/>
      <c r="D144" s="2283">
        <v>20</v>
      </c>
      <c r="E144" s="2294">
        <v>30</v>
      </c>
      <c r="F144" s="2295" t="s">
        <v>477</v>
      </c>
      <c r="G144" s="2295">
        <f>EDU*2+MAX(STR*2,DEX*2)</f>
        <v>250</v>
      </c>
      <c r="H144" s="2297" t="s">
        <v>950</v>
      </c>
      <c r="L144" s="1892" t="s">
        <v>951</v>
      </c>
      <c r="M144" s="2099"/>
      <c r="N144" s="1892" t="s">
        <v>886</v>
      </c>
      <c r="O144" s="2099"/>
      <c r="P144" s="2099"/>
      <c r="Q144" s="2099"/>
      <c r="S144" s="2099"/>
      <c r="T144" s="2099"/>
      <c r="U144" s="2099"/>
    </row>
    <row r="145" ht="17" spans="1:21">
      <c r="A145" s="2272">
        <v>143</v>
      </c>
      <c r="B145" s="2278" t="s">
        <v>952</v>
      </c>
      <c r="C145" s="2278"/>
      <c r="D145" s="2279">
        <v>30</v>
      </c>
      <c r="E145" s="2291">
        <v>30</v>
      </c>
      <c r="F145" s="2292" t="s">
        <v>730</v>
      </c>
      <c r="G145" s="2292">
        <f>EDU*2+MAX(STR*2,DEX*2)</f>
        <v>250</v>
      </c>
      <c r="H145" s="2291" t="s">
        <v>953</v>
      </c>
      <c r="L145" s="1892" t="s">
        <v>954</v>
      </c>
      <c r="M145" s="2099"/>
      <c r="N145" s="1892" t="s">
        <v>886</v>
      </c>
      <c r="O145" s="2099"/>
      <c r="P145" s="2099"/>
      <c r="Q145" s="2099"/>
      <c r="S145" s="2099"/>
      <c r="T145" s="2099"/>
      <c r="U145" s="2099"/>
    </row>
    <row r="146" ht="17" spans="1:21">
      <c r="A146" s="2280">
        <v>144</v>
      </c>
      <c r="B146" s="2281" t="s">
        <v>955</v>
      </c>
      <c r="C146" s="2282"/>
      <c r="D146" s="2283">
        <v>70</v>
      </c>
      <c r="E146" s="2294">
        <v>70</v>
      </c>
      <c r="F146" s="2295" t="s">
        <v>591</v>
      </c>
      <c r="G146" s="2295">
        <f>EDU*2+DEX*2</f>
        <v>250</v>
      </c>
      <c r="H146" s="2297" t="s">
        <v>956</v>
      </c>
      <c r="L146" s="1892" t="s">
        <v>957</v>
      </c>
      <c r="M146" s="2099"/>
      <c r="N146" s="1892" t="s">
        <v>886</v>
      </c>
      <c r="O146" s="2099"/>
      <c r="P146" s="2099"/>
      <c r="Q146" s="2099"/>
      <c r="S146" s="2099"/>
      <c r="T146" s="2099"/>
      <c r="U146" s="2099"/>
    </row>
    <row r="147" ht="17" spans="1:21">
      <c r="A147" s="2280">
        <v>145</v>
      </c>
      <c r="B147" s="2281" t="s">
        <v>958</v>
      </c>
      <c r="C147" s="2282"/>
      <c r="D147" s="2283">
        <v>80</v>
      </c>
      <c r="E147" s="2294">
        <v>80</v>
      </c>
      <c r="F147" s="2295" t="s">
        <v>482</v>
      </c>
      <c r="G147" s="2295">
        <f>EDU*4</f>
        <v>220</v>
      </c>
      <c r="H147" s="2297" t="s">
        <v>959</v>
      </c>
      <c r="L147" s="1892" t="s">
        <v>960</v>
      </c>
      <c r="M147" s="2099"/>
      <c r="N147" s="1892" t="s">
        <v>886</v>
      </c>
      <c r="O147" s="2099"/>
      <c r="P147" s="2099"/>
      <c r="Q147" s="2099"/>
      <c r="S147" s="2099"/>
      <c r="T147" s="2099"/>
      <c r="U147" s="2099"/>
    </row>
    <row r="148" ht="17" spans="1:21">
      <c r="A148" s="2272">
        <v>146</v>
      </c>
      <c r="B148" s="2278" t="s">
        <v>961</v>
      </c>
      <c r="C148" s="2278"/>
      <c r="D148" s="2279">
        <v>40</v>
      </c>
      <c r="E148" s="2291">
        <v>40</v>
      </c>
      <c r="F148" s="2292" t="s">
        <v>595</v>
      </c>
      <c r="G148" s="2292">
        <f>EDU*2+APP*2</f>
        <v>270</v>
      </c>
      <c r="H148" s="2291" t="s">
        <v>813</v>
      </c>
      <c r="L148" s="1892" t="s">
        <v>962</v>
      </c>
      <c r="M148" s="2099"/>
      <c r="N148" s="1892" t="s">
        <v>886</v>
      </c>
      <c r="O148" s="2099"/>
      <c r="P148" s="2099"/>
      <c r="Q148" s="2099"/>
      <c r="S148" s="2099"/>
      <c r="T148" s="2099"/>
      <c r="U148" s="2099"/>
    </row>
    <row r="149" ht="17" spans="1:21">
      <c r="A149" s="2280">
        <v>147</v>
      </c>
      <c r="B149" s="2281" t="s">
        <v>963</v>
      </c>
      <c r="C149" s="2282"/>
      <c r="D149" s="2283">
        <v>30</v>
      </c>
      <c r="E149" s="2294">
        <v>30</v>
      </c>
      <c r="F149" s="2295" t="s">
        <v>595</v>
      </c>
      <c r="G149" s="2295">
        <f>EDU*2+APP*2</f>
        <v>270</v>
      </c>
      <c r="H149" s="2297" t="s">
        <v>964</v>
      </c>
      <c r="L149" s="1892" t="s">
        <v>936</v>
      </c>
      <c r="M149" s="2099"/>
      <c r="N149" s="1892" t="s">
        <v>886</v>
      </c>
      <c r="O149" s="2099"/>
      <c r="P149" s="2099"/>
      <c r="Q149" s="2099"/>
      <c r="S149" s="2099"/>
      <c r="T149" s="2099"/>
      <c r="U149" s="2099"/>
    </row>
    <row r="150" ht="17" spans="1:21">
      <c r="A150" s="2272">
        <v>148</v>
      </c>
      <c r="B150" s="2278" t="s">
        <v>965</v>
      </c>
      <c r="C150" s="2278"/>
      <c r="D150" s="2279">
        <v>50</v>
      </c>
      <c r="E150" s="2291">
        <v>70</v>
      </c>
      <c r="F150" s="2292" t="s">
        <v>482</v>
      </c>
      <c r="G150" s="2292">
        <f>EDU*4</f>
        <v>220</v>
      </c>
      <c r="H150" s="2291" t="s">
        <v>966</v>
      </c>
      <c r="L150" s="1892" t="s">
        <v>967</v>
      </c>
      <c r="M150" s="2099"/>
      <c r="N150" s="1892" t="s">
        <v>886</v>
      </c>
      <c r="O150" s="2099"/>
      <c r="P150" s="2099"/>
      <c r="Q150" s="2099"/>
      <c r="S150" s="2099"/>
      <c r="T150" s="2099"/>
      <c r="U150" s="2099"/>
    </row>
    <row r="151" ht="17" spans="1:21">
      <c r="A151" s="2280">
        <v>149</v>
      </c>
      <c r="B151" s="2281" t="s">
        <v>968</v>
      </c>
      <c r="C151" s="2282"/>
      <c r="D151" s="2283">
        <v>9</v>
      </c>
      <c r="E151" s="2294">
        <v>20</v>
      </c>
      <c r="F151" s="2295" t="s">
        <v>477</v>
      </c>
      <c r="G151" s="2295">
        <f>EDU*2+MAX(STR*2,DEX*2)</f>
        <v>250</v>
      </c>
      <c r="H151" s="2297" t="s">
        <v>969</v>
      </c>
      <c r="L151" s="1892" t="s">
        <v>970</v>
      </c>
      <c r="M151" s="2099"/>
      <c r="N151" s="1892" t="s">
        <v>886</v>
      </c>
      <c r="O151" s="2099"/>
      <c r="P151" s="2099"/>
      <c r="Q151" s="2099"/>
      <c r="S151" s="2099"/>
      <c r="T151" s="2099"/>
      <c r="U151" s="2099"/>
    </row>
    <row r="152" ht="17" spans="1:21">
      <c r="A152" s="2272">
        <v>150</v>
      </c>
      <c r="B152" s="2278" t="s">
        <v>971</v>
      </c>
      <c r="C152" s="2278"/>
      <c r="D152" s="2279">
        <v>60</v>
      </c>
      <c r="E152" s="2291">
        <v>90</v>
      </c>
      <c r="F152" s="2292" t="s">
        <v>482</v>
      </c>
      <c r="G152" s="2292">
        <f t="shared" ref="G152:G157" si="2">EDU*4</f>
        <v>220</v>
      </c>
      <c r="H152" s="2291" t="s">
        <v>972</v>
      </c>
      <c r="L152" s="1892" t="s">
        <v>973</v>
      </c>
      <c r="M152" s="2099"/>
      <c r="N152" s="1892" t="s">
        <v>886</v>
      </c>
      <c r="O152" s="2099"/>
      <c r="P152" s="2099"/>
      <c r="Q152" s="2099"/>
      <c r="S152" s="2099"/>
      <c r="T152" s="2099"/>
      <c r="U152" s="2099"/>
    </row>
    <row r="153" ht="17" spans="1:21">
      <c r="A153" s="2280">
        <v>151</v>
      </c>
      <c r="B153" s="2281" t="s">
        <v>974</v>
      </c>
      <c r="C153" s="2282"/>
      <c r="D153" s="2283">
        <v>20</v>
      </c>
      <c r="E153" s="2294">
        <v>60</v>
      </c>
      <c r="F153" s="2295" t="s">
        <v>482</v>
      </c>
      <c r="G153" s="2295">
        <f t="shared" si="2"/>
        <v>220</v>
      </c>
      <c r="H153" s="2297" t="s">
        <v>975</v>
      </c>
      <c r="L153" s="1892" t="s">
        <v>976</v>
      </c>
      <c r="M153" s="2099"/>
      <c r="N153" s="1892" t="s">
        <v>886</v>
      </c>
      <c r="O153" s="2099"/>
      <c r="P153" s="2099"/>
      <c r="Q153" s="2099"/>
      <c r="S153" s="2099"/>
      <c r="T153" s="2099"/>
      <c r="U153" s="2099"/>
    </row>
    <row r="154" ht="17" spans="1:21">
      <c r="A154" s="2272">
        <v>152</v>
      </c>
      <c r="B154" s="2278" t="s">
        <v>977</v>
      </c>
      <c r="C154" s="2278"/>
      <c r="D154" s="2279">
        <v>20</v>
      </c>
      <c r="E154" s="2291">
        <v>50</v>
      </c>
      <c r="F154" s="2292" t="s">
        <v>482</v>
      </c>
      <c r="G154" s="2292">
        <f t="shared" si="2"/>
        <v>220</v>
      </c>
      <c r="H154" s="2291" t="s">
        <v>978</v>
      </c>
      <c r="L154" s="1892" t="s">
        <v>979</v>
      </c>
      <c r="M154" s="2099"/>
      <c r="N154" s="1892" t="s">
        <v>886</v>
      </c>
      <c r="O154" s="2099"/>
      <c r="P154" s="2099"/>
      <c r="Q154" s="2099"/>
      <c r="S154" s="2099"/>
      <c r="T154" s="2099"/>
      <c r="U154" s="2099"/>
    </row>
    <row r="155" ht="17" spans="1:21">
      <c r="A155" s="2280">
        <v>153</v>
      </c>
      <c r="B155" s="2281" t="s">
        <v>980</v>
      </c>
      <c r="C155" s="2282"/>
      <c r="D155" s="2283">
        <v>9</v>
      </c>
      <c r="E155" s="2294">
        <v>30</v>
      </c>
      <c r="F155" s="2295" t="s">
        <v>482</v>
      </c>
      <c r="G155" s="2295">
        <f t="shared" si="2"/>
        <v>220</v>
      </c>
      <c r="H155" s="2297" t="s">
        <v>981</v>
      </c>
      <c r="L155" s="1892" t="s">
        <v>982</v>
      </c>
      <c r="M155" s="2099"/>
      <c r="N155" s="1892" t="s">
        <v>886</v>
      </c>
      <c r="O155" s="2099"/>
      <c r="P155" s="2099"/>
      <c r="Q155" s="2099"/>
      <c r="S155" s="2099"/>
      <c r="T155" s="2099"/>
      <c r="U155" s="2099"/>
    </row>
    <row r="156" ht="14" customHeight="1" spans="1:21">
      <c r="A156" s="2272">
        <v>154</v>
      </c>
      <c r="B156" s="2278" t="s">
        <v>983</v>
      </c>
      <c r="C156" s="2278"/>
      <c r="D156" s="2279">
        <v>30</v>
      </c>
      <c r="E156" s="2291">
        <v>60</v>
      </c>
      <c r="F156" s="2298" t="s">
        <v>482</v>
      </c>
      <c r="G156" s="2292">
        <f t="shared" si="2"/>
        <v>220</v>
      </c>
      <c r="H156" s="2291" t="s">
        <v>984</v>
      </c>
      <c r="L156" s="2325" t="s">
        <v>985</v>
      </c>
      <c r="M156" s="2099"/>
      <c r="N156" s="1892" t="s">
        <v>886</v>
      </c>
      <c r="O156" s="2099"/>
      <c r="P156" s="2099"/>
      <c r="Q156" s="2099"/>
      <c r="S156" s="2099"/>
      <c r="T156" s="2099"/>
      <c r="U156" s="2099"/>
    </row>
    <row r="157" ht="17.6" spans="1:21">
      <c r="A157" s="2280">
        <v>155</v>
      </c>
      <c r="B157" s="2281" t="s">
        <v>986</v>
      </c>
      <c r="C157" s="2282"/>
      <c r="D157" s="2283">
        <v>9</v>
      </c>
      <c r="E157" s="2294">
        <v>30</v>
      </c>
      <c r="F157" s="2295" t="s">
        <v>482</v>
      </c>
      <c r="G157" s="2295">
        <f t="shared" si="2"/>
        <v>220</v>
      </c>
      <c r="H157" s="2297" t="s">
        <v>987</v>
      </c>
      <c r="L157" s="1892" t="s">
        <v>988</v>
      </c>
      <c r="M157" s="2099"/>
      <c r="N157" s="1892" t="s">
        <v>886</v>
      </c>
      <c r="O157" s="2099"/>
      <c r="P157" s="2371" t="s">
        <v>989</v>
      </c>
      <c r="Q157" s="2380"/>
      <c r="R157" s="2381" t="s">
        <v>990</v>
      </c>
      <c r="S157" s="2099"/>
      <c r="T157" s="2099"/>
      <c r="U157" s="2099"/>
    </row>
    <row r="158" ht="17.6" spans="1:21">
      <c r="A158" s="2272">
        <v>156</v>
      </c>
      <c r="B158" s="2278" t="s">
        <v>991</v>
      </c>
      <c r="C158" s="2278"/>
      <c r="D158" s="2279">
        <v>9</v>
      </c>
      <c r="E158" s="2291">
        <v>30</v>
      </c>
      <c r="F158" s="2292" t="s">
        <v>477</v>
      </c>
      <c r="G158" s="2292">
        <f>EDU*2+MAX(STR*2,DEX*2)</f>
        <v>250</v>
      </c>
      <c r="H158" s="2291" t="s">
        <v>992</v>
      </c>
      <c r="L158" s="1892" t="s">
        <v>993</v>
      </c>
      <c r="M158" s="2099"/>
      <c r="N158" s="1892" t="s">
        <v>886</v>
      </c>
      <c r="O158" s="2099"/>
      <c r="P158" s="2372" t="s">
        <v>994</v>
      </c>
      <c r="Q158" s="2382"/>
      <c r="R158" s="2383" t="s">
        <v>995</v>
      </c>
      <c r="S158" s="2099"/>
      <c r="T158" s="2099"/>
      <c r="U158" s="2099"/>
    </row>
    <row r="159" ht="17.6" spans="1:21">
      <c r="A159" s="2280">
        <v>157</v>
      </c>
      <c r="B159" s="2281" t="s">
        <v>996</v>
      </c>
      <c r="C159" s="2282"/>
      <c r="D159" s="2283">
        <v>20</v>
      </c>
      <c r="E159" s="2294">
        <v>50</v>
      </c>
      <c r="F159" s="2295" t="s">
        <v>477</v>
      </c>
      <c r="G159" s="2295">
        <f>EDU*2+MAX(STR*2,DEX*2)</f>
        <v>250</v>
      </c>
      <c r="H159" s="2297" t="s">
        <v>997</v>
      </c>
      <c r="I159" s="2366" t="s">
        <v>998</v>
      </c>
      <c r="J159" s="2366"/>
      <c r="K159" s="1875"/>
      <c r="L159" s="2369" t="s">
        <v>999</v>
      </c>
      <c r="M159" s="2104"/>
      <c r="N159" s="2369" t="s">
        <v>1000</v>
      </c>
      <c r="O159" s="2373"/>
      <c r="P159" s="2374" t="s">
        <v>1001</v>
      </c>
      <c r="Q159" s="2384"/>
      <c r="R159" s="2385" t="s">
        <v>1002</v>
      </c>
      <c r="S159" s="2099"/>
      <c r="T159" s="2099"/>
      <c r="U159" s="2099"/>
    </row>
    <row r="160" ht="17.6" spans="1:21">
      <c r="A160" s="2272">
        <v>158</v>
      </c>
      <c r="B160" s="2278" t="s">
        <v>1003</v>
      </c>
      <c r="C160" s="2278"/>
      <c r="D160" s="2279">
        <v>5</v>
      </c>
      <c r="E160" s="2291">
        <v>10</v>
      </c>
      <c r="F160" s="2292" t="s">
        <v>477</v>
      </c>
      <c r="G160" s="2292">
        <f>EDU*2+MAX(STR*2,DEX*2)</f>
        <v>250</v>
      </c>
      <c r="H160" s="2291" t="s">
        <v>1004</v>
      </c>
      <c r="I160" s="2366"/>
      <c r="J160" s="2366"/>
      <c r="K160" s="1875"/>
      <c r="L160" s="2369" t="s">
        <v>1005</v>
      </c>
      <c r="M160" s="2104"/>
      <c r="N160" s="2369" t="s">
        <v>1000</v>
      </c>
      <c r="O160" s="2373"/>
      <c r="P160" s="2372" t="s">
        <v>1006</v>
      </c>
      <c r="Q160" s="2382"/>
      <c r="R160" s="2383" t="s">
        <v>995</v>
      </c>
      <c r="S160" s="2099"/>
      <c r="T160" s="2099"/>
      <c r="U160" s="2099"/>
    </row>
    <row r="161" ht="34" spans="1:21">
      <c r="A161" s="2280">
        <v>159</v>
      </c>
      <c r="B161" s="2281" t="s">
        <v>1007</v>
      </c>
      <c r="C161" s="2282"/>
      <c r="D161" s="2283">
        <v>5</v>
      </c>
      <c r="E161" s="2294">
        <v>60</v>
      </c>
      <c r="F161" s="2295" t="s">
        <v>482</v>
      </c>
      <c r="G161" s="2295">
        <f>EDU*4</f>
        <v>220</v>
      </c>
      <c r="H161" s="2297" t="s">
        <v>1008</v>
      </c>
      <c r="I161" s="2366"/>
      <c r="J161" s="2366"/>
      <c r="K161" s="1875"/>
      <c r="L161" s="2369" t="s">
        <v>1009</v>
      </c>
      <c r="M161" s="2104"/>
      <c r="N161" s="2369" t="s">
        <v>1000</v>
      </c>
      <c r="O161" s="2373"/>
      <c r="P161" s="2374" t="s">
        <v>1010</v>
      </c>
      <c r="Q161" s="2384"/>
      <c r="R161" s="2385" t="s">
        <v>995</v>
      </c>
      <c r="S161" s="2099"/>
      <c r="T161" s="2099"/>
      <c r="U161" s="2099"/>
    </row>
    <row r="162" ht="34" spans="1:21">
      <c r="A162" s="2280">
        <v>160</v>
      </c>
      <c r="B162" s="2281" t="s">
        <v>1011</v>
      </c>
      <c r="C162" s="2282"/>
      <c r="D162" s="2283">
        <v>20</v>
      </c>
      <c r="E162" s="2294">
        <v>60</v>
      </c>
      <c r="F162" s="2295" t="s">
        <v>482</v>
      </c>
      <c r="G162" s="2295">
        <f>EDU*4</f>
        <v>220</v>
      </c>
      <c r="H162" s="2297" t="s">
        <v>1012</v>
      </c>
      <c r="I162" s="2366"/>
      <c r="J162" s="2366"/>
      <c r="K162" s="1875"/>
      <c r="L162" s="2369" t="s">
        <v>558</v>
      </c>
      <c r="M162" s="2104"/>
      <c r="N162" s="2369" t="s">
        <v>1000</v>
      </c>
      <c r="O162" s="2373"/>
      <c r="P162" s="2372" t="s">
        <v>1013</v>
      </c>
      <c r="Q162" s="2382"/>
      <c r="R162" s="2383" t="s">
        <v>995</v>
      </c>
      <c r="S162" s="2099"/>
      <c r="T162" s="2099"/>
      <c r="U162" s="2099"/>
    </row>
    <row r="163" ht="34" spans="1:21">
      <c r="A163" s="2272">
        <v>161</v>
      </c>
      <c r="B163" s="2278" t="s">
        <v>1014</v>
      </c>
      <c r="C163" s="2278"/>
      <c r="D163" s="2279">
        <v>20</v>
      </c>
      <c r="E163" s="2291">
        <v>50</v>
      </c>
      <c r="F163" s="2292" t="s">
        <v>482</v>
      </c>
      <c r="G163" s="2292">
        <f>EDU*4</f>
        <v>220</v>
      </c>
      <c r="H163" s="2291" t="s">
        <v>1015</v>
      </c>
      <c r="I163" s="2366"/>
      <c r="J163" s="2366"/>
      <c r="K163" s="1875"/>
      <c r="L163" s="2369"/>
      <c r="M163" s="2104"/>
      <c r="N163" s="2369" t="s">
        <v>1000</v>
      </c>
      <c r="O163" s="2373"/>
      <c r="P163" s="2374" t="s">
        <v>1016</v>
      </c>
      <c r="Q163" s="2384"/>
      <c r="R163" s="2385" t="s">
        <v>1017</v>
      </c>
      <c r="S163" s="2099"/>
      <c r="T163" s="2099"/>
      <c r="U163" s="2099"/>
    </row>
    <row r="164" ht="17.6" spans="1:21">
      <c r="A164" s="2280">
        <v>162</v>
      </c>
      <c r="B164" s="2281" t="s">
        <v>1018</v>
      </c>
      <c r="C164" s="2282"/>
      <c r="D164" s="2283">
        <v>9</v>
      </c>
      <c r="E164" s="2294">
        <v>20</v>
      </c>
      <c r="F164" s="2295" t="s">
        <v>477</v>
      </c>
      <c r="G164" s="2295">
        <f>EDU*2+MAX(STR*2,DEX*2)</f>
        <v>250</v>
      </c>
      <c r="H164" s="2297" t="s">
        <v>1019</v>
      </c>
      <c r="I164" s="2366"/>
      <c r="J164" s="2366"/>
      <c r="K164" s="1875"/>
      <c r="L164" s="2369"/>
      <c r="M164" s="2104"/>
      <c r="N164" s="2369" t="s">
        <v>1000</v>
      </c>
      <c r="O164" s="2373"/>
      <c r="P164" s="2372" t="s">
        <v>1020</v>
      </c>
      <c r="Q164" s="2382"/>
      <c r="R164" s="2383" t="s">
        <v>1021</v>
      </c>
      <c r="S164" s="2099"/>
      <c r="T164" s="2099"/>
      <c r="U164" s="2099"/>
    </row>
    <row r="165" ht="18.35" spans="1:21">
      <c r="A165" s="2272">
        <v>163</v>
      </c>
      <c r="B165" s="2278" t="s">
        <v>1022</v>
      </c>
      <c r="C165" s="2278"/>
      <c r="D165" s="2279">
        <v>5</v>
      </c>
      <c r="E165" s="2291">
        <v>10</v>
      </c>
      <c r="F165" s="2292" t="s">
        <v>482</v>
      </c>
      <c r="G165" s="2292">
        <f>EDU*4</f>
        <v>220</v>
      </c>
      <c r="H165" s="2291" t="s">
        <v>1023</v>
      </c>
      <c r="I165" s="2367" t="s">
        <v>898</v>
      </c>
      <c r="J165" s="2367"/>
      <c r="K165" s="1875"/>
      <c r="L165" s="2369" t="s">
        <v>1024</v>
      </c>
      <c r="M165" s="2104"/>
      <c r="N165" s="2369" t="s">
        <v>1000</v>
      </c>
      <c r="O165" s="2373"/>
      <c r="P165" s="2375" t="s">
        <v>1025</v>
      </c>
      <c r="Q165" s="2386"/>
      <c r="R165" s="2387" t="s">
        <v>995</v>
      </c>
      <c r="S165" s="2099"/>
      <c r="T165" s="2099"/>
      <c r="U165" s="2099"/>
    </row>
    <row r="166" ht="18" customHeight="1" spans="1:21">
      <c r="A166" s="2280">
        <v>164</v>
      </c>
      <c r="B166" s="2281" t="s">
        <v>1026</v>
      </c>
      <c r="C166" s="2282"/>
      <c r="D166" s="2283">
        <v>5</v>
      </c>
      <c r="E166" s="2294">
        <v>30</v>
      </c>
      <c r="F166" s="2295" t="s">
        <v>482</v>
      </c>
      <c r="G166" s="2295">
        <f>EDU*4</f>
        <v>220</v>
      </c>
      <c r="H166" s="2297" t="s">
        <v>1027</v>
      </c>
      <c r="K166" s="1875"/>
      <c r="L166" s="2369"/>
      <c r="M166" s="2104"/>
      <c r="N166" s="2369" t="s">
        <v>1000</v>
      </c>
      <c r="O166" s="2104"/>
      <c r="P166" s="2376" t="s">
        <v>1028</v>
      </c>
      <c r="Q166" s="2376"/>
      <c r="R166" s="2376"/>
      <c r="S166" s="2099"/>
      <c r="T166" s="2099"/>
      <c r="U166" s="2099"/>
    </row>
    <row r="167" ht="17" spans="1:21">
      <c r="A167" s="2272">
        <v>165</v>
      </c>
      <c r="B167" s="2278" t="s">
        <v>1029</v>
      </c>
      <c r="C167" s="2278"/>
      <c r="D167" s="2279">
        <v>9</v>
      </c>
      <c r="E167" s="2291">
        <v>20</v>
      </c>
      <c r="F167" s="2292" t="s">
        <v>482</v>
      </c>
      <c r="G167" s="2292">
        <f>EDU*4</f>
        <v>220</v>
      </c>
      <c r="H167" s="2291" t="s">
        <v>1030</v>
      </c>
      <c r="K167" s="1875"/>
      <c r="L167" s="2370"/>
      <c r="M167" s="2377"/>
      <c r="N167" s="2370" t="s">
        <v>1000</v>
      </c>
      <c r="O167" s="2377"/>
      <c r="P167" s="2376"/>
      <c r="Q167" s="2376"/>
      <c r="R167" s="2376"/>
      <c r="S167" s="2099"/>
      <c r="T167" s="2099"/>
      <c r="U167" s="2099"/>
    </row>
    <row r="168" ht="17" spans="1:21">
      <c r="A168" s="2280">
        <v>166</v>
      </c>
      <c r="B168" s="2281" t="s">
        <v>1031</v>
      </c>
      <c r="C168" s="2282"/>
      <c r="D168" s="2283">
        <v>30</v>
      </c>
      <c r="E168" s="2294">
        <v>50</v>
      </c>
      <c r="F168" s="2295" t="s">
        <v>482</v>
      </c>
      <c r="G168" s="2295">
        <f>EDU*4</f>
        <v>220</v>
      </c>
      <c r="H168" s="2297" t="s">
        <v>1032</v>
      </c>
      <c r="L168" s="1892"/>
      <c r="M168" s="2099"/>
      <c r="N168" s="1892" t="s">
        <v>1000</v>
      </c>
      <c r="O168" s="2099"/>
      <c r="P168" s="2376"/>
      <c r="Q168" s="2376"/>
      <c r="R168" s="2376"/>
      <c r="S168" s="2099"/>
      <c r="T168" s="2099"/>
      <c r="U168" s="2099"/>
    </row>
    <row r="169" ht="17" spans="1:21">
      <c r="A169" s="2272">
        <v>167</v>
      </c>
      <c r="B169" s="2278" t="s">
        <v>1033</v>
      </c>
      <c r="C169" s="2278"/>
      <c r="D169" s="2279">
        <v>30</v>
      </c>
      <c r="E169" s="2291">
        <v>60</v>
      </c>
      <c r="F169" s="2292" t="s">
        <v>482</v>
      </c>
      <c r="G169" s="2292">
        <f>EDU*4</f>
        <v>220</v>
      </c>
      <c r="H169" s="2291" t="s">
        <v>1034</v>
      </c>
      <c r="L169" s="1892" t="s">
        <v>1035</v>
      </c>
      <c r="M169" s="2099"/>
      <c r="N169" s="1892" t="s">
        <v>1000</v>
      </c>
      <c r="O169" s="2099"/>
      <c r="P169" s="2378" t="s">
        <v>1036</v>
      </c>
      <c r="Q169" s="2378"/>
      <c r="R169" s="2378"/>
      <c r="S169" s="2099"/>
      <c r="T169" s="2099"/>
      <c r="U169" s="2099"/>
    </row>
    <row r="170" ht="17" spans="1:21">
      <c r="A170" s="2280">
        <v>168</v>
      </c>
      <c r="B170" s="2281" t="s">
        <v>1037</v>
      </c>
      <c r="C170" s="2282"/>
      <c r="D170" s="2283">
        <v>0</v>
      </c>
      <c r="E170" s="2294">
        <v>5</v>
      </c>
      <c r="F170" s="2295" t="s">
        <v>477</v>
      </c>
      <c r="G170" s="2295">
        <f>EDU*2+MAX(STR*2,DEX*2)</f>
        <v>250</v>
      </c>
      <c r="H170" s="2297" t="s">
        <v>1038</v>
      </c>
      <c r="L170" s="1892" t="s">
        <v>1039</v>
      </c>
      <c r="M170" s="2099"/>
      <c r="N170" s="1892" t="s">
        <v>1000</v>
      </c>
      <c r="O170" s="2099"/>
      <c r="P170" s="2378"/>
      <c r="Q170" s="2378"/>
      <c r="R170" s="2378"/>
      <c r="S170" s="2099"/>
      <c r="T170" s="2099"/>
      <c r="U170" s="2099"/>
    </row>
    <row r="171" ht="17" spans="1:21">
      <c r="A171" s="2272">
        <v>169</v>
      </c>
      <c r="B171" s="2278" t="s">
        <v>1040</v>
      </c>
      <c r="C171" s="2278" t="s">
        <v>1041</v>
      </c>
      <c r="D171" s="2279">
        <v>9</v>
      </c>
      <c r="E171" s="2291">
        <v>60</v>
      </c>
      <c r="F171" s="2298" t="s">
        <v>547</v>
      </c>
      <c r="G171" s="2292">
        <f>EDU*2+STR*2</f>
        <v>170</v>
      </c>
      <c r="H171" s="2291" t="s">
        <v>1042</v>
      </c>
      <c r="L171" s="1892"/>
      <c r="M171" s="2099"/>
      <c r="N171" s="1892" t="s">
        <v>1000</v>
      </c>
      <c r="O171" s="2099"/>
      <c r="P171" s="2378" t="s">
        <v>1043</v>
      </c>
      <c r="Q171" s="2378"/>
      <c r="R171" s="2378"/>
      <c r="S171" s="2099"/>
      <c r="T171" s="2099"/>
      <c r="U171" s="2099"/>
    </row>
    <row r="172" ht="17" spans="1:21">
      <c r="A172" s="2280">
        <v>170</v>
      </c>
      <c r="B172" s="2281" t="s">
        <v>1044</v>
      </c>
      <c r="C172" s="2282"/>
      <c r="D172" s="2283">
        <v>9</v>
      </c>
      <c r="E172" s="2294">
        <v>30</v>
      </c>
      <c r="F172" s="2295" t="s">
        <v>477</v>
      </c>
      <c r="G172" s="2295">
        <f>EDU*2+MAX(STR*2,DEX*2)</f>
        <v>250</v>
      </c>
      <c r="H172" s="2297" t="s">
        <v>1045</v>
      </c>
      <c r="I172" s="2366" t="s">
        <v>1046</v>
      </c>
      <c r="J172" s="2366"/>
      <c r="L172" s="1892" t="s">
        <v>1047</v>
      </c>
      <c r="M172" s="2099"/>
      <c r="N172" s="1892" t="s">
        <v>1048</v>
      </c>
      <c r="O172" s="2099"/>
      <c r="P172" s="2378"/>
      <c r="Q172" s="2378"/>
      <c r="R172" s="2378"/>
      <c r="S172" s="2099"/>
      <c r="T172" s="2099"/>
      <c r="U172" s="2099"/>
    </row>
    <row r="173" ht="17" spans="1:21">
      <c r="A173" s="2272">
        <v>171</v>
      </c>
      <c r="B173" s="2278" t="s">
        <v>1049</v>
      </c>
      <c r="C173" s="2278"/>
      <c r="D173" s="2279">
        <v>30</v>
      </c>
      <c r="E173" s="2291">
        <v>50</v>
      </c>
      <c r="F173" s="2292" t="s">
        <v>482</v>
      </c>
      <c r="G173" s="2292">
        <f>EDU*4</f>
        <v>220</v>
      </c>
      <c r="H173" s="2291" t="s">
        <v>1050</v>
      </c>
      <c r="I173" s="2366"/>
      <c r="J173" s="2366"/>
      <c r="L173" s="1892" t="s">
        <v>1051</v>
      </c>
      <c r="M173" s="2099"/>
      <c r="N173" s="1892" t="s">
        <v>1048</v>
      </c>
      <c r="O173" s="2099"/>
      <c r="R173" s="1875"/>
      <c r="S173" s="2099"/>
      <c r="T173" s="2099"/>
      <c r="U173" s="2099"/>
    </row>
    <row r="174" ht="34" spans="1:21">
      <c r="A174" s="2280">
        <v>172</v>
      </c>
      <c r="B174" s="2281" t="s">
        <v>1052</v>
      </c>
      <c r="C174" s="2282"/>
      <c r="D174" s="2283">
        <v>5</v>
      </c>
      <c r="E174" s="2294">
        <v>10</v>
      </c>
      <c r="F174" s="2295" t="s">
        <v>482</v>
      </c>
      <c r="G174" s="2295">
        <f>EDU*4</f>
        <v>220</v>
      </c>
      <c r="H174" s="2297" t="s">
        <v>1053</v>
      </c>
      <c r="I174" s="2366"/>
      <c r="J174" s="2366"/>
      <c r="L174" s="1892"/>
      <c r="M174" s="2099"/>
      <c r="N174" s="1892" t="s">
        <v>1054</v>
      </c>
      <c r="O174" s="2099"/>
      <c r="R174" s="1875"/>
      <c r="S174" s="2099"/>
      <c r="T174" s="2099"/>
      <c r="U174" s="2099"/>
    </row>
    <row r="175" ht="17" spans="1:21">
      <c r="A175" s="2272">
        <v>173</v>
      </c>
      <c r="B175" s="2278" t="s">
        <v>1055</v>
      </c>
      <c r="C175" s="2278"/>
      <c r="D175" s="2279">
        <v>5</v>
      </c>
      <c r="E175" s="2291">
        <v>10</v>
      </c>
      <c r="F175" s="2292" t="s">
        <v>482</v>
      </c>
      <c r="G175" s="2292">
        <f>EDU*4</f>
        <v>220</v>
      </c>
      <c r="H175" s="2291" t="s">
        <v>1056</v>
      </c>
      <c r="I175" s="2366"/>
      <c r="J175" s="2366"/>
      <c r="L175" s="1892" t="s">
        <v>1057</v>
      </c>
      <c r="M175" s="2099"/>
      <c r="N175" s="1892" t="s">
        <v>1054</v>
      </c>
      <c r="O175" s="2099"/>
      <c r="P175" s="2099"/>
      <c r="Q175" s="2099"/>
      <c r="S175" s="2099"/>
      <c r="T175" s="2099"/>
      <c r="U175" s="2099"/>
    </row>
    <row r="176" ht="34" spans="1:21">
      <c r="A176" s="2280">
        <v>174</v>
      </c>
      <c r="B176" s="2281" t="s">
        <v>1058</v>
      </c>
      <c r="C176" s="2282"/>
      <c r="D176" s="2283">
        <v>30</v>
      </c>
      <c r="E176" s="2294">
        <v>50</v>
      </c>
      <c r="F176" s="2295" t="s">
        <v>487</v>
      </c>
      <c r="G176" s="2295">
        <f>EDU*2+MAX(APP*2,POW*2)</f>
        <v>270</v>
      </c>
      <c r="H176" s="2297" t="s">
        <v>1059</v>
      </c>
      <c r="I176" s="2366"/>
      <c r="J176" s="2366"/>
      <c r="L176" s="1892"/>
      <c r="M176" s="2099"/>
      <c r="N176" s="1892" t="s">
        <v>1060</v>
      </c>
      <c r="O176" s="2099"/>
      <c r="P176" s="2379" t="s">
        <v>1061</v>
      </c>
      <c r="Q176" s="2379"/>
      <c r="R176" s="2379"/>
      <c r="S176" s="2099"/>
      <c r="T176" s="2099"/>
      <c r="U176" s="2099"/>
    </row>
    <row r="177" ht="17" spans="1:21">
      <c r="A177" s="2280">
        <v>175</v>
      </c>
      <c r="B177" s="2281" t="s">
        <v>1062</v>
      </c>
      <c r="C177" s="2282"/>
      <c r="D177" s="2283">
        <v>10</v>
      </c>
      <c r="E177" s="2294">
        <v>50</v>
      </c>
      <c r="F177" s="2295" t="s">
        <v>482</v>
      </c>
      <c r="G177" s="2295">
        <f>EDU*4</f>
        <v>220</v>
      </c>
      <c r="H177" s="2297" t="s">
        <v>1063</v>
      </c>
      <c r="I177" s="2366"/>
      <c r="J177" s="2366"/>
      <c r="L177" s="1892"/>
      <c r="M177" s="2099"/>
      <c r="N177" s="1892" t="s">
        <v>1060</v>
      </c>
      <c r="O177" s="2099"/>
      <c r="P177" s="2379"/>
      <c r="Q177" s="2379"/>
      <c r="R177" s="2379"/>
      <c r="S177" s="2099"/>
      <c r="T177" s="2099"/>
      <c r="U177" s="2099"/>
    </row>
    <row r="178" ht="17" spans="1:21">
      <c r="A178" s="2272">
        <v>176</v>
      </c>
      <c r="B178" s="2278" t="s">
        <v>1064</v>
      </c>
      <c r="C178" s="2278"/>
      <c r="D178" s="2279">
        <v>10</v>
      </c>
      <c r="E178" s="2291">
        <v>70</v>
      </c>
      <c r="F178" s="2292" t="s">
        <v>482</v>
      </c>
      <c r="G178" s="2292">
        <f>EDU*4</f>
        <v>220</v>
      </c>
      <c r="H178" s="2291" t="s">
        <v>1065</v>
      </c>
      <c r="I178" s="2367" t="s">
        <v>898</v>
      </c>
      <c r="J178" s="2367"/>
      <c r="L178" s="1892"/>
      <c r="M178" s="2099"/>
      <c r="N178" s="1892" t="s">
        <v>1060</v>
      </c>
      <c r="O178" s="2099"/>
      <c r="P178" s="2379"/>
      <c r="Q178" s="2379"/>
      <c r="R178" s="2379"/>
      <c r="S178" s="2099"/>
      <c r="T178" s="2099"/>
      <c r="U178" s="2099"/>
    </row>
    <row r="179" ht="17" spans="1:21">
      <c r="A179" s="2280">
        <v>177</v>
      </c>
      <c r="B179" s="2281" t="s">
        <v>1066</v>
      </c>
      <c r="C179" s="2282"/>
      <c r="D179" s="2283">
        <v>30</v>
      </c>
      <c r="E179" s="2294">
        <v>50</v>
      </c>
      <c r="F179" s="2295" t="s">
        <v>482</v>
      </c>
      <c r="G179" s="2295">
        <f>EDU*4</f>
        <v>220</v>
      </c>
      <c r="H179" s="2297" t="s">
        <v>944</v>
      </c>
      <c r="I179" s="1875"/>
      <c r="J179" s="1875"/>
      <c r="L179" s="1892" t="s">
        <v>945</v>
      </c>
      <c r="M179" s="2099"/>
      <c r="N179" s="1892" t="s">
        <v>1060</v>
      </c>
      <c r="O179" s="2099"/>
      <c r="P179" s="2379"/>
      <c r="Q179" s="2379"/>
      <c r="R179" s="2379"/>
      <c r="S179" s="2099"/>
      <c r="T179" s="2099"/>
      <c r="U179" s="2099"/>
    </row>
    <row r="180" ht="17" spans="1:21">
      <c r="A180" s="2272">
        <v>178</v>
      </c>
      <c r="B180" s="2278" t="s">
        <v>1067</v>
      </c>
      <c r="C180" s="2278"/>
      <c r="D180" s="2279">
        <v>10</v>
      </c>
      <c r="E180" s="2291">
        <v>50</v>
      </c>
      <c r="F180" s="2292" t="s">
        <v>477</v>
      </c>
      <c r="G180" s="2292">
        <f>EDU*2+MAX(STR*2,DEX*2)</f>
        <v>250</v>
      </c>
      <c r="H180" s="2291" t="s">
        <v>1068</v>
      </c>
      <c r="I180" s="2367" t="s">
        <v>1069</v>
      </c>
      <c r="J180" s="2367"/>
      <c r="L180" s="1892"/>
      <c r="M180" s="2099"/>
      <c r="N180" s="1892" t="s">
        <v>1060</v>
      </c>
      <c r="O180" s="2099"/>
      <c r="P180" s="2099"/>
      <c r="Q180" s="2099"/>
      <c r="S180" s="2099"/>
      <c r="T180" s="2099"/>
      <c r="U180" s="2099"/>
    </row>
    <row r="181" ht="17" spans="1:21">
      <c r="A181" s="2280">
        <v>179</v>
      </c>
      <c r="B181" s="2281" t="s">
        <v>1070</v>
      </c>
      <c r="C181" s="2282"/>
      <c r="D181" s="2283">
        <v>9</v>
      </c>
      <c r="E181" s="2294">
        <v>70</v>
      </c>
      <c r="F181" s="2295" t="s">
        <v>469</v>
      </c>
      <c r="G181" s="2295">
        <f>EDU*2+APP*2</f>
        <v>270</v>
      </c>
      <c r="H181" s="2297" t="s">
        <v>643</v>
      </c>
      <c r="I181" s="2367"/>
      <c r="J181" s="2367"/>
      <c r="L181" s="1892"/>
      <c r="M181" s="2099"/>
      <c r="N181" s="1892" t="s">
        <v>1060</v>
      </c>
      <c r="O181" s="2099"/>
      <c r="P181" s="2099"/>
      <c r="Q181" s="2099"/>
      <c r="S181" s="2099"/>
      <c r="T181" s="2099"/>
      <c r="U181" s="2099"/>
    </row>
    <row r="182" ht="15" customHeight="1" spans="1:21">
      <c r="A182" s="2272">
        <v>180</v>
      </c>
      <c r="B182" s="2278" t="s">
        <v>1071</v>
      </c>
      <c r="C182" s="2278"/>
      <c r="D182" s="2279">
        <v>20</v>
      </c>
      <c r="E182" s="2291">
        <v>60</v>
      </c>
      <c r="F182" s="2292" t="s">
        <v>482</v>
      </c>
      <c r="G182" s="2292">
        <f>EDU*4</f>
        <v>220</v>
      </c>
      <c r="H182" s="2291" t="s">
        <v>1072</v>
      </c>
      <c r="I182" s="2367"/>
      <c r="J182" s="2367"/>
      <c r="L182" s="1892"/>
      <c r="M182" s="2099"/>
      <c r="N182" s="1892" t="s">
        <v>1060</v>
      </c>
      <c r="O182" s="2099"/>
      <c r="P182" s="2099"/>
      <c r="Q182" s="2099"/>
      <c r="S182" s="2099"/>
      <c r="T182" s="2099"/>
      <c r="U182" s="2099"/>
    </row>
    <row r="183" ht="17" spans="1:21">
      <c r="A183" s="2280">
        <v>181</v>
      </c>
      <c r="B183" s="2281" t="s">
        <v>1073</v>
      </c>
      <c r="C183" s="2282"/>
      <c r="D183" s="2283">
        <v>9</v>
      </c>
      <c r="E183" s="2294">
        <v>30</v>
      </c>
      <c r="F183" s="2295" t="s">
        <v>482</v>
      </c>
      <c r="G183" s="2295">
        <f>EDU*4</f>
        <v>220</v>
      </c>
      <c r="H183" s="2297" t="s">
        <v>1074</v>
      </c>
      <c r="I183" s="2367"/>
      <c r="J183" s="2367"/>
      <c r="L183" s="1892"/>
      <c r="M183" s="2099"/>
      <c r="N183" s="1892" t="s">
        <v>1060</v>
      </c>
      <c r="O183" s="2099"/>
      <c r="P183" s="2099"/>
      <c r="Q183" s="2099"/>
      <c r="S183" s="2099"/>
      <c r="T183" s="2099"/>
      <c r="U183" s="2099"/>
    </row>
    <row r="184" ht="17" spans="1:21">
      <c r="A184" s="2272">
        <v>182</v>
      </c>
      <c r="B184" s="2278" t="s">
        <v>1075</v>
      </c>
      <c r="C184" s="2278"/>
      <c r="D184" s="2279">
        <v>20</v>
      </c>
      <c r="E184" s="2291">
        <v>40</v>
      </c>
      <c r="F184" s="2292" t="s">
        <v>482</v>
      </c>
      <c r="G184" s="2292">
        <f>EDU*4</f>
        <v>220</v>
      </c>
      <c r="H184" s="2291" t="s">
        <v>1076</v>
      </c>
      <c r="L184" s="1892"/>
      <c r="M184" s="2099"/>
      <c r="N184" s="1892" t="s">
        <v>1060</v>
      </c>
      <c r="O184" s="2099"/>
      <c r="P184" s="2099"/>
      <c r="Q184" s="2099"/>
      <c r="S184" s="2099"/>
      <c r="T184" s="2099"/>
      <c r="U184" s="2099"/>
    </row>
    <row r="185" ht="17" spans="1:21">
      <c r="A185" s="2280">
        <v>183</v>
      </c>
      <c r="B185" s="2281" t="s">
        <v>1077</v>
      </c>
      <c r="C185" s="2282"/>
      <c r="D185" s="2283">
        <v>9</v>
      </c>
      <c r="E185" s="2294">
        <v>60</v>
      </c>
      <c r="F185" s="2295" t="s">
        <v>477</v>
      </c>
      <c r="G185" s="2295">
        <f>EDU*2+MAX(STR*2,DEX*2)</f>
        <v>250</v>
      </c>
      <c r="H185" s="2297" t="s">
        <v>830</v>
      </c>
      <c r="L185" s="1892"/>
      <c r="M185" s="2099"/>
      <c r="N185" s="1892" t="s">
        <v>1060</v>
      </c>
      <c r="O185" s="2099"/>
      <c r="S185" s="2099"/>
      <c r="T185" s="2099"/>
      <c r="U185" s="2099"/>
    </row>
    <row r="186" ht="17" spans="1:21">
      <c r="A186" s="2272">
        <v>184</v>
      </c>
      <c r="B186" s="2278" t="s">
        <v>1078</v>
      </c>
      <c r="C186" s="2278"/>
      <c r="D186" s="2279">
        <v>9</v>
      </c>
      <c r="E186" s="2291">
        <v>60</v>
      </c>
      <c r="F186" s="2298" t="s">
        <v>477</v>
      </c>
      <c r="G186" s="2292">
        <f>EDU*2+MAX(STR*2,DEX*2)</f>
        <v>250</v>
      </c>
      <c r="H186" s="2291" t="s">
        <v>830</v>
      </c>
      <c r="L186" s="1892"/>
      <c r="M186" s="2099"/>
      <c r="N186" s="1892" t="s">
        <v>1060</v>
      </c>
      <c r="O186" s="2099"/>
      <c r="S186" s="2099"/>
      <c r="T186" s="2099"/>
      <c r="U186" s="2099"/>
    </row>
    <row r="187" ht="13" customHeight="1" spans="1:21">
      <c r="A187" s="2280">
        <v>185</v>
      </c>
      <c r="B187" s="2281" t="s">
        <v>1079</v>
      </c>
      <c r="C187" s="2282"/>
      <c r="D187" s="2283">
        <v>55</v>
      </c>
      <c r="E187" s="2294">
        <v>80</v>
      </c>
      <c r="F187" s="2295" t="s">
        <v>628</v>
      </c>
      <c r="G187" s="2295">
        <f>EDU*2+MAX(DEX*2,APP*2,STR*2)</f>
        <v>270</v>
      </c>
      <c r="H187" s="2297" t="s">
        <v>1080</v>
      </c>
      <c r="L187" s="1892"/>
      <c r="M187" s="2099"/>
      <c r="N187" s="1892" t="s">
        <v>1060</v>
      </c>
      <c r="O187" s="2099"/>
      <c r="S187" s="2099"/>
      <c r="T187" s="2099"/>
      <c r="U187" s="2099"/>
    </row>
    <row r="188" ht="17" spans="1:21">
      <c r="A188" s="2272">
        <v>186</v>
      </c>
      <c r="B188" s="2278" t="s">
        <v>1081</v>
      </c>
      <c r="C188" s="2278"/>
      <c r="D188" s="2279">
        <v>30</v>
      </c>
      <c r="E188" s="2291">
        <v>70</v>
      </c>
      <c r="F188" s="2292" t="s">
        <v>482</v>
      </c>
      <c r="G188" s="2292">
        <f>EDU*4</f>
        <v>220</v>
      </c>
      <c r="H188" s="2291" t="s">
        <v>908</v>
      </c>
      <c r="L188" s="1892"/>
      <c r="M188" s="2099"/>
      <c r="N188" s="1892" t="s">
        <v>1060</v>
      </c>
      <c r="O188" s="2099"/>
      <c r="P188" s="2099"/>
      <c r="Q188" s="2099"/>
      <c r="S188" s="2099"/>
      <c r="T188" s="2099"/>
      <c r="U188" s="2099"/>
    </row>
    <row r="189" ht="17" spans="1:21">
      <c r="A189" s="2280">
        <v>187</v>
      </c>
      <c r="B189" s="2281" t="s">
        <v>1082</v>
      </c>
      <c r="C189" s="2282"/>
      <c r="D189" s="2283">
        <v>9</v>
      </c>
      <c r="E189" s="2294">
        <v>70</v>
      </c>
      <c r="F189" s="2295" t="s">
        <v>469</v>
      </c>
      <c r="G189" s="2295">
        <f>EDU*2+APP*2</f>
        <v>270</v>
      </c>
      <c r="H189" s="2297" t="s">
        <v>1083</v>
      </c>
      <c r="L189" s="1892"/>
      <c r="M189" s="2099"/>
      <c r="N189" s="1892" t="s">
        <v>1060</v>
      </c>
      <c r="O189" s="2099"/>
      <c r="P189" s="2099"/>
      <c r="Q189" s="2099"/>
      <c r="S189" s="2099"/>
      <c r="T189" s="2099"/>
      <c r="U189" s="2099"/>
    </row>
    <row r="190" ht="17" spans="1:21">
      <c r="A190" s="2272">
        <v>188</v>
      </c>
      <c r="B190" s="2278" t="s">
        <v>1084</v>
      </c>
      <c r="C190" s="2278"/>
      <c r="D190" s="2279">
        <v>9</v>
      </c>
      <c r="E190" s="2291">
        <v>70</v>
      </c>
      <c r="F190" s="2292" t="s">
        <v>469</v>
      </c>
      <c r="G190" s="2292">
        <f>EDU*2+APP*2</f>
        <v>270</v>
      </c>
      <c r="H190" s="2291" t="s">
        <v>1085</v>
      </c>
      <c r="L190" s="1892"/>
      <c r="M190" s="2099"/>
      <c r="N190" s="1892" t="s">
        <v>1060</v>
      </c>
      <c r="O190" s="2099"/>
      <c r="P190" s="2099"/>
      <c r="Q190" s="2099"/>
      <c r="S190" s="2099"/>
      <c r="T190" s="2099"/>
      <c r="U190" s="2099"/>
    </row>
    <row r="191" ht="17" spans="1:21">
      <c r="A191" s="2280">
        <v>189</v>
      </c>
      <c r="B191" s="2281" t="s">
        <v>1086</v>
      </c>
      <c r="C191" s="2282"/>
      <c r="D191" s="2283">
        <v>9</v>
      </c>
      <c r="E191" s="2294">
        <v>70</v>
      </c>
      <c r="F191" s="2295" t="s">
        <v>469</v>
      </c>
      <c r="G191" s="2295">
        <f>EDU*2+APP*2</f>
        <v>270</v>
      </c>
      <c r="H191" s="2297" t="s">
        <v>1087</v>
      </c>
      <c r="L191" s="1892"/>
      <c r="M191" s="2099"/>
      <c r="N191" s="1892" t="s">
        <v>1060</v>
      </c>
      <c r="O191" s="2099"/>
      <c r="P191" s="2099"/>
      <c r="Q191" s="2099"/>
      <c r="S191" s="2099"/>
      <c r="T191" s="2099"/>
      <c r="U191" s="2099"/>
    </row>
    <row r="192" ht="17" spans="1:21">
      <c r="A192" s="2280">
        <v>190</v>
      </c>
      <c r="B192" s="2281" t="s">
        <v>1088</v>
      </c>
      <c r="C192" s="2282"/>
      <c r="D192" s="2283">
        <v>9</v>
      </c>
      <c r="E192" s="2294">
        <v>20</v>
      </c>
      <c r="F192" s="2295" t="s">
        <v>591</v>
      </c>
      <c r="G192" s="2295">
        <f>EDU*2+DEX*2</f>
        <v>250</v>
      </c>
      <c r="H192" s="2297" t="s">
        <v>1089</v>
      </c>
      <c r="L192" s="1892"/>
      <c r="M192" s="2099"/>
      <c r="N192" s="1892" t="s">
        <v>1060</v>
      </c>
      <c r="O192" s="2099"/>
      <c r="P192" s="2099"/>
      <c r="Q192" s="2099"/>
      <c r="S192" s="2099"/>
      <c r="T192" s="2099"/>
      <c r="U192" s="2099"/>
    </row>
    <row r="193" ht="17" spans="1:21">
      <c r="A193" s="2272">
        <v>191</v>
      </c>
      <c r="B193" s="2278" t="s">
        <v>1090</v>
      </c>
      <c r="C193" s="2278"/>
      <c r="D193" s="2279">
        <v>50</v>
      </c>
      <c r="E193" s="2291">
        <v>80</v>
      </c>
      <c r="F193" s="2292" t="s">
        <v>482</v>
      </c>
      <c r="G193" s="2292">
        <f>EDU*4</f>
        <v>220</v>
      </c>
      <c r="H193" s="2291" t="s">
        <v>959</v>
      </c>
      <c r="L193" s="1892"/>
      <c r="M193" s="2099"/>
      <c r="N193" s="1892" t="s">
        <v>1060</v>
      </c>
      <c r="O193" s="2099"/>
      <c r="P193" s="2099"/>
      <c r="Q193" s="2099"/>
      <c r="S193" s="2099"/>
      <c r="T193" s="2099"/>
      <c r="U193" s="2099"/>
    </row>
    <row r="194" ht="17" spans="1:21">
      <c r="A194" s="2280">
        <v>192</v>
      </c>
      <c r="B194" s="2281" t="s">
        <v>1091</v>
      </c>
      <c r="C194" s="2282"/>
      <c r="D194" s="2283">
        <v>50</v>
      </c>
      <c r="E194" s="2294">
        <v>80</v>
      </c>
      <c r="F194" s="2295" t="s">
        <v>482</v>
      </c>
      <c r="G194" s="2295">
        <f>EDU*4</f>
        <v>220</v>
      </c>
      <c r="H194" s="2297" t="s">
        <v>959</v>
      </c>
      <c r="L194" s="1892"/>
      <c r="M194" s="2099"/>
      <c r="N194" s="1892" t="s">
        <v>1060</v>
      </c>
      <c r="O194" s="2099"/>
      <c r="P194" s="2099"/>
      <c r="Q194" s="2099"/>
      <c r="S194" s="2099"/>
      <c r="T194" s="2099"/>
      <c r="U194" s="2099"/>
    </row>
    <row r="195" ht="17" spans="1:21">
      <c r="A195" s="2272">
        <v>193</v>
      </c>
      <c r="B195" s="2278" t="s">
        <v>1092</v>
      </c>
      <c r="C195" s="2278"/>
      <c r="D195" s="2279">
        <v>50</v>
      </c>
      <c r="E195" s="2291">
        <v>80</v>
      </c>
      <c r="F195" s="2292" t="s">
        <v>482</v>
      </c>
      <c r="G195" s="2292">
        <f>EDU*4</f>
        <v>220</v>
      </c>
      <c r="H195" s="2291" t="s">
        <v>959</v>
      </c>
      <c r="L195" s="1892"/>
      <c r="M195" s="2099"/>
      <c r="N195" s="1892" t="s">
        <v>1060</v>
      </c>
      <c r="O195" s="2099"/>
      <c r="P195" s="2099"/>
      <c r="Q195" s="2099"/>
      <c r="S195" s="2099"/>
      <c r="T195" s="2099"/>
      <c r="U195" s="2099"/>
    </row>
    <row r="196" ht="17" spans="1:21">
      <c r="A196" s="2280">
        <v>194</v>
      </c>
      <c r="B196" s="2281" t="s">
        <v>1093</v>
      </c>
      <c r="C196" s="2282"/>
      <c r="D196" s="2283">
        <v>9</v>
      </c>
      <c r="E196" s="2294">
        <v>70</v>
      </c>
      <c r="F196" s="2295" t="s">
        <v>469</v>
      </c>
      <c r="G196" s="2295">
        <f>EDU*2+APP*2</f>
        <v>270</v>
      </c>
      <c r="H196" s="2297" t="s">
        <v>1094</v>
      </c>
      <c r="L196" s="1892"/>
      <c r="M196" s="2099"/>
      <c r="N196" s="1892" t="s">
        <v>1060</v>
      </c>
      <c r="O196" s="2099"/>
      <c r="P196" s="2099"/>
      <c r="Q196" s="2099"/>
      <c r="S196" s="2099"/>
      <c r="T196" s="2099"/>
      <c r="U196" s="2099"/>
    </row>
    <row r="197" ht="17" spans="1:21">
      <c r="A197" s="2272">
        <v>195</v>
      </c>
      <c r="B197" s="2278" t="s">
        <v>1095</v>
      </c>
      <c r="C197" s="2278"/>
      <c r="D197" s="2279">
        <v>30</v>
      </c>
      <c r="E197" s="2291">
        <v>70</v>
      </c>
      <c r="F197" s="2292" t="s">
        <v>482</v>
      </c>
      <c r="G197" s="2292">
        <f>EDU*4</f>
        <v>220</v>
      </c>
      <c r="H197" s="2291" t="s">
        <v>1096</v>
      </c>
      <c r="L197" s="1892"/>
      <c r="M197" s="2099"/>
      <c r="N197" s="1892" t="s">
        <v>1060</v>
      </c>
      <c r="O197" s="2099"/>
      <c r="P197" s="2099"/>
      <c r="Q197" s="2099"/>
      <c r="S197" s="2099"/>
      <c r="T197" s="2099"/>
      <c r="U197" s="2099"/>
    </row>
    <row r="198" ht="17" spans="1:21">
      <c r="A198" s="2280">
        <v>196</v>
      </c>
      <c r="B198" s="2281" t="s">
        <v>1097</v>
      </c>
      <c r="C198" s="2282"/>
      <c r="D198" s="2283">
        <v>9</v>
      </c>
      <c r="E198" s="2294">
        <v>30</v>
      </c>
      <c r="F198" s="2295" t="s">
        <v>591</v>
      </c>
      <c r="G198" s="2295">
        <f>EDU*2+DEX*2</f>
        <v>250</v>
      </c>
      <c r="H198" s="2297" t="s">
        <v>1098</v>
      </c>
      <c r="L198" s="1892"/>
      <c r="M198" s="2099"/>
      <c r="N198" s="1892" t="s">
        <v>1060</v>
      </c>
      <c r="O198" s="2099"/>
      <c r="P198" s="2099"/>
      <c r="Q198" s="2099"/>
      <c r="S198" s="2099"/>
      <c r="T198" s="2099"/>
      <c r="U198" s="2099"/>
    </row>
    <row r="199" ht="17" spans="1:21">
      <c r="A199" s="2272">
        <v>197</v>
      </c>
      <c r="B199" s="2278" t="s">
        <v>1099</v>
      </c>
      <c r="C199" s="2278"/>
      <c r="D199" s="2279">
        <v>9</v>
      </c>
      <c r="E199" s="2291">
        <v>30</v>
      </c>
      <c r="F199" s="2292" t="s">
        <v>1100</v>
      </c>
      <c r="G199" s="2292">
        <f>EDU*2+MAX(EDU*2,APP*2)</f>
        <v>270</v>
      </c>
      <c r="H199" s="2291" t="s">
        <v>1101</v>
      </c>
      <c r="L199" s="1892"/>
      <c r="M199" s="2099"/>
      <c r="N199" s="1892" t="s">
        <v>1060</v>
      </c>
      <c r="O199" s="2099"/>
      <c r="P199" s="2099"/>
      <c r="Q199" s="2099"/>
      <c r="S199" s="2099"/>
      <c r="T199" s="2099"/>
      <c r="U199" s="2099"/>
    </row>
    <row r="200" ht="17" spans="1:21">
      <c r="A200" s="2280">
        <v>198</v>
      </c>
      <c r="B200" s="2281" t="s">
        <v>1102</v>
      </c>
      <c r="C200" s="2282"/>
      <c r="D200" s="2283">
        <v>9</v>
      </c>
      <c r="E200" s="2294">
        <v>40</v>
      </c>
      <c r="F200" s="2295" t="s">
        <v>482</v>
      </c>
      <c r="G200" s="2295">
        <f>EDU*4</f>
        <v>220</v>
      </c>
      <c r="H200" s="2297" t="s">
        <v>710</v>
      </c>
      <c r="L200" s="1892"/>
      <c r="M200" s="2099"/>
      <c r="N200" s="1892" t="s">
        <v>1060</v>
      </c>
      <c r="O200" s="2099"/>
      <c r="P200" s="2099"/>
      <c r="Q200" s="2099"/>
      <c r="S200" s="2099"/>
      <c r="T200" s="2099"/>
      <c r="U200" s="2099"/>
    </row>
    <row r="201" ht="17" spans="1:21">
      <c r="A201" s="2272">
        <v>199</v>
      </c>
      <c r="B201" s="2278" t="s">
        <v>1103</v>
      </c>
      <c r="C201" s="2278"/>
      <c r="D201" s="2279">
        <v>9</v>
      </c>
      <c r="E201" s="2291">
        <v>30</v>
      </c>
      <c r="F201" s="2298" t="s">
        <v>575</v>
      </c>
      <c r="G201" s="2292">
        <f>EDU*2+DEX*2</f>
        <v>250</v>
      </c>
      <c r="H201" s="2291" t="s">
        <v>1104</v>
      </c>
      <c r="L201" s="1892"/>
      <c r="M201" s="2099"/>
      <c r="N201" s="1892" t="s">
        <v>1060</v>
      </c>
      <c r="O201" s="2099"/>
      <c r="P201" s="2099"/>
      <c r="Q201" s="2099"/>
      <c r="S201" s="2099"/>
      <c r="T201" s="2099"/>
      <c r="U201" s="2099"/>
    </row>
    <row r="202" ht="17" spans="1:21">
      <c r="A202" s="2280">
        <v>200</v>
      </c>
      <c r="B202" s="2281" t="s">
        <v>1105</v>
      </c>
      <c r="C202" s="2282"/>
      <c r="D202" s="2283">
        <v>10</v>
      </c>
      <c r="E202" s="2294">
        <v>70</v>
      </c>
      <c r="F202" s="2295" t="s">
        <v>482</v>
      </c>
      <c r="G202" s="2295">
        <f>EDU*4</f>
        <v>220</v>
      </c>
      <c r="H202" s="2297" t="s">
        <v>1106</v>
      </c>
      <c r="L202" s="1892"/>
      <c r="M202" s="2099"/>
      <c r="N202" s="1892" t="s">
        <v>1060</v>
      </c>
      <c r="O202" s="2099"/>
      <c r="P202" s="2099"/>
      <c r="Q202" s="2099"/>
      <c r="S202" s="2099"/>
      <c r="T202" s="2099"/>
      <c r="U202" s="2099"/>
    </row>
    <row r="203" ht="17" spans="1:21">
      <c r="A203" s="2272">
        <v>201</v>
      </c>
      <c r="B203" s="2278" t="s">
        <v>1107</v>
      </c>
      <c r="C203" s="2278"/>
      <c r="D203" s="2279">
        <v>9</v>
      </c>
      <c r="E203" s="2291">
        <v>30</v>
      </c>
      <c r="F203" s="2292" t="s">
        <v>477</v>
      </c>
      <c r="G203" s="2292">
        <f>EDU*2+MAX(STR*2,DEX*2)</f>
        <v>250</v>
      </c>
      <c r="H203" s="2291" t="s">
        <v>830</v>
      </c>
      <c r="L203" s="1892"/>
      <c r="M203" s="2099"/>
      <c r="N203" s="1892" t="s">
        <v>1060</v>
      </c>
      <c r="O203" s="2099"/>
      <c r="P203" s="2099"/>
      <c r="Q203" s="2099"/>
      <c r="S203" s="2099"/>
      <c r="T203" s="2099"/>
      <c r="U203" s="2099"/>
    </row>
    <row r="204" ht="34" spans="1:21">
      <c r="A204" s="2280">
        <v>202</v>
      </c>
      <c r="B204" s="2281" t="s">
        <v>1108</v>
      </c>
      <c r="C204" s="2282"/>
      <c r="D204" s="2283">
        <v>1</v>
      </c>
      <c r="E204" s="2294">
        <v>10</v>
      </c>
      <c r="F204" s="2295" t="s">
        <v>482</v>
      </c>
      <c r="G204" s="2295">
        <f>EDU*4</f>
        <v>220</v>
      </c>
      <c r="H204" s="2297" t="s">
        <v>1109</v>
      </c>
      <c r="L204" s="1892"/>
      <c r="M204" s="2099"/>
      <c r="N204" s="1892" t="s">
        <v>1060</v>
      </c>
      <c r="O204" s="2099"/>
      <c r="P204" s="2099"/>
      <c r="Q204" s="2099"/>
      <c r="S204" s="2099"/>
      <c r="T204" s="2099"/>
      <c r="U204" s="2099"/>
    </row>
    <row r="205" ht="17" spans="1:21">
      <c r="A205" s="2272">
        <v>203</v>
      </c>
      <c r="B205" s="2278" t="s">
        <v>1110</v>
      </c>
      <c r="C205" s="2278"/>
      <c r="D205" s="2279">
        <v>9</v>
      </c>
      <c r="E205" s="2291">
        <v>30</v>
      </c>
      <c r="F205" s="2292" t="s">
        <v>477</v>
      </c>
      <c r="G205" s="2292">
        <f>EDU*2+MAX(STR*2,DEX*2)</f>
        <v>250</v>
      </c>
      <c r="H205" s="2291" t="s">
        <v>1111</v>
      </c>
      <c r="L205" s="1892"/>
      <c r="M205" s="2099"/>
      <c r="N205" s="1892" t="s">
        <v>1060</v>
      </c>
      <c r="O205" s="2099"/>
      <c r="P205" s="2099"/>
      <c r="Q205" s="2099"/>
      <c r="S205" s="2099"/>
      <c r="T205" s="2099"/>
      <c r="U205" s="2099"/>
    </row>
    <row r="206" ht="17" spans="1:21">
      <c r="A206" s="2280">
        <v>204</v>
      </c>
      <c r="B206" s="2281" t="s">
        <v>1112</v>
      </c>
      <c r="C206" s="2282"/>
      <c r="D206" s="2283">
        <v>9</v>
      </c>
      <c r="E206" s="2294">
        <v>20</v>
      </c>
      <c r="F206" s="2295" t="s">
        <v>482</v>
      </c>
      <c r="G206" s="2295">
        <f>EDU*4</f>
        <v>220</v>
      </c>
      <c r="H206" s="2297" t="s">
        <v>1113</v>
      </c>
      <c r="L206" s="1892"/>
      <c r="M206" s="2099"/>
      <c r="N206" s="1892" t="s">
        <v>1060</v>
      </c>
      <c r="O206" s="2099"/>
      <c r="P206" s="2099"/>
      <c r="Q206" s="2099"/>
      <c r="S206" s="2099"/>
      <c r="T206" s="2099"/>
      <c r="U206" s="2099"/>
    </row>
    <row r="207" ht="34" spans="1:21">
      <c r="A207" s="2280">
        <v>205</v>
      </c>
      <c r="B207" s="2281" t="s">
        <v>1114</v>
      </c>
      <c r="C207" s="2282"/>
      <c r="D207" s="2283">
        <v>9</v>
      </c>
      <c r="E207" s="2294">
        <v>30</v>
      </c>
      <c r="F207" s="2295" t="s">
        <v>469</v>
      </c>
      <c r="G207" s="2295">
        <f>EDU*2+APP*2</f>
        <v>270</v>
      </c>
      <c r="H207" s="2297" t="s">
        <v>1115</v>
      </c>
      <c r="I207" s="2366" t="s">
        <v>1116</v>
      </c>
      <c r="J207" s="2366"/>
      <c r="L207" s="1892"/>
      <c r="M207" s="2099"/>
      <c r="N207" s="1892" t="s">
        <v>1117</v>
      </c>
      <c r="O207" s="2099"/>
      <c r="P207" s="2099"/>
      <c r="Q207" s="2099"/>
      <c r="S207" s="2099"/>
      <c r="T207" s="2099"/>
      <c r="U207" s="2099"/>
    </row>
    <row r="208" ht="34" spans="1:21">
      <c r="A208" s="2272">
        <v>206</v>
      </c>
      <c r="B208" s="2278" t="s">
        <v>1118</v>
      </c>
      <c r="C208" s="2278"/>
      <c r="D208" s="2279">
        <v>30</v>
      </c>
      <c r="E208" s="2291">
        <v>60</v>
      </c>
      <c r="F208" s="2292" t="s">
        <v>482</v>
      </c>
      <c r="G208" s="2292">
        <f>EDU*4</f>
        <v>220</v>
      </c>
      <c r="H208" s="2291" t="s">
        <v>1119</v>
      </c>
      <c r="I208" s="2366"/>
      <c r="J208" s="2366"/>
      <c r="L208" s="1892"/>
      <c r="M208" s="2099"/>
      <c r="N208" s="1892" t="s">
        <v>1117</v>
      </c>
      <c r="O208" s="2099"/>
      <c r="P208" s="2099"/>
      <c r="Q208" s="2099"/>
      <c r="S208" s="2099"/>
      <c r="T208" s="2099"/>
      <c r="U208" s="2099"/>
    </row>
    <row r="209" ht="17" spans="1:21">
      <c r="A209" s="2280">
        <v>207</v>
      </c>
      <c r="B209" s="2281" t="s">
        <v>1120</v>
      </c>
      <c r="C209" s="2282"/>
      <c r="D209" s="2283">
        <v>70</v>
      </c>
      <c r="E209" s="2294">
        <v>99</v>
      </c>
      <c r="F209" s="2295" t="s">
        <v>1100</v>
      </c>
      <c r="G209" s="2295">
        <f>EDU*2+MAX(EDU*2,APP*2)</f>
        <v>270</v>
      </c>
      <c r="H209" s="2297" t="s">
        <v>1121</v>
      </c>
      <c r="I209" s="2366"/>
      <c r="J209" s="2366"/>
      <c r="L209" s="1892"/>
      <c r="M209" s="2099"/>
      <c r="N209" s="1892" t="s">
        <v>1117</v>
      </c>
      <c r="O209" s="2099"/>
      <c r="P209" s="2099"/>
      <c r="Q209" s="2099"/>
      <c r="S209" s="2099"/>
      <c r="T209" s="2099"/>
      <c r="U209" s="2099"/>
    </row>
    <row r="210" ht="17" spans="1:21">
      <c r="A210" s="2272">
        <v>208</v>
      </c>
      <c r="B210" s="2278" t="s">
        <v>512</v>
      </c>
      <c r="C210" s="2278"/>
      <c r="D210" s="2279">
        <v>10</v>
      </c>
      <c r="E210" s="2291">
        <v>40</v>
      </c>
      <c r="F210" s="2292" t="s">
        <v>513</v>
      </c>
      <c r="G210" s="2292">
        <f>EDU*2+MAX(DEX*2,POW*2)</f>
        <v>250</v>
      </c>
      <c r="H210" s="2291" t="s">
        <v>1122</v>
      </c>
      <c r="I210" s="2366"/>
      <c r="J210" s="2366"/>
      <c r="L210" s="1892"/>
      <c r="M210" s="2099"/>
      <c r="N210" s="1892" t="s">
        <v>1117</v>
      </c>
      <c r="O210" s="2099"/>
      <c r="P210" s="2099"/>
      <c r="Q210" s="2099"/>
      <c r="S210" s="2099"/>
      <c r="T210" s="2099"/>
      <c r="U210" s="2099"/>
    </row>
    <row r="211" ht="17" spans="1:21">
      <c r="A211" s="2280">
        <v>209</v>
      </c>
      <c r="B211" s="2281" t="s">
        <v>1123</v>
      </c>
      <c r="C211" s="2282"/>
      <c r="D211" s="2283">
        <v>10</v>
      </c>
      <c r="E211" s="2294">
        <v>40</v>
      </c>
      <c r="F211" s="2295" t="s">
        <v>482</v>
      </c>
      <c r="G211" s="2295">
        <f>EDU*4</f>
        <v>220</v>
      </c>
      <c r="H211" s="2297" t="s">
        <v>1124</v>
      </c>
      <c r="I211" s="2366"/>
      <c r="J211" s="2366"/>
      <c r="L211" s="1892"/>
      <c r="M211" s="2099"/>
      <c r="N211" s="1892" t="s">
        <v>1117</v>
      </c>
      <c r="O211" s="2099"/>
      <c r="P211" s="2099"/>
      <c r="Q211" s="2099"/>
      <c r="S211" s="2099"/>
      <c r="T211" s="2099"/>
      <c r="U211" s="2099"/>
    </row>
    <row r="212" ht="34" spans="1:21">
      <c r="A212" s="2272">
        <v>210</v>
      </c>
      <c r="B212" s="2278" t="s">
        <v>1125</v>
      </c>
      <c r="C212" s="2278"/>
      <c r="D212" s="2279">
        <v>3</v>
      </c>
      <c r="E212" s="2291">
        <v>10</v>
      </c>
      <c r="F212" s="2292" t="s">
        <v>575</v>
      </c>
      <c r="G212" s="2292">
        <f>EDU*2+DEX*2</f>
        <v>250</v>
      </c>
      <c r="H212" s="2291" t="s">
        <v>1126</v>
      </c>
      <c r="I212" s="2366"/>
      <c r="J212" s="2366"/>
      <c r="L212" s="1892"/>
      <c r="M212" s="2099"/>
      <c r="N212" s="1892" t="s">
        <v>1117</v>
      </c>
      <c r="O212" s="2099"/>
      <c r="P212" s="2099"/>
      <c r="Q212" s="2099"/>
      <c r="S212" s="2099"/>
      <c r="T212" s="2099"/>
      <c r="U212" s="2099"/>
    </row>
    <row r="213" ht="17" spans="1:21">
      <c r="A213" s="2280">
        <v>211</v>
      </c>
      <c r="B213" s="2281" t="s">
        <v>1127</v>
      </c>
      <c r="C213" s="2282"/>
      <c r="D213" s="2283">
        <v>20</v>
      </c>
      <c r="E213" s="2294">
        <v>65</v>
      </c>
      <c r="F213" s="2295" t="s">
        <v>487</v>
      </c>
      <c r="G213" s="2295">
        <f>EDU*2+MAX(APP*2,POW*2)</f>
        <v>270</v>
      </c>
      <c r="H213" s="2297" t="s">
        <v>1128</v>
      </c>
      <c r="I213" s="2367" t="s">
        <v>898</v>
      </c>
      <c r="J213" s="2367"/>
      <c r="L213" s="1892"/>
      <c r="M213" s="2099"/>
      <c r="N213" s="1892" t="s">
        <v>1117</v>
      </c>
      <c r="O213" s="2099"/>
      <c r="P213" s="2099"/>
      <c r="Q213" s="2099"/>
      <c r="S213" s="2099"/>
      <c r="T213" s="2099"/>
      <c r="U213" s="2099"/>
    </row>
    <row r="214" ht="17" spans="1:21">
      <c r="A214" s="2272">
        <v>212</v>
      </c>
      <c r="B214" s="2278" t="s">
        <v>1129</v>
      </c>
      <c r="C214" s="2278"/>
      <c r="D214" s="2279">
        <v>10</v>
      </c>
      <c r="E214" s="2291">
        <v>60</v>
      </c>
      <c r="F214" s="2292" t="s">
        <v>482</v>
      </c>
      <c r="G214" s="2292">
        <f>EDU*4</f>
        <v>220</v>
      </c>
      <c r="H214" s="2291" t="s">
        <v>1130</v>
      </c>
      <c r="I214" s="2367" t="s">
        <v>1131</v>
      </c>
      <c r="J214" s="2367"/>
      <c r="L214" s="1892"/>
      <c r="M214" s="2099"/>
      <c r="N214" s="1892" t="s">
        <v>1117</v>
      </c>
      <c r="O214" s="2099"/>
      <c r="P214" s="2099"/>
      <c r="Q214" s="2099"/>
      <c r="S214" s="2099"/>
      <c r="T214" s="2099"/>
      <c r="U214" s="2099"/>
    </row>
    <row r="215" ht="17" spans="1:21">
      <c r="A215" s="2280">
        <v>213</v>
      </c>
      <c r="B215" s="2281" t="s">
        <v>573</v>
      </c>
      <c r="C215" s="2282"/>
      <c r="D215" s="2283">
        <v>9</v>
      </c>
      <c r="E215" s="2294">
        <v>35</v>
      </c>
      <c r="F215" s="2295" t="s">
        <v>477</v>
      </c>
      <c r="G215" s="2295">
        <f>EDU*2+MAX(STR*2,DEX*2)</f>
        <v>250</v>
      </c>
      <c r="H215" s="2297" t="s">
        <v>1132</v>
      </c>
      <c r="L215" s="1892"/>
      <c r="M215" s="2099"/>
      <c r="N215" s="1892" t="s">
        <v>1117</v>
      </c>
      <c r="O215" s="2099"/>
      <c r="P215" s="2099"/>
      <c r="Q215" s="2099"/>
      <c r="S215" s="2099"/>
      <c r="T215" s="2099"/>
      <c r="U215" s="2099"/>
    </row>
    <row r="216" ht="34" spans="1:21">
      <c r="A216" s="2272">
        <v>214</v>
      </c>
      <c r="B216" s="2278" t="s">
        <v>1133</v>
      </c>
      <c r="C216" s="2278"/>
      <c r="D216" s="2279">
        <v>9</v>
      </c>
      <c r="E216" s="2291">
        <v>30</v>
      </c>
      <c r="F216" s="2298" t="s">
        <v>628</v>
      </c>
      <c r="G216" s="2292">
        <f>EDU*2+MAX(DEX*2,APP*2,STR*2)</f>
        <v>270</v>
      </c>
      <c r="H216" s="2291" t="s">
        <v>1134</v>
      </c>
      <c r="L216" s="1892"/>
      <c r="M216" s="2099"/>
      <c r="N216" s="1892" t="s">
        <v>1117</v>
      </c>
      <c r="O216" s="2099"/>
      <c r="P216" s="2099"/>
      <c r="Q216" s="2099"/>
      <c r="S216" s="2099"/>
      <c r="T216" s="2099"/>
      <c r="U216" s="2099"/>
    </row>
    <row r="217" ht="17" spans="1:21">
      <c r="A217" s="2280">
        <v>215</v>
      </c>
      <c r="B217" s="2281" t="s">
        <v>1135</v>
      </c>
      <c r="C217" s="2282"/>
      <c r="D217" s="2283">
        <v>10</v>
      </c>
      <c r="E217" s="2294">
        <v>70</v>
      </c>
      <c r="F217" s="2295" t="s">
        <v>469</v>
      </c>
      <c r="G217" s="2295">
        <f>EDU*2+APP*2</f>
        <v>270</v>
      </c>
      <c r="H217" s="2297" t="s">
        <v>1136</v>
      </c>
      <c r="L217" s="1892"/>
      <c r="M217" s="2099"/>
      <c r="N217" s="1892" t="s">
        <v>1117</v>
      </c>
      <c r="O217" s="2099"/>
      <c r="P217" s="2099"/>
      <c r="Q217" s="2099"/>
      <c r="S217" s="2099"/>
      <c r="T217" s="2099"/>
      <c r="U217" s="2099"/>
    </row>
    <row r="218" ht="17" spans="1:21">
      <c r="A218" s="2272">
        <v>216</v>
      </c>
      <c r="B218" s="2278" t="s">
        <v>642</v>
      </c>
      <c r="C218" s="2278"/>
      <c r="D218" s="2279">
        <v>10</v>
      </c>
      <c r="E218" s="2291">
        <v>40</v>
      </c>
      <c r="F218" s="2292" t="s">
        <v>487</v>
      </c>
      <c r="G218" s="2292">
        <f>EDU*2+MAX(APP*2,POW*2)</f>
        <v>270</v>
      </c>
      <c r="H218" s="2291" t="s">
        <v>1137</v>
      </c>
      <c r="L218" s="1892"/>
      <c r="M218" s="2099"/>
      <c r="N218" s="1892" t="s">
        <v>1117</v>
      </c>
      <c r="O218" s="2099"/>
      <c r="P218" s="2099"/>
      <c r="Q218" s="2099"/>
      <c r="S218" s="2099"/>
      <c r="T218" s="2099"/>
      <c r="U218" s="2099"/>
    </row>
    <row r="219" ht="34" spans="1:21">
      <c r="A219" s="2280">
        <v>217</v>
      </c>
      <c r="B219" s="2281" t="s">
        <v>1138</v>
      </c>
      <c r="C219" s="2282"/>
      <c r="D219" s="2283">
        <v>40</v>
      </c>
      <c r="E219" s="2294">
        <v>75</v>
      </c>
      <c r="F219" s="2295" t="s">
        <v>482</v>
      </c>
      <c r="G219" s="2295">
        <f>EDU*4</f>
        <v>220</v>
      </c>
      <c r="H219" s="2297" t="s">
        <v>1139</v>
      </c>
      <c r="L219" s="1892"/>
      <c r="M219" s="2099"/>
      <c r="N219" s="1892" t="s">
        <v>1117</v>
      </c>
      <c r="O219" s="2099"/>
      <c r="P219" s="2099"/>
      <c r="Q219" s="2099"/>
      <c r="S219" s="2099"/>
      <c r="T219" s="2099"/>
      <c r="U219" s="2099"/>
    </row>
    <row r="220" ht="34" spans="1:21">
      <c r="A220" s="2272">
        <v>218</v>
      </c>
      <c r="B220" s="2278" t="s">
        <v>1140</v>
      </c>
      <c r="C220" s="2278"/>
      <c r="D220" s="2279">
        <v>45</v>
      </c>
      <c r="E220" s="2291">
        <v>70</v>
      </c>
      <c r="F220" s="2292" t="s">
        <v>628</v>
      </c>
      <c r="G220" s="2292">
        <f>EDU*2+MAX(DEX*2,APP*2,STR*2)</f>
        <v>270</v>
      </c>
      <c r="H220" s="2291" t="s">
        <v>1141</v>
      </c>
      <c r="L220" s="1892"/>
      <c r="M220" s="2099"/>
      <c r="N220" s="1892" t="s">
        <v>1117</v>
      </c>
      <c r="O220" s="2099"/>
      <c r="P220" s="2099"/>
      <c r="Q220" s="2099"/>
      <c r="S220" s="2099"/>
      <c r="T220" s="2099"/>
      <c r="U220" s="2099"/>
    </row>
    <row r="221" ht="17" spans="1:21">
      <c r="A221" s="2280">
        <v>219</v>
      </c>
      <c r="B221" s="2281" t="s">
        <v>17</v>
      </c>
      <c r="C221" s="2282"/>
      <c r="D221" s="2283">
        <v>9</v>
      </c>
      <c r="E221" s="2294">
        <v>40</v>
      </c>
      <c r="F221" s="2295" t="s">
        <v>666</v>
      </c>
      <c r="G221" s="2295">
        <f>EDU*2+MAX(DEX*2,APP*2)</f>
        <v>270</v>
      </c>
      <c r="H221" s="2297" t="s">
        <v>1142</v>
      </c>
      <c r="L221" s="1892"/>
      <c r="M221" s="2099"/>
      <c r="N221" s="1892" t="s">
        <v>1117</v>
      </c>
      <c r="O221" s="2099"/>
      <c r="P221" s="2099"/>
      <c r="Q221" s="2099"/>
      <c r="S221" s="2099"/>
      <c r="T221" s="2099"/>
      <c r="U221" s="2099"/>
    </row>
    <row r="222" ht="17" spans="1:21">
      <c r="A222" s="2280">
        <v>220</v>
      </c>
      <c r="B222" s="2281" t="s">
        <v>1143</v>
      </c>
      <c r="C222" s="2282"/>
      <c r="D222" s="2283">
        <v>9</v>
      </c>
      <c r="E222" s="2294">
        <v>30</v>
      </c>
      <c r="F222" s="2295" t="s">
        <v>666</v>
      </c>
      <c r="G222" s="2295">
        <f>EDU*2+MAX(DEX*2,APP*2)</f>
        <v>270</v>
      </c>
      <c r="H222" s="2297" t="s">
        <v>1144</v>
      </c>
      <c r="L222" s="1892"/>
      <c r="M222" s="2099"/>
      <c r="N222" s="1892" t="s">
        <v>1117</v>
      </c>
      <c r="O222" s="2099"/>
      <c r="P222" s="2099"/>
      <c r="Q222" s="2099"/>
      <c r="S222" s="2099"/>
      <c r="T222" s="2099"/>
      <c r="U222" s="2099"/>
    </row>
    <row r="223" ht="34" spans="1:21">
      <c r="A223" s="2272">
        <v>221</v>
      </c>
      <c r="B223" s="2278" t="s">
        <v>1145</v>
      </c>
      <c r="C223" s="2278"/>
      <c r="D223" s="2279">
        <v>0</v>
      </c>
      <c r="E223" s="2291">
        <v>10</v>
      </c>
      <c r="F223" s="2292" t="s">
        <v>547</v>
      </c>
      <c r="G223" s="2292">
        <f>EDU*2+STR*2</f>
        <v>170</v>
      </c>
      <c r="H223" s="2291" t="s">
        <v>1146</v>
      </c>
      <c r="L223" s="1892"/>
      <c r="M223" s="2099"/>
      <c r="N223" s="1892" t="s">
        <v>1117</v>
      </c>
      <c r="O223" s="2099"/>
      <c r="P223" s="2426"/>
      <c r="Q223" s="2426"/>
      <c r="R223" s="2426"/>
      <c r="S223" s="2099"/>
      <c r="T223" s="2099"/>
      <c r="U223" s="2099"/>
    </row>
    <row r="224" ht="17" spans="1:21">
      <c r="A224" s="2280">
        <v>222</v>
      </c>
      <c r="B224" s="2281" t="s">
        <v>701</v>
      </c>
      <c r="C224" s="2282"/>
      <c r="D224" s="2283">
        <v>20</v>
      </c>
      <c r="E224" s="2294">
        <v>80</v>
      </c>
      <c r="F224" s="2295" t="s">
        <v>482</v>
      </c>
      <c r="G224" s="2295">
        <f>EDU*4</f>
        <v>220</v>
      </c>
      <c r="H224" s="2297" t="s">
        <v>1147</v>
      </c>
      <c r="L224" s="1892"/>
      <c r="M224" s="2099"/>
      <c r="N224" s="1892" t="s">
        <v>1117</v>
      </c>
      <c r="O224" s="2099"/>
      <c r="P224" s="2426"/>
      <c r="Q224" s="2426"/>
      <c r="R224" s="2426"/>
      <c r="S224" s="2099"/>
      <c r="T224" s="2099"/>
      <c r="U224" s="2099"/>
    </row>
    <row r="225" ht="17" spans="1:21">
      <c r="A225" s="2272">
        <v>223</v>
      </c>
      <c r="B225" s="2278" t="s">
        <v>1148</v>
      </c>
      <c r="C225" s="2278"/>
      <c r="D225" s="2279">
        <v>30</v>
      </c>
      <c r="E225" s="2291">
        <v>70</v>
      </c>
      <c r="F225" s="2292" t="s">
        <v>482</v>
      </c>
      <c r="G225" s="2292">
        <f>EDU*4</f>
        <v>220</v>
      </c>
      <c r="H225" s="2291" t="s">
        <v>1149</v>
      </c>
      <c r="L225" s="1892"/>
      <c r="M225" s="2099"/>
      <c r="N225" s="1892" t="s">
        <v>1117</v>
      </c>
      <c r="O225" s="2099"/>
      <c r="P225" s="2099"/>
      <c r="Q225" s="2099"/>
      <c r="S225" s="2099"/>
      <c r="T225" s="2099"/>
      <c r="U225" s="2099"/>
    </row>
    <row r="226" ht="17" spans="1:21">
      <c r="A226" s="2280">
        <v>224</v>
      </c>
      <c r="B226" s="2281" t="s">
        <v>1150</v>
      </c>
      <c r="C226" s="2282"/>
      <c r="D226" s="2283">
        <v>9</v>
      </c>
      <c r="E226" s="2294">
        <v>30</v>
      </c>
      <c r="F226" s="2295" t="s">
        <v>477</v>
      </c>
      <c r="G226" s="2295">
        <f>EDU*2+MAX(STR*2,DEX*2)</f>
        <v>250</v>
      </c>
      <c r="H226" s="2297" t="s">
        <v>1151</v>
      </c>
      <c r="L226" s="1892"/>
      <c r="M226" s="2099"/>
      <c r="N226" s="1892" t="s">
        <v>1117</v>
      </c>
      <c r="O226" s="2099"/>
      <c r="P226" s="2099"/>
      <c r="Q226" s="2099"/>
      <c r="S226" s="2099"/>
      <c r="T226" s="2099"/>
      <c r="U226" s="2099"/>
    </row>
    <row r="227" ht="17" spans="1:21">
      <c r="A227" s="2272">
        <v>225</v>
      </c>
      <c r="B227" s="2278" t="s">
        <v>1152</v>
      </c>
      <c r="C227" s="2278"/>
      <c r="D227" s="2279">
        <v>20</v>
      </c>
      <c r="E227" s="2291">
        <v>50</v>
      </c>
      <c r="F227" s="2292" t="s">
        <v>482</v>
      </c>
      <c r="G227" s="2292">
        <f>EDU*4</f>
        <v>220</v>
      </c>
      <c r="H227" s="2291" t="s">
        <v>1153</v>
      </c>
      <c r="L227" s="1892"/>
      <c r="M227" s="2099"/>
      <c r="N227" s="1892" t="s">
        <v>1117</v>
      </c>
      <c r="O227" s="2099"/>
      <c r="P227" s="2099"/>
      <c r="Q227" s="2099"/>
      <c r="S227" s="2099"/>
      <c r="T227" s="2099"/>
      <c r="U227" s="2099"/>
    </row>
    <row r="228" ht="17" spans="1:21">
      <c r="A228" s="2280">
        <v>226</v>
      </c>
      <c r="B228" s="2281" t="s">
        <v>816</v>
      </c>
      <c r="C228" s="2282"/>
      <c r="D228" s="2283">
        <v>10</v>
      </c>
      <c r="E228" s="2294">
        <v>60</v>
      </c>
      <c r="F228" s="2295" t="s">
        <v>482</v>
      </c>
      <c r="G228" s="2295">
        <f>EDU*4</f>
        <v>220</v>
      </c>
      <c r="H228" s="2297" t="s">
        <v>1154</v>
      </c>
      <c r="L228" s="1892"/>
      <c r="M228" s="2099"/>
      <c r="N228" s="1892" t="s">
        <v>1117</v>
      </c>
      <c r="O228" s="2099"/>
      <c r="P228" s="2099"/>
      <c r="Q228" s="2099"/>
      <c r="S228" s="2099"/>
      <c r="T228" s="2099"/>
      <c r="U228" s="2099"/>
    </row>
    <row r="229" ht="34" spans="1:21">
      <c r="A229" s="2272">
        <v>227</v>
      </c>
      <c r="B229" s="2278" t="s">
        <v>1155</v>
      </c>
      <c r="C229" s="2278"/>
      <c r="D229" s="2279">
        <v>0</v>
      </c>
      <c r="E229" s="2291">
        <v>10</v>
      </c>
      <c r="F229" s="2292" t="s">
        <v>666</v>
      </c>
      <c r="G229" s="2292">
        <f>EDU*2+MAX(APP*2,DEX*2)</f>
        <v>270</v>
      </c>
      <c r="H229" s="2291" t="s">
        <v>1156</v>
      </c>
      <c r="L229" s="1892"/>
      <c r="M229" s="2099"/>
      <c r="N229" s="1892" t="s">
        <v>1117</v>
      </c>
      <c r="O229" s="2099"/>
      <c r="P229" s="2099"/>
      <c r="Q229" s="2099"/>
      <c r="S229" s="2099"/>
      <c r="T229" s="2099"/>
      <c r="U229" s="2099"/>
    </row>
    <row r="230" ht="17" spans="1:21">
      <c r="A230" s="2280">
        <v>228</v>
      </c>
      <c r="B230" s="2281" t="s">
        <v>1157</v>
      </c>
      <c r="C230" s="2282"/>
      <c r="D230" s="2283">
        <v>9</v>
      </c>
      <c r="E230" s="2294">
        <v>30</v>
      </c>
      <c r="F230" s="2295" t="s">
        <v>666</v>
      </c>
      <c r="G230" s="2295">
        <f>EDU*2+MAX(APP*2,DEX*2)</f>
        <v>270</v>
      </c>
      <c r="H230" s="2297" t="s">
        <v>1158</v>
      </c>
      <c r="L230" s="1892"/>
      <c r="M230" s="2099"/>
      <c r="N230" s="1892" t="s">
        <v>1117</v>
      </c>
      <c r="O230" s="2099"/>
      <c r="P230" s="2099"/>
      <c r="Q230" s="2099"/>
      <c r="S230" s="2099"/>
      <c r="T230" s="2099"/>
      <c r="U230" s="2099"/>
    </row>
    <row r="231" ht="17" spans="1:21">
      <c r="A231" s="2272">
        <v>229</v>
      </c>
      <c r="B231" s="2278" t="s">
        <v>1159</v>
      </c>
      <c r="C231" s="2278"/>
      <c r="D231" s="2279">
        <v>9</v>
      </c>
      <c r="E231" s="2291">
        <v>30</v>
      </c>
      <c r="F231" s="2298" t="s">
        <v>477</v>
      </c>
      <c r="G231" s="2292">
        <f>EDU*2+MAX(STR*2,DEX*2)</f>
        <v>250</v>
      </c>
      <c r="H231" s="2291" t="s">
        <v>1160</v>
      </c>
      <c r="L231" s="1892"/>
      <c r="M231" s="2099"/>
      <c r="N231" s="1892" t="s">
        <v>1117</v>
      </c>
      <c r="O231" s="2099"/>
      <c r="P231" s="2099"/>
      <c r="Q231" s="2099"/>
      <c r="S231" s="2099"/>
      <c r="T231" s="2099"/>
      <c r="U231" s="2099"/>
    </row>
    <row r="232" ht="34" spans="1:21">
      <c r="A232" s="2280">
        <v>230</v>
      </c>
      <c r="B232" s="2281" t="s">
        <v>1161</v>
      </c>
      <c r="C232" s="2282"/>
      <c r="D232" s="2283">
        <v>30</v>
      </c>
      <c r="E232" s="2294">
        <v>70</v>
      </c>
      <c r="F232" s="2295" t="s">
        <v>666</v>
      </c>
      <c r="G232" s="2295">
        <f>EDU*2+MAX(APP*2,DEX*2)</f>
        <v>270</v>
      </c>
      <c r="H232" s="2297" t="s">
        <v>1162</v>
      </c>
      <c r="L232" s="1892"/>
      <c r="M232" s="2099"/>
      <c r="N232" s="1892" t="s">
        <v>1117</v>
      </c>
      <c r="O232" s="2099"/>
      <c r="P232" s="2099"/>
      <c r="Q232" s="2099"/>
      <c r="S232" s="2099"/>
      <c r="T232" s="2099"/>
      <c r="U232" s="2099"/>
    </row>
    <row r="233" ht="17.55" spans="1:21">
      <c r="A233" s="2388"/>
      <c r="B233" s="2389"/>
      <c r="C233" s="2389"/>
      <c r="D233" s="2389"/>
      <c r="E233" s="2388"/>
      <c r="F233" s="2418"/>
      <c r="G233" s="2388"/>
      <c r="H233" s="2389"/>
      <c r="I233" s="2379"/>
      <c r="J233" s="2424"/>
      <c r="K233" s="2424"/>
      <c r="L233" s="2425"/>
      <c r="M233" s="2099"/>
      <c r="N233" s="1892"/>
      <c r="O233" s="2099"/>
      <c r="P233" s="2099"/>
      <c r="Q233" s="2099"/>
      <c r="S233" s="2099"/>
      <c r="T233" s="2099"/>
      <c r="U233" s="2099"/>
    </row>
    <row r="234" spans="1:21">
      <c r="A234" s="2390" t="s">
        <v>1163</v>
      </c>
      <c r="B234" s="2391"/>
      <c r="C234" s="2391"/>
      <c r="D234" s="2391"/>
      <c r="E234" s="2391"/>
      <c r="F234" s="2391"/>
      <c r="G234" s="2391"/>
      <c r="H234" s="2419"/>
      <c r="I234" s="2379"/>
      <c r="J234" s="2424"/>
      <c r="K234" s="2424"/>
      <c r="L234" s="2425"/>
      <c r="M234" s="2099"/>
      <c r="N234" s="1892"/>
      <c r="O234" s="2099"/>
      <c r="P234" s="2099"/>
      <c r="Q234" s="2099"/>
      <c r="S234" s="2099"/>
      <c r="T234" s="2099"/>
      <c r="U234" s="2099"/>
    </row>
    <row r="235" spans="1:21">
      <c r="A235" s="2392" t="s">
        <v>1164</v>
      </c>
      <c r="B235" s="2393"/>
      <c r="C235" s="2394" t="s">
        <v>1165</v>
      </c>
      <c r="D235" s="2395"/>
      <c r="E235" s="2395"/>
      <c r="F235" s="2395"/>
      <c r="G235" s="2395"/>
      <c r="H235" s="2420"/>
      <c r="I235" s="1875"/>
      <c r="J235" s="2424"/>
      <c r="K235" s="2424"/>
      <c r="L235" s="2425"/>
      <c r="M235" s="2099"/>
      <c r="N235" s="1892"/>
      <c r="O235" s="2099"/>
      <c r="P235" s="2099"/>
      <c r="Q235" s="2099"/>
      <c r="S235" s="2099"/>
      <c r="T235" s="2099"/>
      <c r="U235" s="2099"/>
    </row>
    <row r="236" spans="1:21">
      <c r="A236" s="2396" t="s">
        <v>1166</v>
      </c>
      <c r="B236" s="2397"/>
      <c r="C236" s="2398" t="str">
        <f>IFERROR(LEFT(附表!C241,LEN(附表!C241)-1),"")</f>
        <v>1自定义职业、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D236" s="2398"/>
      <c r="E236" s="2398"/>
      <c r="F236" s="2398"/>
      <c r="G236" s="2398"/>
      <c r="H236" s="2421"/>
      <c r="I236" s="2379"/>
      <c r="J236" s="2424"/>
      <c r="K236" s="2424"/>
      <c r="L236" s="2425"/>
      <c r="M236" s="2099"/>
      <c r="N236" s="1892"/>
      <c r="O236" s="2099"/>
      <c r="P236" s="2099"/>
      <c r="Q236" s="2099"/>
      <c r="S236" s="2099"/>
      <c r="T236" s="2099"/>
      <c r="U236" s="2099"/>
    </row>
    <row r="237" spans="1:21">
      <c r="A237" s="2399"/>
      <c r="B237" s="2397"/>
      <c r="C237" s="2398"/>
      <c r="D237" s="2398"/>
      <c r="E237" s="2398"/>
      <c r="F237" s="2398"/>
      <c r="G237" s="2398"/>
      <c r="H237" s="2421"/>
      <c r="I237" s="2379"/>
      <c r="J237" s="2424"/>
      <c r="K237" s="2424"/>
      <c r="L237" s="2425"/>
      <c r="M237" s="2099"/>
      <c r="N237" s="1892"/>
      <c r="O237" s="2099"/>
      <c r="P237" s="2099"/>
      <c r="Q237" s="2099"/>
      <c r="S237" s="2099"/>
      <c r="T237" s="2099"/>
      <c r="U237" s="2099"/>
    </row>
    <row r="238" spans="1:21">
      <c r="A238" s="2400" t="s">
        <v>381</v>
      </c>
      <c r="B238" s="2401"/>
      <c r="C238" s="2398"/>
      <c r="D238" s="2398"/>
      <c r="E238" s="2398"/>
      <c r="F238" s="2398"/>
      <c r="G238" s="2398"/>
      <c r="H238" s="2421"/>
      <c r="I238" s="1875"/>
      <c r="J238" s="2424"/>
      <c r="K238" s="2424"/>
      <c r="L238" s="2424"/>
      <c r="M238" s="2099"/>
      <c r="N238" s="2099"/>
      <c r="O238" s="2099"/>
      <c r="P238" s="2099"/>
      <c r="Q238" s="2099"/>
      <c r="S238" s="2099"/>
      <c r="T238" s="2099"/>
      <c r="U238" s="2099"/>
    </row>
    <row r="239" spans="1:21">
      <c r="A239" s="2400"/>
      <c r="B239" s="2401"/>
      <c r="C239" s="2398"/>
      <c r="D239" s="2398"/>
      <c r="E239" s="2398"/>
      <c r="F239" s="2398"/>
      <c r="G239" s="2398"/>
      <c r="H239" s="2421"/>
      <c r="I239" s="2379"/>
      <c r="J239" s="2424"/>
      <c r="K239" s="2424"/>
      <c r="L239" s="2424"/>
      <c r="M239" s="2099"/>
      <c r="N239" s="2099"/>
      <c r="O239" s="2099"/>
      <c r="P239" s="2099"/>
      <c r="Q239" s="2099"/>
      <c r="S239" s="2099"/>
      <c r="T239" s="2099"/>
      <c r="U239" s="2099"/>
    </row>
    <row r="240" spans="1:21">
      <c r="A240" s="2402"/>
      <c r="B240" s="2403"/>
      <c r="C240" s="2398"/>
      <c r="D240" s="2398"/>
      <c r="E240" s="2398"/>
      <c r="F240" s="2398"/>
      <c r="G240" s="2398"/>
      <c r="H240" s="2421"/>
      <c r="I240" s="2379"/>
      <c r="J240" s="2424"/>
      <c r="K240" s="2424"/>
      <c r="L240" s="2424"/>
      <c r="M240" s="2099"/>
      <c r="N240" s="2099"/>
      <c r="O240" s="2099"/>
      <c r="P240" s="2099"/>
      <c r="Q240" s="2099"/>
      <c r="S240" s="2099"/>
      <c r="T240" s="2099"/>
      <c r="U240" s="2099"/>
    </row>
    <row r="241" ht="17.55" spans="1:21">
      <c r="A241" s="2404"/>
      <c r="B241" s="2405"/>
      <c r="C241" s="2406"/>
      <c r="D241" s="2406"/>
      <c r="E241" s="2406"/>
      <c r="F241" s="2406"/>
      <c r="G241" s="2406"/>
      <c r="H241" s="2422"/>
      <c r="I241" s="2379"/>
      <c r="J241" s="2424"/>
      <c r="K241" s="2424"/>
      <c r="L241" s="2424"/>
      <c r="M241" s="2099"/>
      <c r="N241" s="2099"/>
      <c r="O241" s="2099"/>
      <c r="P241" s="2099"/>
      <c r="Q241" s="2099"/>
      <c r="S241" s="2099"/>
      <c r="T241" s="2099"/>
      <c r="U241" s="2099"/>
    </row>
    <row r="242" ht="17.55" spans="1:21">
      <c r="A242" s="2407" t="s">
        <v>1167</v>
      </c>
      <c r="B242" s="2408"/>
      <c r="C242" s="2409" t="str">
        <f>IFERROR(LEFT(附表!C239,LEN(附表!C239)-1),"")</f>
        <v>81神秘学家、83超心理学家、142商船队船员、212咨询侦探、218探险家</v>
      </c>
      <c r="D242" s="2409"/>
      <c r="E242" s="2409"/>
      <c r="F242" s="2409"/>
      <c r="G242" s="2409"/>
      <c r="H242" s="2423"/>
      <c r="L242" s="2424"/>
      <c r="M242" s="2099"/>
      <c r="N242" s="2099"/>
      <c r="O242" s="2099"/>
      <c r="P242" s="2099"/>
      <c r="Q242" s="2099"/>
      <c r="S242" s="2099"/>
      <c r="T242" s="2099"/>
      <c r="U242" s="2099"/>
    </row>
    <row r="243" spans="1:21">
      <c r="A243" s="2399"/>
      <c r="B243" s="2397"/>
      <c r="C243" s="2398"/>
      <c r="D243" s="2398"/>
      <c r="E243" s="2398"/>
      <c r="F243" s="2398"/>
      <c r="G243" s="2398"/>
      <c r="H243" s="2421"/>
      <c r="L243" s="2424"/>
      <c r="M243" s="2099"/>
      <c r="N243" s="2099"/>
      <c r="O243" s="2099"/>
      <c r="P243" s="2099"/>
      <c r="Q243" s="2099"/>
      <c r="S243" s="2099"/>
      <c r="T243" s="2099"/>
      <c r="U243" s="2099"/>
    </row>
    <row r="244" spans="1:21">
      <c r="A244" s="2410" t="s">
        <v>71</v>
      </c>
      <c r="B244" s="2411"/>
      <c r="C244" s="2398"/>
      <c r="D244" s="2398"/>
      <c r="E244" s="2398"/>
      <c r="F244" s="2398"/>
      <c r="G244" s="2398"/>
      <c r="H244" s="2421"/>
      <c r="L244" s="2424"/>
      <c r="M244" s="2099"/>
      <c r="N244" s="2099"/>
      <c r="O244" s="2099"/>
      <c r="P244" s="2099"/>
      <c r="Q244" s="2099"/>
      <c r="S244" s="2099"/>
      <c r="T244" s="2099"/>
      <c r="U244" s="2099"/>
    </row>
    <row r="245" spans="1:21">
      <c r="A245" s="2410"/>
      <c r="B245" s="2411"/>
      <c r="C245" s="2398"/>
      <c r="D245" s="2398"/>
      <c r="E245" s="2398"/>
      <c r="F245" s="2398"/>
      <c r="G245" s="2398"/>
      <c r="H245" s="2421"/>
      <c r="L245" s="2424"/>
      <c r="M245" s="2099"/>
      <c r="N245" s="2099"/>
      <c r="O245" s="2099"/>
      <c r="P245" s="2099"/>
      <c r="Q245" s="2099"/>
      <c r="S245" s="2099"/>
      <c r="T245" s="2099"/>
      <c r="U245" s="2099"/>
    </row>
    <row r="246" spans="1:21">
      <c r="A246" s="2402"/>
      <c r="B246" s="2403"/>
      <c r="C246" s="2398"/>
      <c r="D246" s="2398"/>
      <c r="E246" s="2398"/>
      <c r="F246" s="2398"/>
      <c r="G246" s="2398"/>
      <c r="H246" s="2421"/>
      <c r="L246" s="2424"/>
      <c r="M246" s="2099"/>
      <c r="N246" s="2099"/>
      <c r="O246" s="2099"/>
      <c r="P246" s="2099"/>
      <c r="Q246" s="2099"/>
      <c r="S246" s="2099"/>
      <c r="T246" s="2099"/>
      <c r="U246" s="2099"/>
    </row>
    <row r="247" ht="17.55" spans="1:21">
      <c r="A247" s="2404"/>
      <c r="B247" s="2405"/>
      <c r="C247" s="2406"/>
      <c r="D247" s="2406"/>
      <c r="E247" s="2406"/>
      <c r="F247" s="2406"/>
      <c r="G247" s="2406"/>
      <c r="H247" s="2422"/>
      <c r="L247" s="2424"/>
      <c r="M247" s="2099"/>
      <c r="N247" s="2099"/>
      <c r="O247" s="2099"/>
      <c r="P247" s="2099"/>
      <c r="Q247" s="2099"/>
      <c r="S247" s="2099"/>
      <c r="T247" s="2099"/>
      <c r="U247" s="2099"/>
    </row>
    <row r="248" ht="17.55" spans="1:21">
      <c r="A248" s="2407" t="s">
        <v>1168</v>
      </c>
      <c r="B248" s="2408"/>
      <c r="C248" s="2409" t="str">
        <f>IFERROR(LEFT(附表!D247,LEN(附表!D247)-1),"")</f>
        <v>42业余艺术爱好者（原作向）、50政府官员、53探险家（古典）、60黑帮-黑帮老大、67法官、116大使、118运动员（高尔夫）、121发言人、122保释担保人、129罪犯（赌博庄家）、130罪犯（放高利贷者）、135外科医生/内科医生、144赛车手/ 赛艇手、145电台播音员、148小企业家、150证券经纪人、185冒险家教授、191播音员、192主持人、193电视解说员、207贵族</v>
      </c>
      <c r="D248" s="2409"/>
      <c r="E248" s="2409"/>
      <c r="F248" s="2409"/>
      <c r="G248" s="2409"/>
      <c r="H248" s="2423"/>
      <c r="L248" s="2424"/>
      <c r="M248" s="2099"/>
      <c r="N248" s="2099"/>
      <c r="O248" s="2099"/>
      <c r="P248" s="2099"/>
      <c r="Q248" s="2099"/>
      <c r="S248" s="2099"/>
      <c r="T248" s="2099"/>
      <c r="U248" s="2099"/>
    </row>
    <row r="249" spans="1:21">
      <c r="A249" s="2399"/>
      <c r="B249" s="2397"/>
      <c r="C249" s="2398"/>
      <c r="D249" s="2398"/>
      <c r="E249" s="2398"/>
      <c r="F249" s="2398"/>
      <c r="G249" s="2398"/>
      <c r="H249" s="2421"/>
      <c r="L249" s="2424"/>
      <c r="M249" s="2099"/>
      <c r="N249" s="2099"/>
      <c r="O249" s="2099"/>
      <c r="P249" s="2099"/>
      <c r="Q249" s="2099"/>
      <c r="S249" s="2099"/>
      <c r="T249" s="2099"/>
      <c r="U249" s="2099"/>
    </row>
    <row r="250" spans="1:21">
      <c r="A250" s="2412" t="s">
        <v>1169</v>
      </c>
      <c r="B250" s="2413"/>
      <c r="C250" s="2398"/>
      <c r="D250" s="2398"/>
      <c r="E250" s="2398"/>
      <c r="F250" s="2398"/>
      <c r="G250" s="2398"/>
      <c r="H250" s="2421"/>
      <c r="L250" s="2424"/>
      <c r="M250" s="2099"/>
      <c r="N250" s="2099"/>
      <c r="O250" s="2099"/>
      <c r="P250" s="2099"/>
      <c r="Q250" s="2099"/>
      <c r="S250" s="2099"/>
      <c r="T250" s="2099"/>
      <c r="U250" s="2099"/>
    </row>
    <row r="251" spans="1:21">
      <c r="A251" s="2412"/>
      <c r="B251" s="2413"/>
      <c r="C251" s="2398"/>
      <c r="D251" s="2398"/>
      <c r="E251" s="2398"/>
      <c r="F251" s="2398"/>
      <c r="G251" s="2398"/>
      <c r="H251" s="2421"/>
      <c r="L251" s="2424"/>
      <c r="M251" s="2099"/>
      <c r="N251" s="2099"/>
      <c r="O251" s="2099"/>
      <c r="P251" s="2099"/>
      <c r="Q251" s="2099"/>
      <c r="S251" s="2099"/>
      <c r="T251" s="2099"/>
      <c r="U251" s="2099"/>
    </row>
    <row r="252" spans="1:21">
      <c r="A252" s="2414">
        <v>50</v>
      </c>
      <c r="B252" s="2415"/>
      <c r="C252" s="2398"/>
      <c r="D252" s="2398"/>
      <c r="E252" s="2398"/>
      <c r="F252" s="2398"/>
      <c r="G252" s="2398"/>
      <c r="H252" s="2421"/>
      <c r="L252" s="2424"/>
      <c r="M252" s="2099"/>
      <c r="N252" s="2099"/>
      <c r="O252" s="2099"/>
      <c r="P252" s="2099"/>
      <c r="Q252" s="2099"/>
      <c r="S252" s="2099"/>
      <c r="T252" s="2099"/>
      <c r="U252" s="2099"/>
    </row>
    <row r="253" ht="17.55" spans="1:21">
      <c r="A253" s="2416"/>
      <c r="B253" s="2417"/>
      <c r="C253" s="2406"/>
      <c r="D253" s="2406"/>
      <c r="E253" s="2406"/>
      <c r="F253" s="2406"/>
      <c r="G253" s="2406"/>
      <c r="H253" s="2422"/>
      <c r="L253" s="2424"/>
      <c r="M253" s="2099"/>
      <c r="N253" s="2099"/>
      <c r="O253" s="2099"/>
      <c r="P253" s="2099"/>
      <c r="Q253" s="2099"/>
      <c r="S253" s="2099"/>
      <c r="T253" s="2099"/>
      <c r="U253" s="2099"/>
    </row>
    <row r="254" ht="17.55" spans="1:21">
      <c r="A254" s="2407" t="s">
        <v>1170</v>
      </c>
      <c r="B254" s="2408"/>
      <c r="C254" s="2409" t="str">
        <f>IFERROR(LEFT(附表!B247,LEN(附表!B247)-1),"")</f>
        <v>1自定义职业、5演员-电影演员、27工匠、42业余艺术爱好者（原作向）、50政府官员、60黑帮-黑帮老大、62绅士/淑女、116大使、150证券经纪人、207贵族</v>
      </c>
      <c r="D254" s="2409"/>
      <c r="E254" s="2409"/>
      <c r="F254" s="2409"/>
      <c r="G254" s="2409"/>
      <c r="H254" s="2423"/>
      <c r="L254" s="2424"/>
      <c r="M254" s="2099"/>
      <c r="N254" s="2099"/>
      <c r="O254" s="2099"/>
      <c r="P254" s="2099"/>
      <c r="Q254" s="2099"/>
      <c r="S254" s="2099"/>
      <c r="T254" s="2099"/>
      <c r="U254" s="2099"/>
    </row>
    <row r="255" spans="1:21">
      <c r="A255" s="2399"/>
      <c r="B255" s="2397"/>
      <c r="C255" s="2398"/>
      <c r="D255" s="2398"/>
      <c r="E255" s="2398"/>
      <c r="F255" s="2398"/>
      <c r="G255" s="2398"/>
      <c r="H255" s="2421"/>
      <c r="L255" s="2424"/>
      <c r="M255" s="2099"/>
      <c r="N255" s="2099"/>
      <c r="O255" s="2099"/>
      <c r="P255" s="2099"/>
      <c r="Q255" s="2099"/>
      <c r="S255" s="2099"/>
      <c r="T255" s="2099"/>
      <c r="U255" s="2099"/>
    </row>
    <row r="256" spans="1:21">
      <c r="A256" s="2412" t="s">
        <v>1171</v>
      </c>
      <c r="B256" s="2413"/>
      <c r="C256" s="2398"/>
      <c r="D256" s="2398"/>
      <c r="E256" s="2398"/>
      <c r="F256" s="2398"/>
      <c r="G256" s="2398"/>
      <c r="H256" s="2421"/>
      <c r="L256" s="2424"/>
      <c r="M256" s="2099"/>
      <c r="N256" s="2099"/>
      <c r="O256" s="2099"/>
      <c r="P256" s="2099"/>
      <c r="Q256" s="2099"/>
      <c r="S256" s="2099"/>
      <c r="T256" s="2099"/>
      <c r="U256" s="2099"/>
    </row>
    <row r="257" spans="1:21">
      <c r="A257" s="2412"/>
      <c r="B257" s="2413"/>
      <c r="C257" s="2398"/>
      <c r="D257" s="2398"/>
      <c r="E257" s="2398"/>
      <c r="F257" s="2398"/>
      <c r="G257" s="2398"/>
      <c r="H257" s="2421"/>
      <c r="L257" s="2424"/>
      <c r="M257" s="2099"/>
      <c r="N257" s="2099"/>
      <c r="O257" s="2099"/>
      <c r="P257" s="2099"/>
      <c r="Q257" s="2099"/>
      <c r="S257" s="2099"/>
      <c r="T257" s="2099"/>
      <c r="U257" s="2099"/>
    </row>
    <row r="258" spans="1:21">
      <c r="A258" s="2414">
        <v>90</v>
      </c>
      <c r="B258" s="2415"/>
      <c r="C258" s="2398"/>
      <c r="D258" s="2398"/>
      <c r="E258" s="2398"/>
      <c r="F258" s="2398"/>
      <c r="G258" s="2398"/>
      <c r="H258" s="2421"/>
      <c r="L258" s="2424"/>
      <c r="M258" s="2099"/>
      <c r="N258" s="2099"/>
      <c r="O258" s="2099"/>
      <c r="P258" s="2099"/>
      <c r="Q258" s="2099"/>
      <c r="S258" s="2099"/>
      <c r="T258" s="2099"/>
      <c r="U258" s="2099"/>
    </row>
    <row r="259" ht="17.55" spans="1:21">
      <c r="A259" s="2427"/>
      <c r="B259" s="2428"/>
      <c r="C259" s="2429"/>
      <c r="D259" s="2429"/>
      <c r="E259" s="2429"/>
      <c r="F259" s="2429"/>
      <c r="G259" s="2429"/>
      <c r="H259" s="2430"/>
      <c r="L259" s="2424"/>
      <c r="M259" s="2099"/>
      <c r="N259" s="2099"/>
      <c r="O259" s="2099"/>
      <c r="P259" s="2099"/>
      <c r="Q259" s="2099"/>
      <c r="S259" s="2099"/>
      <c r="T259" s="2099"/>
      <c r="U259" s="2099"/>
    </row>
    <row r="260" spans="1:21">
      <c r="A260"/>
      <c r="B260"/>
      <c r="C260"/>
      <c r="D260"/>
      <c r="E260" s="2431"/>
      <c r="F260" s="2431"/>
      <c r="G260" s="2431"/>
      <c r="H260" s="2431"/>
      <c r="L260" s="2424"/>
      <c r="M260" s="2099"/>
      <c r="N260" s="2099"/>
      <c r="O260" s="2099"/>
      <c r="P260" s="2099"/>
      <c r="Q260" s="2099"/>
      <c r="S260" s="2099"/>
      <c r="T260" s="2099"/>
      <c r="U260" s="2099"/>
    </row>
    <row r="261" spans="1:21">
      <c r="A261"/>
      <c r="B261"/>
      <c r="C261"/>
      <c r="D261"/>
      <c r="E261" s="2431"/>
      <c r="F261" s="2431"/>
      <c r="G261" s="2431"/>
      <c r="H261" s="2431"/>
      <c r="L261" s="2424"/>
      <c r="M261" s="2099"/>
      <c r="N261" s="2099"/>
      <c r="O261" s="2099"/>
      <c r="P261" s="2099"/>
      <c r="Q261" s="2099"/>
      <c r="S261" s="2099"/>
      <c r="T261" s="2099"/>
      <c r="U261" s="2099"/>
    </row>
    <row r="262" spans="1:21">
      <c r="A262"/>
      <c r="B262"/>
      <c r="C262"/>
      <c r="D262"/>
      <c r="E262" s="2431"/>
      <c r="F262" s="2431"/>
      <c r="G262" s="2431"/>
      <c r="H262" s="2431"/>
      <c r="L262" s="2424"/>
      <c r="M262" s="2099"/>
      <c r="N262" s="2099"/>
      <c r="O262" s="2099"/>
      <c r="P262" s="2099"/>
      <c r="Q262" s="2099"/>
      <c r="S262" s="2099"/>
      <c r="T262" s="2099"/>
      <c r="U262" s="2099"/>
    </row>
    <row r="263" spans="1:21">
      <c r="A263"/>
      <c r="B263"/>
      <c r="C263"/>
      <c r="D263"/>
      <c r="E263" s="2431"/>
      <c r="F263" s="2431"/>
      <c r="G263" s="2431"/>
      <c r="H263" s="2431"/>
      <c r="L263" s="2424"/>
      <c r="M263" s="2099"/>
      <c r="N263" s="2099"/>
      <c r="O263" s="2099"/>
      <c r="P263" s="2099"/>
      <c r="Q263" s="2099"/>
      <c r="S263" s="2099"/>
      <c r="T263" s="2099"/>
      <c r="U263" s="2099"/>
    </row>
    <row r="264" spans="1:21">
      <c r="A264" s="2425"/>
      <c r="B264" s="2425"/>
      <c r="C264" s="2325"/>
      <c r="D264" s="2325"/>
      <c r="E264" s="2431"/>
      <c r="F264" s="2431"/>
      <c r="G264" s="2431"/>
      <c r="H264" s="2431"/>
      <c r="L264" s="2424"/>
      <c r="M264" s="2099"/>
      <c r="N264" s="2099"/>
      <c r="O264" s="2099"/>
      <c r="P264" s="2099"/>
      <c r="Q264" s="2099"/>
      <c r="S264" s="2099"/>
      <c r="T264" s="2099"/>
      <c r="U264" s="2099"/>
    </row>
    <row r="265" spans="5:21">
      <c r="E265" s="2431"/>
      <c r="F265" s="2431"/>
      <c r="G265" s="2431"/>
      <c r="H265" s="2431"/>
      <c r="L265" s="2424"/>
      <c r="M265" s="2099"/>
      <c r="N265" s="2099"/>
      <c r="O265" s="2099"/>
      <c r="P265" s="2099"/>
      <c r="Q265" s="2099"/>
      <c r="S265" s="2099"/>
      <c r="T265" s="2099"/>
      <c r="U265" s="2099"/>
    </row>
    <row r="266" spans="12:21">
      <c r="L266" s="2424"/>
      <c r="M266" s="2099"/>
      <c r="N266" s="2099"/>
      <c r="O266" s="2099"/>
      <c r="P266" s="2099"/>
      <c r="Q266" s="2099"/>
      <c r="S266" s="2099"/>
      <c r="T266" s="2099"/>
      <c r="U266" s="2099"/>
    </row>
    <row r="267" spans="12:21">
      <c r="L267" s="2424"/>
      <c r="M267" s="2099"/>
      <c r="N267" s="2099"/>
      <c r="O267" s="2099"/>
      <c r="P267" s="2099"/>
      <c r="Q267" s="2099"/>
      <c r="S267" s="2099"/>
      <c r="T267" s="2099"/>
      <c r="U267" s="2099"/>
    </row>
    <row r="268" spans="12:21">
      <c r="L268" s="2424"/>
      <c r="M268" s="2099"/>
      <c r="N268" s="2099"/>
      <c r="O268" s="2099"/>
      <c r="P268" s="2099"/>
      <c r="Q268" s="2099"/>
      <c r="S268" s="2099"/>
      <c r="T268" s="2099"/>
      <c r="U268" s="2099"/>
    </row>
    <row r="269" spans="12:21">
      <c r="L269" s="2424"/>
      <c r="M269" s="2099"/>
      <c r="N269" s="2099"/>
      <c r="O269" s="2099"/>
      <c r="P269" s="2099"/>
      <c r="Q269" s="2099"/>
      <c r="S269" s="2099"/>
      <c r="T269" s="2099"/>
      <c r="U269" s="2099"/>
    </row>
    <row r="270" spans="12:21">
      <c r="L270" s="2424"/>
      <c r="M270" s="2099"/>
      <c r="N270" s="2099"/>
      <c r="O270" s="2099"/>
      <c r="P270" s="2099"/>
      <c r="Q270" s="2099"/>
      <c r="S270" s="2099"/>
      <c r="T270" s="2099"/>
      <c r="U270" s="2099"/>
    </row>
    <row r="271" spans="12:21">
      <c r="L271" s="2424"/>
      <c r="M271" s="2099"/>
      <c r="N271" s="2099"/>
      <c r="O271" s="2099"/>
      <c r="P271" s="2099"/>
      <c r="Q271" s="2099"/>
      <c r="S271" s="2099"/>
      <c r="T271" s="2099"/>
      <c r="U271" s="2099"/>
    </row>
    <row r="272" spans="12:21">
      <c r="L272" s="2424"/>
      <c r="M272" s="2099"/>
      <c r="N272" s="2099"/>
      <c r="O272" s="2099"/>
      <c r="P272" s="2099"/>
      <c r="Q272" s="2099"/>
      <c r="S272" s="2099"/>
      <c r="T272" s="2099"/>
      <c r="U272" s="2099"/>
    </row>
    <row r="273" spans="12:21">
      <c r="L273" s="2424"/>
      <c r="M273" s="2099"/>
      <c r="N273" s="2099"/>
      <c r="O273" s="2099"/>
      <c r="P273" s="2099"/>
      <c r="Q273" s="2099"/>
      <c r="S273" s="2099"/>
      <c r="T273" s="2099"/>
      <c r="U273" s="2099"/>
    </row>
    <row r="274" spans="12:21">
      <c r="L274" s="2424"/>
      <c r="M274" s="2099"/>
      <c r="N274" s="2099"/>
      <c r="O274" s="2099"/>
      <c r="P274" s="2099"/>
      <c r="Q274" s="2099"/>
      <c r="S274" s="2099"/>
      <c r="T274" s="2099"/>
      <c r="U274" s="2099"/>
    </row>
    <row r="275" spans="12:21">
      <c r="L275" s="2424"/>
      <c r="M275" s="2099"/>
      <c r="N275" s="2099"/>
      <c r="O275" s="2099"/>
      <c r="P275" s="2099"/>
      <c r="Q275" s="2099"/>
      <c r="S275" s="2099"/>
      <c r="T275" s="2099"/>
      <c r="U275" s="2099"/>
    </row>
    <row r="276" spans="12:21">
      <c r="L276" s="2424"/>
      <c r="M276" s="2099"/>
      <c r="N276" s="2099"/>
      <c r="O276" s="2099"/>
      <c r="P276" s="2099"/>
      <c r="Q276" s="2099"/>
      <c r="S276" s="2099"/>
      <c r="T276" s="2099"/>
      <c r="U276" s="2099"/>
    </row>
    <row r="277" spans="12:21">
      <c r="L277" s="2424"/>
      <c r="M277" s="2099"/>
      <c r="N277" s="2099"/>
      <c r="O277" s="2099"/>
      <c r="P277" s="2099"/>
      <c r="Q277" s="2099"/>
      <c r="S277" s="2099"/>
      <c r="T277" s="2099"/>
      <c r="U277" s="2099"/>
    </row>
    <row r="278" spans="12:21">
      <c r="L278" s="2424"/>
      <c r="M278" s="2099"/>
      <c r="N278" s="2099"/>
      <c r="O278" s="2099"/>
      <c r="P278" s="2099"/>
      <c r="Q278" s="2099"/>
      <c r="S278" s="2099"/>
      <c r="T278" s="2099"/>
      <c r="U278" s="2099"/>
    </row>
    <row r="279" spans="12:21">
      <c r="L279" s="2424"/>
      <c r="M279" s="2099"/>
      <c r="N279" s="2099"/>
      <c r="O279" s="2099"/>
      <c r="P279" s="2099"/>
      <c r="Q279" s="2099"/>
      <c r="S279" s="2099"/>
      <c r="T279" s="2099"/>
      <c r="U279" s="2099"/>
    </row>
    <row r="280" spans="12:21">
      <c r="L280" s="2424"/>
      <c r="M280" s="2099"/>
      <c r="N280" s="2099"/>
      <c r="O280" s="2099"/>
      <c r="P280" s="2099"/>
      <c r="Q280" s="2099"/>
      <c r="S280" s="2099"/>
      <c r="T280" s="2099"/>
      <c r="U280" s="2099"/>
    </row>
    <row r="281" spans="12:21">
      <c r="L281" s="2424"/>
      <c r="M281" s="2099"/>
      <c r="N281" s="2099"/>
      <c r="O281" s="2099"/>
      <c r="P281" s="2099"/>
      <c r="Q281" s="2099"/>
      <c r="S281" s="2099"/>
      <c r="T281" s="2099"/>
      <c r="U281" s="2099"/>
    </row>
    <row r="282" spans="12:21">
      <c r="L282" s="2424"/>
      <c r="M282" s="2099"/>
      <c r="N282" s="2099"/>
      <c r="O282" s="2099"/>
      <c r="P282" s="2099"/>
      <c r="Q282" s="2099"/>
      <c r="S282" s="2099"/>
      <c r="T282" s="2099"/>
      <c r="U282" s="2099"/>
    </row>
    <row r="283" spans="12:21">
      <c r="L283" s="2424"/>
      <c r="M283" s="2099"/>
      <c r="N283" s="2099"/>
      <c r="O283" s="2099"/>
      <c r="P283" s="2099"/>
      <c r="Q283" s="2099"/>
      <c r="S283" s="2099"/>
      <c r="T283" s="2099"/>
      <c r="U283" s="2099"/>
    </row>
    <row r="284" spans="12:21">
      <c r="L284" s="2424"/>
      <c r="M284" s="2099"/>
      <c r="N284" s="2099"/>
      <c r="O284" s="2099"/>
      <c r="P284" s="2099"/>
      <c r="Q284" s="2099"/>
      <c r="S284" s="2099"/>
      <c r="T284" s="2099"/>
      <c r="U284" s="2099"/>
    </row>
  </sheetData>
  <sheetProtection sheet="1" selectLockedCells="1" formatCells="0" objects="1"/>
  <mergeCells count="379">
    <mergeCell ref="B1:C1"/>
    <mergeCell ref="L1:M1"/>
    <mergeCell ref="N1:O1"/>
    <mergeCell ref="B2:H2"/>
    <mergeCell ref="J2:K2"/>
    <mergeCell ref="J3:K3"/>
    <mergeCell ref="L3:M3"/>
    <mergeCell ref="B4:C4"/>
    <mergeCell ref="J4:K4"/>
    <mergeCell ref="L4:M4"/>
    <mergeCell ref="B5:C5"/>
    <mergeCell ref="J5:K5"/>
    <mergeCell ref="L5:M5"/>
    <mergeCell ref="B6:C6"/>
    <mergeCell ref="J6:K6"/>
    <mergeCell ref="L6:M6"/>
    <mergeCell ref="B7:C7"/>
    <mergeCell ref="J7:K7"/>
    <mergeCell ref="L7:M7"/>
    <mergeCell ref="B8:H8"/>
    <mergeCell ref="J8:K8"/>
    <mergeCell ref="L8:M8"/>
    <mergeCell ref="J9:K9"/>
    <mergeCell ref="L9:M9"/>
    <mergeCell ref="B10:C10"/>
    <mergeCell ref="J10:K10"/>
    <mergeCell ref="L10:M10"/>
    <mergeCell ref="B11:C11"/>
    <mergeCell ref="L11:M11"/>
    <mergeCell ref="B12:C12"/>
    <mergeCell ref="L12:M12"/>
    <mergeCell ref="B13:C13"/>
    <mergeCell ref="I13:K13"/>
    <mergeCell ref="L13:M13"/>
    <mergeCell ref="B14:H14"/>
    <mergeCell ref="L14:M14"/>
    <mergeCell ref="L15:M15"/>
    <mergeCell ref="B16:C16"/>
    <mergeCell ref="L16:M16"/>
    <mergeCell ref="B17:C17"/>
    <mergeCell ref="L17:M17"/>
    <mergeCell ref="B18:C18"/>
    <mergeCell ref="L18:M18"/>
    <mergeCell ref="V18:W18"/>
    <mergeCell ref="B19:C19"/>
    <mergeCell ref="L19:M19"/>
    <mergeCell ref="V19:W19"/>
    <mergeCell ref="B20:H20"/>
    <mergeCell ref="L20:M20"/>
    <mergeCell ref="V20:W20"/>
    <mergeCell ref="L21:M21"/>
    <mergeCell ref="B22:C22"/>
    <mergeCell ref="L22:M22"/>
    <mergeCell ref="B23:C23"/>
    <mergeCell ref="L23:M23"/>
    <mergeCell ref="B24:C24"/>
    <mergeCell ref="I24:K24"/>
    <mergeCell ref="B25:C25"/>
    <mergeCell ref="I25:K25"/>
    <mergeCell ref="L25:M25"/>
    <mergeCell ref="B26:H26"/>
    <mergeCell ref="L26:M26"/>
    <mergeCell ref="B27:C27"/>
    <mergeCell ref="L27:M27"/>
    <mergeCell ref="B28:C28"/>
    <mergeCell ref="L28:M28"/>
    <mergeCell ref="B29:C29"/>
    <mergeCell ref="I29:K29"/>
    <mergeCell ref="B30:C30"/>
    <mergeCell ref="B31:C31"/>
    <mergeCell ref="B32:C32"/>
    <mergeCell ref="B33:C33"/>
    <mergeCell ref="B34:C34"/>
    <mergeCell ref="B35:C35"/>
    <mergeCell ref="B36:C36"/>
    <mergeCell ref="B37:C37"/>
    <mergeCell ref="B38:C38"/>
    <mergeCell ref="B39:C39"/>
    <mergeCell ref="B40:C40"/>
    <mergeCell ref="I40:K40"/>
    <mergeCell ref="B41:C41"/>
    <mergeCell ref="I41:K41"/>
    <mergeCell ref="B42:C42"/>
    <mergeCell ref="B43:C43"/>
    <mergeCell ref="B44:C44"/>
    <mergeCell ref="B45:C45"/>
    <mergeCell ref="B46:C46"/>
    <mergeCell ref="B47:C47"/>
    <mergeCell ref="B48:C48"/>
    <mergeCell ref="B49:C49"/>
    <mergeCell ref="B50:C50"/>
    <mergeCell ref="B51:C51"/>
    <mergeCell ref="B52:C52"/>
    <mergeCell ref="I52:K52"/>
    <mergeCell ref="B53:C53"/>
    <mergeCell ref="I53:K53"/>
    <mergeCell ref="B54:C54"/>
    <mergeCell ref="B55:C55"/>
    <mergeCell ref="B56:C56"/>
    <mergeCell ref="B57:C57"/>
    <mergeCell ref="B58:C58"/>
    <mergeCell ref="B59:C59"/>
    <mergeCell ref="B60:C60"/>
    <mergeCell ref="B61:C61"/>
    <mergeCell ref="B62:C62"/>
    <mergeCell ref="B63:C63"/>
    <mergeCell ref="B64:C64"/>
    <mergeCell ref="I64:K64"/>
    <mergeCell ref="B65:C65"/>
    <mergeCell ref="L65:M65"/>
    <mergeCell ref="B66:C66"/>
    <mergeCell ref="L66:M66"/>
    <mergeCell ref="B67:C67"/>
    <mergeCell ref="L67:M67"/>
    <mergeCell ref="B68:C68"/>
    <mergeCell ref="L68:M68"/>
    <mergeCell ref="B69:C69"/>
    <mergeCell ref="L69:M69"/>
    <mergeCell ref="B70:C70"/>
    <mergeCell ref="L70:M70"/>
    <mergeCell ref="B71:C71"/>
    <mergeCell ref="L71:M71"/>
    <mergeCell ref="B72:C72"/>
    <mergeCell ref="L72:M72"/>
    <mergeCell ref="B73:C73"/>
    <mergeCell ref="L73:M73"/>
    <mergeCell ref="B74:C74"/>
    <mergeCell ref="L74:M74"/>
    <mergeCell ref="B75:C75"/>
    <mergeCell ref="L75:M75"/>
    <mergeCell ref="B76:C76"/>
    <mergeCell ref="L76:M76"/>
    <mergeCell ref="B77:C77"/>
    <mergeCell ref="L77:M77"/>
    <mergeCell ref="B78:C78"/>
    <mergeCell ref="L78:M78"/>
    <mergeCell ref="B79:C79"/>
    <mergeCell ref="L79:M79"/>
    <mergeCell ref="B80:C80"/>
    <mergeCell ref="L80:M80"/>
    <mergeCell ref="B81:C81"/>
    <mergeCell ref="L81:M81"/>
    <mergeCell ref="B82:C82"/>
    <mergeCell ref="L82:M82"/>
    <mergeCell ref="B83:C83"/>
    <mergeCell ref="L83:M83"/>
    <mergeCell ref="B84:C84"/>
    <mergeCell ref="L84:M84"/>
    <mergeCell ref="B85:C85"/>
    <mergeCell ref="L85:M85"/>
    <mergeCell ref="B86:C86"/>
    <mergeCell ref="L86:M86"/>
    <mergeCell ref="B87:C87"/>
    <mergeCell ref="L87:M87"/>
    <mergeCell ref="B88:C88"/>
    <mergeCell ref="L88:M88"/>
    <mergeCell ref="B89:C89"/>
    <mergeCell ref="L89:M89"/>
    <mergeCell ref="B90:C90"/>
    <mergeCell ref="L90:M90"/>
    <mergeCell ref="B91:C91"/>
    <mergeCell ref="L91:M91"/>
    <mergeCell ref="B92:C92"/>
    <mergeCell ref="L92:M92"/>
    <mergeCell ref="B93:C93"/>
    <mergeCell ref="L93:M93"/>
    <mergeCell ref="B94:C94"/>
    <mergeCell ref="L94:M94"/>
    <mergeCell ref="B95:C95"/>
    <mergeCell ref="L95:M95"/>
    <mergeCell ref="B96:C96"/>
    <mergeCell ref="L96:M96"/>
    <mergeCell ref="B97:C97"/>
    <mergeCell ref="L97:M97"/>
    <mergeCell ref="B98:C98"/>
    <mergeCell ref="L98:M98"/>
    <mergeCell ref="B99:C99"/>
    <mergeCell ref="L99:M99"/>
    <mergeCell ref="B100:C100"/>
    <mergeCell ref="L100:M100"/>
    <mergeCell ref="B101:C101"/>
    <mergeCell ref="L101:M101"/>
    <mergeCell ref="B102:C102"/>
    <mergeCell ref="L102:M102"/>
    <mergeCell ref="B103:C103"/>
    <mergeCell ref="L103:M103"/>
    <mergeCell ref="B104:C104"/>
    <mergeCell ref="L104:M104"/>
    <mergeCell ref="B105:C105"/>
    <mergeCell ref="L105:M105"/>
    <mergeCell ref="B106:C106"/>
    <mergeCell ref="L106:M106"/>
    <mergeCell ref="B107:C107"/>
    <mergeCell ref="L107:M107"/>
    <mergeCell ref="B108:C108"/>
    <mergeCell ref="L108:M108"/>
    <mergeCell ref="B109:C109"/>
    <mergeCell ref="L109:M109"/>
    <mergeCell ref="B110:C110"/>
    <mergeCell ref="L110:M110"/>
    <mergeCell ref="B111:C111"/>
    <mergeCell ref="L111:M111"/>
    <mergeCell ref="B112:C112"/>
    <mergeCell ref="L112:M112"/>
    <mergeCell ref="B113:C113"/>
    <mergeCell ref="L113:M113"/>
    <mergeCell ref="B114:C114"/>
    <mergeCell ref="L114:M114"/>
    <mergeCell ref="B115:C115"/>
    <mergeCell ref="L115:M115"/>
    <mergeCell ref="B116:C116"/>
    <mergeCell ref="L116:M116"/>
    <mergeCell ref="B117:C117"/>
    <mergeCell ref="L117:M117"/>
    <mergeCell ref="B118:C118"/>
    <mergeCell ref="B119:C119"/>
    <mergeCell ref="B120:C120"/>
    <mergeCell ref="B121:C121"/>
    <mergeCell ref="B122:C122"/>
    <mergeCell ref="B123:C123"/>
    <mergeCell ref="B124:C124"/>
    <mergeCell ref="I124:J124"/>
    <mergeCell ref="B125:C125"/>
    <mergeCell ref="I125:J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P157:Q157"/>
    <mergeCell ref="B158:C158"/>
    <mergeCell ref="P158:Q158"/>
    <mergeCell ref="B159:C159"/>
    <mergeCell ref="P159:Q159"/>
    <mergeCell ref="B160:C160"/>
    <mergeCell ref="P160:Q160"/>
    <mergeCell ref="B161:C161"/>
    <mergeCell ref="P161:Q161"/>
    <mergeCell ref="B162:C162"/>
    <mergeCell ref="P162:Q162"/>
    <mergeCell ref="B163:C163"/>
    <mergeCell ref="P163:Q163"/>
    <mergeCell ref="B164:C164"/>
    <mergeCell ref="P164:Q164"/>
    <mergeCell ref="B165:C165"/>
    <mergeCell ref="I165:J165"/>
    <mergeCell ref="P165:Q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I178:J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I213:J213"/>
    <mergeCell ref="B214:C214"/>
    <mergeCell ref="I214:J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A234:H234"/>
    <mergeCell ref="A235:B235"/>
    <mergeCell ref="C235:H235"/>
    <mergeCell ref="I2:I10"/>
    <mergeCell ref="I32:I39"/>
    <mergeCell ref="I44:I51"/>
    <mergeCell ref="I56:I63"/>
    <mergeCell ref="A258:B259"/>
    <mergeCell ref="P171:R172"/>
    <mergeCell ref="A242:B243"/>
    <mergeCell ref="A238:B239"/>
    <mergeCell ref="A244:B245"/>
    <mergeCell ref="A250:B251"/>
    <mergeCell ref="C236:H241"/>
    <mergeCell ref="C254:H259"/>
    <mergeCell ref="A256:B257"/>
    <mergeCell ref="P166:R168"/>
    <mergeCell ref="A246:B247"/>
    <mergeCell ref="P176:R179"/>
    <mergeCell ref="A248:B249"/>
    <mergeCell ref="C248:H253"/>
    <mergeCell ref="I172:J177"/>
    <mergeCell ref="P223:R224"/>
    <mergeCell ref="I118:J123"/>
    <mergeCell ref="P169:R170"/>
    <mergeCell ref="I180:J183"/>
    <mergeCell ref="I159:J164"/>
    <mergeCell ref="I207:J212"/>
    <mergeCell ref="A236:B237"/>
    <mergeCell ref="I26:K28"/>
    <mergeCell ref="A240:B241"/>
    <mergeCell ref="A254:B255"/>
    <mergeCell ref="A252:B253"/>
    <mergeCell ref="C242:H247"/>
  </mergeCells>
  <dataValidations count="15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N2"/>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S2"/>
    <dataValidation type="whole" operator="between" allowBlank="1" showInputMessage="1" showErrorMessage="1" errorTitle="提示" error="请输入0-99的整数" sqref="D3:E3 A252:B253 A258:B259" errorStyle="warning">
      <formula1>0</formula1>
      <formula2>99</formula2>
    </dataValidation>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S3"/>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S4"/>
    <dataValidation allowBlank="1" showInputMessage="1" promptTitle="介绍" prompt="杂技演员可能是参加各级比赛（甚至奥运会）的业余运动员，也可能是专业的演员，在马戏团、嘉年华、歌舞团之类的地方作为娱乐业从业者工作。" sqref="B5"/>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S5"/>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D6"/>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D7"/>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D8"/>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D9"/>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S9"/>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D10"/>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S1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D11"/>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S11"/>
    <dataValidation allowBlank="1" showInputMessage="1" promptTitle="介绍" prompt="古董商通常自己开店，从自己所在的地方转卖物品，或继续扩展业务范围，通过倒卖物品到城市商店赚取利润。" sqref="B12:D12"/>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S12"/>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D13"/>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D14"/>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S14"/>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D15"/>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S15"/>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D16"/>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S16"/>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D17"/>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S17"/>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D18"/>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S18"/>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D19"/>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S19"/>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D20"/>
    <dataValidation allowBlank="1" showInputMessage="1" promptTitle="介绍" prompt="书商可能拥有自己的店面或者利基（小众）邮购服务，也可能辗转全国甚至海外专门经销书籍。许多人拥有富有的，能提供利润丰厚又稀罕的工作的固定客户。" sqref="B21:D21"/>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D22"/>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D23"/>
    <dataValidation allowBlank="1" showInputMessage="1" showErrorMessage="1" sqref="S23 S27 I15:I23 J36:J39 J48:J51 J55:J63 J9:K11 V18:W2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D24"/>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D25"/>
    <dataValidation type="list" allowBlank="1" showInputMessage="1" showErrorMessage="1" sqref="I25:K25">
      <formula1>附表!$AC$6:$AC$10</formula1>
    </dataValidation>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D26"/>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D27"/>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D28"/>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S28"/>
    <dataValidation allowBlank="1" showInputMessage="1" promptTitle="介绍" prompt="工匠也可能被人叫做师傅或大师，是擅长对各种材料进行手工加工的人。通常都是才能出众的人，有的凭借自己的艺术作品出名，有的则会服务于自己的社区。" sqref="B29:D29"/>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S29"/>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D30"/>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S30"/>
    <dataValidation allowBlank="1" showInputMessage="1" promptTitle="介绍" prompt="有些则组成分工明确，会详细调查并制定计划的犯罪组织。" sqref="B31:D31"/>
    <dataValidation type="whole" operator="between" allowBlank="1" showInputMessage="1" showErrorMessage="1" promptTitle="请输入0~9的整数" prompt="在这里输入的将会是你能从左侧表中选择几项" sqref="K31 K43 K55">
      <formula1>0</formula1>
      <formula2>9</formula2>
    </dataValidation>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S31"/>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D32"/>
    <dataValidation allowBlank="1" showInputMessage="1" promptTitle="介绍" prompt="罪犯的体格和相貌形形色色，有些是纯粹碰运气伺机行事，比如扒手." sqref="B33:D33"/>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D34"/>
    <dataValidation allowBlank="1" showInputMessage="1" promptTitle="介绍" prompt="也可能单打独斗，如果成功的报酬值得去费力冒险，才会和别人搭伙。" sqref="B35:D35"/>
    <dataValidation allowBlank="1" showErrorMessage="1" sqref="S35"/>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D36"/>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D37"/>
    <dataValidation allowBlank="1" showInputMessage="1" promptTitle="介绍" prompt="赝造者是地下世界的艺术家，专门从事伪造官方文件契约转让书，并提供伪造的签名。初学者只能做做小贼的假身份证，而顶级的赝造者连印假币的铸模都能做。" sqref="B38:D38"/>
    <dataValidation allowBlank="1" showInputMessage="1" promptTitle="介绍" prompt="走私一直是一个有利可图的高风险行当。走私者往往有一个合法的表面职业，比如船长飞行员或商人，以掩盖他们非法运输的行为。" sqref="B39:D39"/>
    <dataValidation type="list" allowBlank="1" showInputMessage="1" showErrorMessage="1" sqref="K39 K51 K63">
      <formula1>"是,否"</formula1>
    </dataValidation>
    <dataValidation allowBlank="1" showInputMessage="1" promptTitle="介绍" prompt="街头混混一般都是些小年轻，弄不好还在寻觅加入真正黑帮的契机。不过他们的本事也就限于偷车，盗窃商店货物，抢钱或者夜盗。" sqref="B40:D4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D41"/>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D42"/>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D43"/>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D44"/>
    <dataValidation allowBlank="1" showInputMessage="1" promptTitle="介绍" prompt="潜水员可能在军队执法机构或海绵采集海上救援环境保护甚至水下寻宝的民间机构工作。" sqref="B45:D45"/>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D46"/>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D47"/>
    <dataValidation allowBlank="1" showInputMessage="1" promptTitle="介绍" prompt="人司机则是直接受雇于个人或企业，或者是专门提供连人带车的私人司机业务的中介机构。" sqref="B48:D48"/>
    <dataValidation allowBlank="1" showInputMessage="1" promptTitle="介绍" prompt="专职司机可能为企业个人工作，也可能拥有自己的出租车或货车。" sqref="B49:D49"/>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D5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D51"/>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D52"/>
    <dataValidation allowBlank="1" showInputMessage="1" promptTitle="介绍" prompt="工程师精通机械和电气设备，可能在民间或军工企业工作，也可能是个发明家。他们擅长应用科学、数学知识和丰富的创造思维，解决各种技术问题。" sqref="B53:D53"/>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D54"/>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D55"/>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D56"/>
    <dataValidation allowBlank="1" showInputMessage="1" promptTitle="介绍" prompt="联邦执法机构和特工种类各异。有些身着制服，比如美国司法部的人员；另外一些则穿便服，工作内容也类似警探，比如联邦调查局的人员。" sqref="B57:D57"/>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D58"/>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D59"/>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D60"/>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D61"/>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D62"/>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D63"/>
    <dataValidation allowBlank="1" showInputMessage="1" promptTitle="介绍" prompt="绅士淑女指的是有良好的教养品行、举止彬彬有礼的人。通常用来称呼上流社会（通过继承或津贴）拥有相当财富的人。&#10;在上世纪20年代，这样的人至少要有一个仆人（管家、男仆、女仆、私人司机），还要有城市或乡村的宅第。家庭的富有并重要，因为家庭的社会地位往往比财产更被上流社会所看重。" sqref="B64:D64"/>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D65"/>
    <dataValidation allowBlank="1" showInputMessage="1" promptTitle="介绍" prompt="勤杂护工在医院的工作包括倒垃圾、打扫房间、运送病人，还有一些其他乱七八糟的工作。总之对他们的要求不比对看门人多多少。" sqref="B66:D66"/>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D67"/>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D68"/>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D69"/>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D7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D74"/>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D75"/>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D76"/>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D77"/>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D78"/>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D79"/>
    <dataValidation allowBlank="1" showInputMessage="1" promptTitle="介绍" prompt="博物馆管理员可能负责大学或其他公共机构的大型设施，也可能负责小一些的博物馆，往往对本地的地质或者其他的内容颇有研究。" sqref="B80:D8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D81"/>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D82"/>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D83"/>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D84"/>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D85"/>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D86"/>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D87"/>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D88"/>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D89"/>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D9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D91"/>
    <dataValidation allowBlank="1" showInputMessage="1" promptTitle="介绍" prompt="巡警则属于市、城镇、县治安部门或州、地区的警察机关。他们工作时可能步行、驾驶巡逻车，或者干脆坐办公室。" sqref="B92:D92"/>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D93"/>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D94"/>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D95"/>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D96"/>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D97"/>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D98"/>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D99"/>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D1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D101"/>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D102"/>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D103"/>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D104"/>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D105"/>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D106"/>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D107"/>
    <dataValidation allowBlank="1" showInputMessage="1" promptTitle="介绍" prompt="学生可能在大学或学院学习，实习生则是正在接受宝贵的入职培训，获得最低报酬的公司员工。" sqref="B108:D108"/>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D109"/>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D11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D111"/>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D112"/>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D113"/>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D114"/>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D115"/>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D116"/>
    <dataValidation allowBlank="1" showInputMessage="1" promptTitle="介绍" prompt="饲养员负责动物的喂养和看护，场地管理员和服务员管理其他杂务。通常饲养员会专门照看某一种动物，可以对动物使用「医学」技能。" sqref="B117:D117"/>
    <dataValidation type="list" allowBlank="1" showInputMessage="1" showErrorMessage="1" sqref="A238:A239">
      <formula1>$I$15:$I$23</formula1>
    </dataValidation>
    <dataValidation type="list" allowBlank="1" showInputMessage="1" showErrorMessage="1" sqref="A250:A251">
      <formula1>附表!$D$245:$D$246</formula1>
    </dataValidation>
    <dataValidation type="list" allowBlank="1" showInputMessage="1" showErrorMessage="1" sqref="A256:A257">
      <formula1>附表!$B$245:$B$246</formula1>
    </dataValidation>
    <dataValidation type="list" allowBlank="1" showInputMessage="1" showErrorMessage="1" sqref="J15:J23">
      <formula1>"×,√"</formula1>
    </dataValidation>
    <dataValidation type="list" allowBlank="1" showInputMessage="1" showErrorMessage="1" sqref="J31:J35 J43:J47">
      <formula1>附表!$X$24:$X$92</formula1>
    </dataValidation>
    <dataValidation allowBlank="1" showErrorMessage="1" errorTitle="提示" error="请输入大于等于1的整数&#10;且不需要输入乘号或其他符号" sqref="K15:K23"/>
    <dataValidation type="list" allowBlank="1" showInputMessage="1" showErrorMessage="1" sqref="O6:O7 O21:O22 O24:O25">
      <formula1>#REF!</formula1>
    </dataValidation>
    <dataValidation type="list" allowBlank="1" showInputMessage="1" showErrorMessage="1" sqref="S6:S7">
      <formula1>附表!$AP$53:$AP$79</formula1>
    </dataValidation>
    <dataValidation type="list" allowBlank="1" showInputMessage="1" showErrorMessage="1" sqref="S21:S22">
      <formula1>"鞭子,电锯,斧,剑,绞具,链枷,矛"</formula1>
    </dataValidation>
    <dataValidation type="list" allowBlank="1" showInputMessage="1" showErrorMessage="1" sqref="S25:S26">
      <formula1>"步枪/霰弹枪,冲锋枪,弓,喷射器,机枪,重武器"</formula1>
    </dataValidation>
    <dataValidation allowBlank="1" showInputMessage="1" showErrorMessage="1" promptTitle="语言水平" prompt="05%：正确辨认语言的种类&#10;10%：可以沟通简单的想法&#10;30%：可以对社交上的需求进行理解&#10;50%：可以进行流畅的交流&#10;75%：可以像是当地人一样使用语言&#10;辨认现代语言： 投掷教育（知识）&#10;辨认灭绝人类语言：考古学或历史&#10;辨认外星语言：克苏鲁神话或神秘学" sqref="S32:S34"/>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D73"/>
    <dataValidation type="list" allowBlank="1" sqref="A244:B245">
      <formula1>附表!$AC$38:$AC$92</formula1>
    </dataValidation>
    <dataValidation type="list" allowBlank="1" showInputMessage="1" showErrorMessage="1" sqref="J3:K8">
      <formula1>附表!$X$25:$X$95</formula1>
    </dataValidation>
  </dataValidations>
  <pageMargins left="0.75" right="0.75" top="1" bottom="1" header="0.509027777777778" footer="0.509027777777778"/>
  <headerFooter/>
  <legacyDrawing r:id="rId2"/>
  <picture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156"/>
  <sheetViews>
    <sheetView showGridLines="0" showRowColHeaders="0" zoomScale="48" zoomScaleNormal="48" topLeftCell="AI1" workbookViewId="0">
      <selection activeCell="M6" sqref="M6"/>
    </sheetView>
  </sheetViews>
  <sheetFormatPr defaultColWidth="9" defaultRowHeight="16.8"/>
  <cols>
    <col min="1" max="1" width="16.7307692307692" style="34" customWidth="1"/>
    <col min="2" max="12" width="8.45192307692308" style="34" customWidth="1"/>
    <col min="13" max="13" width="9" style="34" customWidth="1"/>
    <col min="14" max="14" width="8.45192307692308" style="34" customWidth="1"/>
    <col min="15" max="16384" width="8.45192307692308" style="34"/>
  </cols>
  <sheetData>
    <row r="1" ht="17.55"/>
    <row r="2" s="1139" customFormat="1" ht="17.6" spans="1:26">
      <c r="A2" s="37" t="s">
        <v>1172</v>
      </c>
      <c r="B2" s="2108" t="s">
        <v>1173</v>
      </c>
      <c r="C2" s="2109"/>
      <c r="D2" s="2109"/>
      <c r="E2" s="2109"/>
      <c r="F2" s="2109"/>
      <c r="G2" s="2109"/>
      <c r="H2" s="2109"/>
      <c r="I2" s="2109"/>
      <c r="J2" s="2109"/>
      <c r="K2" s="2109"/>
      <c r="L2" s="2133"/>
      <c r="M2" s="2149"/>
      <c r="N2" s="2150" t="s">
        <v>1174</v>
      </c>
      <c r="O2" s="2151"/>
      <c r="P2" s="2151"/>
      <c r="Q2" s="2151"/>
      <c r="R2" s="2151"/>
      <c r="S2" s="2151"/>
      <c r="T2" s="2151"/>
      <c r="U2" s="2151"/>
      <c r="V2" s="2151"/>
      <c r="W2" s="2151"/>
      <c r="X2" s="2151"/>
      <c r="Y2" s="2151"/>
      <c r="Z2" s="2167"/>
    </row>
    <row r="3" ht="17.6" spans="1:26">
      <c r="A3" s="2110"/>
      <c r="B3" s="2111" t="s">
        <v>63</v>
      </c>
      <c r="C3" s="2112"/>
      <c r="D3" s="2112"/>
      <c r="E3" s="2112" t="s">
        <v>1175</v>
      </c>
      <c r="F3" s="2112"/>
      <c r="G3" s="2112" t="s">
        <v>1176</v>
      </c>
      <c r="H3" s="2112"/>
      <c r="I3" s="2112" t="s">
        <v>1177</v>
      </c>
      <c r="J3" s="2112"/>
      <c r="K3" s="2112"/>
      <c r="L3" s="2134"/>
      <c r="M3" s="2149"/>
      <c r="N3" s="2152" t="s">
        <v>170</v>
      </c>
      <c r="O3" s="2153" t="s">
        <v>1178</v>
      </c>
      <c r="P3" s="2153"/>
      <c r="Q3" s="2153"/>
      <c r="R3" s="2153"/>
      <c r="S3" s="2153"/>
      <c r="T3" s="2153"/>
      <c r="U3" s="2153"/>
      <c r="V3" s="2153"/>
      <c r="W3" s="2153"/>
      <c r="X3" s="2153"/>
      <c r="Y3" s="2153"/>
      <c r="Z3" s="2168"/>
    </row>
    <row r="4" ht="17" spans="1:56">
      <c r="A4" s="2110"/>
      <c r="B4" s="2113" t="s">
        <v>69</v>
      </c>
      <c r="C4" s="2114"/>
      <c r="D4" s="2114"/>
      <c r="E4" s="2130" t="str">
        <f>IF($B4=附表!B213,"【←下拉框】",VLOOKUP($B4,附表!B95:K212,2,FALSE))</f>
        <v>5%</v>
      </c>
      <c r="F4" s="2130"/>
      <c r="G4" s="2131" t="str">
        <f>IF($B4=附表!B213,"",VLOOKUP($B4,附表!B95:K212,3,FALSE))</f>
        <v>——</v>
      </c>
      <c r="H4" s="2131"/>
      <c r="I4" s="2135" t="str">
        <f>IF($B4=附表!B213,"",VLOOKUP($B4,附表!B95:K212,4,FALSE))</f>
        <v>如果有人想要隐瞒什么，那么难度等级将会取决于进行隐藏的人的会计技能。</v>
      </c>
      <c r="J4" s="2135"/>
      <c r="K4" s="2136"/>
      <c r="L4" s="2137"/>
      <c r="M4" s="2149"/>
      <c r="N4" s="2154" t="s">
        <v>1179</v>
      </c>
      <c r="O4" s="2155" t="s">
        <v>1180</v>
      </c>
      <c r="P4" s="2155"/>
      <c r="Q4" s="2155"/>
      <c r="R4" s="2155"/>
      <c r="S4" s="2155"/>
      <c r="T4" s="2155"/>
      <c r="U4" s="2155"/>
      <c r="V4" s="2155"/>
      <c r="W4" s="2155"/>
      <c r="X4" s="2155"/>
      <c r="Y4" s="2155"/>
      <c r="Z4" s="2169"/>
      <c r="AP4"/>
      <c r="AQ4"/>
      <c r="AR4"/>
      <c r="AS4"/>
      <c r="AT4"/>
      <c r="AU4"/>
      <c r="AV4"/>
      <c r="AW4"/>
      <c r="AX4"/>
      <c r="AY4"/>
      <c r="AZ4"/>
      <c r="BA4"/>
      <c r="BB4"/>
      <c r="BC4"/>
      <c r="BD4"/>
    </row>
    <row r="5" spans="1:56">
      <c r="A5" s="2110"/>
      <c r="B5" s="2115"/>
      <c r="C5" s="2116"/>
      <c r="D5" s="2116"/>
      <c r="E5" s="2130"/>
      <c r="F5" s="2130"/>
      <c r="G5" s="2131"/>
      <c r="H5" s="2131"/>
      <c r="I5" s="2135"/>
      <c r="J5" s="2135"/>
      <c r="K5" s="2138"/>
      <c r="L5" s="2139"/>
      <c r="M5" s="2149"/>
      <c r="N5" s="2156"/>
      <c r="O5" s="2157"/>
      <c r="P5" s="2157"/>
      <c r="Q5" s="2157"/>
      <c r="R5" s="2157"/>
      <c r="S5" s="2157"/>
      <c r="T5" s="2157"/>
      <c r="U5" s="2157"/>
      <c r="V5" s="2157"/>
      <c r="W5" s="2157"/>
      <c r="X5" s="2157"/>
      <c r="Y5" s="2157"/>
      <c r="Z5" s="2170"/>
      <c r="AP5"/>
      <c r="AQ5"/>
      <c r="AR5"/>
      <c r="AS5"/>
      <c r="AT5"/>
      <c r="AU5"/>
      <c r="AV5"/>
      <c r="AW5"/>
      <c r="AX5"/>
      <c r="AY5"/>
      <c r="AZ5"/>
      <c r="BA5"/>
      <c r="BB5"/>
      <c r="BC5"/>
      <c r="BD5"/>
    </row>
    <row r="6" ht="17" spans="1:56">
      <c r="A6" s="2110"/>
      <c r="B6" s="2115"/>
      <c r="C6" s="2116"/>
      <c r="D6" s="2116"/>
      <c r="E6" s="2130"/>
      <c r="F6" s="2130"/>
      <c r="G6" s="2131"/>
      <c r="H6" s="2131"/>
      <c r="I6" s="2135"/>
      <c r="J6" s="2135"/>
      <c r="K6" s="2138"/>
      <c r="L6" s="2139"/>
      <c r="M6" s="2149"/>
      <c r="N6" s="2158" t="s">
        <v>1181</v>
      </c>
      <c r="O6" s="2159" t="s">
        <v>1182</v>
      </c>
      <c r="P6" s="2159"/>
      <c r="Q6" s="2159"/>
      <c r="R6" s="2159"/>
      <c r="S6" s="2159"/>
      <c r="T6" s="2159"/>
      <c r="U6" s="2159"/>
      <c r="V6" s="2159"/>
      <c r="W6" s="2159"/>
      <c r="X6" s="2159"/>
      <c r="Y6" s="2159"/>
      <c r="Z6" s="2171"/>
      <c r="AP6"/>
      <c r="AQ6"/>
      <c r="AR6"/>
      <c r="AS6"/>
      <c r="AT6"/>
      <c r="AU6"/>
      <c r="AV6"/>
      <c r="AW6"/>
      <c r="AX6"/>
      <c r="AY6"/>
      <c r="AZ6"/>
      <c r="BA6"/>
      <c r="BB6"/>
      <c r="BC6"/>
      <c r="BD6"/>
    </row>
    <row r="7" spans="1:56">
      <c r="A7" s="2110"/>
      <c r="B7" s="2115"/>
      <c r="C7" s="2116"/>
      <c r="D7" s="2116"/>
      <c r="E7" s="2130"/>
      <c r="F7" s="2130"/>
      <c r="G7" s="2131"/>
      <c r="H7" s="2131"/>
      <c r="I7" s="2135"/>
      <c r="J7" s="2135"/>
      <c r="K7" s="2138"/>
      <c r="L7" s="2139"/>
      <c r="M7" s="2149"/>
      <c r="N7" s="2160"/>
      <c r="O7" s="2159"/>
      <c r="P7" s="2159"/>
      <c r="Q7" s="2159"/>
      <c r="R7" s="2159"/>
      <c r="S7" s="2159"/>
      <c r="T7" s="2159"/>
      <c r="U7" s="2159"/>
      <c r="V7" s="2159"/>
      <c r="W7" s="2159"/>
      <c r="X7" s="2159"/>
      <c r="Y7" s="2159"/>
      <c r="Z7" s="2171"/>
      <c r="AP7"/>
      <c r="AQ7"/>
      <c r="AR7"/>
      <c r="AS7"/>
      <c r="AT7"/>
      <c r="AU7"/>
      <c r="AV7"/>
      <c r="AW7"/>
      <c r="AX7"/>
      <c r="AY7"/>
      <c r="AZ7"/>
      <c r="BA7"/>
      <c r="BB7"/>
      <c r="BC7"/>
      <c r="BD7"/>
    </row>
    <row r="8" ht="17" spans="1:56">
      <c r="A8" s="2110"/>
      <c r="B8" s="2115"/>
      <c r="C8" s="2116"/>
      <c r="D8" s="2116"/>
      <c r="E8" s="2130"/>
      <c r="F8" s="2130"/>
      <c r="G8" s="2131"/>
      <c r="H8" s="2131"/>
      <c r="I8" s="2135"/>
      <c r="J8" s="2135"/>
      <c r="K8" s="2138"/>
      <c r="L8" s="2139"/>
      <c r="M8" s="2149"/>
      <c r="N8" s="2158" t="s">
        <v>1183</v>
      </c>
      <c r="O8" s="2159" t="s">
        <v>1184</v>
      </c>
      <c r="P8" s="2159"/>
      <c r="Q8" s="2159"/>
      <c r="R8" s="2159"/>
      <c r="S8" s="2159"/>
      <c r="T8" s="2159"/>
      <c r="U8" s="2159"/>
      <c r="V8" s="2159"/>
      <c r="W8" s="2159"/>
      <c r="X8" s="2159"/>
      <c r="Y8" s="2159"/>
      <c r="Z8" s="2171"/>
      <c r="AP8"/>
      <c r="AQ8"/>
      <c r="AR8"/>
      <c r="AS8"/>
      <c r="AT8"/>
      <c r="AU8"/>
      <c r="AV8"/>
      <c r="AW8"/>
      <c r="AX8"/>
      <c r="AY8"/>
      <c r="AZ8"/>
      <c r="BA8"/>
      <c r="BB8"/>
      <c r="BC8"/>
      <c r="BD8"/>
    </row>
    <row r="9" spans="1:56">
      <c r="A9" s="2110"/>
      <c r="B9" s="2115"/>
      <c r="C9" s="2116"/>
      <c r="D9" s="2116"/>
      <c r="E9" s="2130"/>
      <c r="F9" s="2130"/>
      <c r="G9" s="2131"/>
      <c r="H9" s="2131"/>
      <c r="I9" s="2135"/>
      <c r="J9" s="2135"/>
      <c r="K9" s="2138"/>
      <c r="L9" s="2139"/>
      <c r="M9" s="2161"/>
      <c r="N9" s="2158"/>
      <c r="O9" s="2162"/>
      <c r="P9" s="2162"/>
      <c r="Q9" s="2162"/>
      <c r="R9" s="2162"/>
      <c r="S9" s="2162"/>
      <c r="T9" s="2162"/>
      <c r="U9" s="2162"/>
      <c r="V9" s="2162"/>
      <c r="W9" s="2162"/>
      <c r="X9" s="2162"/>
      <c r="Y9" s="2162"/>
      <c r="Z9" s="2172"/>
      <c r="AP9"/>
      <c r="AQ9"/>
      <c r="AR9"/>
      <c r="AS9"/>
      <c r="AT9"/>
      <c r="AU9"/>
      <c r="AV9"/>
      <c r="AW9"/>
      <c r="AX9"/>
      <c r="AY9"/>
      <c r="AZ9"/>
      <c r="BA9"/>
      <c r="BB9"/>
      <c r="BC9"/>
      <c r="BD9"/>
    </row>
    <row r="10" ht="17.6" spans="1:56">
      <c r="A10" s="2110"/>
      <c r="B10" s="2111" t="s">
        <v>1185</v>
      </c>
      <c r="C10" s="2112"/>
      <c r="D10" s="2117"/>
      <c r="E10" s="2112"/>
      <c r="F10" s="2112"/>
      <c r="G10" s="2112"/>
      <c r="H10" s="2112"/>
      <c r="I10" s="2112" t="s">
        <v>1186</v>
      </c>
      <c r="J10" s="2112"/>
      <c r="K10" s="2140" t="s">
        <v>1187</v>
      </c>
      <c r="L10" s="2134"/>
      <c r="M10" s="2149"/>
      <c r="N10" s="2156" t="s">
        <v>1188</v>
      </c>
      <c r="O10" s="2159" t="s">
        <v>1189</v>
      </c>
      <c r="P10" s="2159"/>
      <c r="Q10" s="2159"/>
      <c r="R10" s="2159"/>
      <c r="S10" s="2159"/>
      <c r="T10" s="2159"/>
      <c r="U10" s="2159"/>
      <c r="V10" s="2159"/>
      <c r="W10" s="2159"/>
      <c r="X10" s="2159"/>
      <c r="Y10" s="2159"/>
      <c r="Z10" s="2171"/>
      <c r="AP10"/>
      <c r="AQ10"/>
      <c r="AR10"/>
      <c r="AS10"/>
      <c r="AT10"/>
      <c r="AU10"/>
      <c r="AV10"/>
      <c r="AW10"/>
      <c r="AX10"/>
      <c r="AY10"/>
      <c r="AZ10"/>
      <c r="BA10"/>
      <c r="BB10"/>
      <c r="BC10"/>
      <c r="BD10"/>
    </row>
    <row r="11" spans="1:56">
      <c r="A11" s="2110"/>
      <c r="B11" s="2118" t="str">
        <f>IF($B4=附表!B213,"",VLOOKUP($B4,附表!B95:K212,8,FALSE))</f>
        <v>· 花费更多的时间来阅览文档
· 拜访银行或者企业来确认自己的发现
· 复核里面的账目和数据</v>
      </c>
      <c r="C11" s="2119"/>
      <c r="D11" s="2120"/>
      <c r="E11" s="2119"/>
      <c r="F11" s="2119"/>
      <c r="G11" s="2119"/>
      <c r="H11" s="2119"/>
      <c r="I11" s="2141" t="str">
        <f>IF($B4=附表!B213,"",VLOOKUP($B4,附表!B95:K212,6,FALSE))</f>
        <v>详尽以及良好整理的会计账簿。</v>
      </c>
      <c r="J11" s="2141"/>
      <c r="K11" s="2142" t="str">
        <f>IF($B4=附表!B213,"",VLOOKUP($B4,附表!B95:K212,7,FALSE))</f>
        <v>无序或者残缺的会计账簿。</v>
      </c>
      <c r="L11" s="2143"/>
      <c r="M11" s="2149"/>
      <c r="N11" s="2160"/>
      <c r="O11" s="2159"/>
      <c r="P11" s="2159"/>
      <c r="Q11" s="2159"/>
      <c r="R11" s="2159"/>
      <c r="S11" s="2159"/>
      <c r="T11" s="2159"/>
      <c r="U11" s="2159"/>
      <c r="V11" s="2159"/>
      <c r="W11" s="2159"/>
      <c r="X11" s="2159"/>
      <c r="Y11" s="2159"/>
      <c r="Z11" s="2171"/>
      <c r="AP11"/>
      <c r="AQ11"/>
      <c r="AR11"/>
      <c r="AS11"/>
      <c r="AT11"/>
      <c r="AU11"/>
      <c r="AV11"/>
      <c r="AW11"/>
      <c r="AX11"/>
      <c r="AY11"/>
      <c r="AZ11"/>
      <c r="BA11"/>
      <c r="BB11"/>
      <c r="BC11"/>
      <c r="BD11"/>
    </row>
    <row r="12" ht="17" spans="1:56">
      <c r="A12" s="2110"/>
      <c r="B12" s="2118"/>
      <c r="C12" s="2119"/>
      <c r="D12" s="2120"/>
      <c r="E12" s="2119"/>
      <c r="F12" s="2119"/>
      <c r="G12" s="2119"/>
      <c r="H12" s="2119"/>
      <c r="I12" s="2141"/>
      <c r="J12" s="2141"/>
      <c r="K12" s="2142"/>
      <c r="L12" s="2143"/>
      <c r="M12" s="2149"/>
      <c r="N12" s="2158" t="s">
        <v>1190</v>
      </c>
      <c r="O12" s="2159" t="s">
        <v>1191</v>
      </c>
      <c r="P12" s="2159"/>
      <c r="Q12" s="2159"/>
      <c r="R12" s="2159"/>
      <c r="S12" s="2159"/>
      <c r="T12" s="2159"/>
      <c r="U12" s="2159"/>
      <c r="V12" s="2159"/>
      <c r="W12" s="2159"/>
      <c r="X12" s="2159"/>
      <c r="Y12" s="2159"/>
      <c r="Z12" s="2171"/>
      <c r="AP12"/>
      <c r="AQ12"/>
      <c r="AR12"/>
      <c r="AS12"/>
      <c r="AT12"/>
      <c r="AU12"/>
      <c r="AV12"/>
      <c r="AW12"/>
      <c r="AX12"/>
      <c r="AY12"/>
      <c r="AZ12"/>
      <c r="BA12"/>
      <c r="BB12"/>
      <c r="BC12"/>
      <c r="BD12"/>
    </row>
    <row r="13" spans="1:56">
      <c r="A13" s="2110"/>
      <c r="B13" s="2118"/>
      <c r="C13" s="2119"/>
      <c r="D13" s="2120"/>
      <c r="E13" s="2119"/>
      <c r="F13" s="2119"/>
      <c r="G13" s="2119"/>
      <c r="H13" s="2119"/>
      <c r="I13" s="2141"/>
      <c r="J13" s="2141"/>
      <c r="K13" s="2142"/>
      <c r="L13" s="2143"/>
      <c r="M13" s="2149"/>
      <c r="N13" s="2163"/>
      <c r="Z13" s="2173"/>
      <c r="AP13"/>
      <c r="AQ13"/>
      <c r="AR13"/>
      <c r="AS13"/>
      <c r="AT13"/>
      <c r="AU13"/>
      <c r="AV13"/>
      <c r="AW13"/>
      <c r="AX13"/>
      <c r="AY13"/>
      <c r="AZ13"/>
      <c r="BA13"/>
      <c r="BB13"/>
      <c r="BC13"/>
      <c r="BD13"/>
    </row>
    <row r="14" spans="1:56">
      <c r="A14" s="2110"/>
      <c r="B14" s="2118"/>
      <c r="C14" s="2119"/>
      <c r="D14" s="2120"/>
      <c r="E14" s="2119"/>
      <c r="F14" s="2119"/>
      <c r="G14" s="2119"/>
      <c r="H14" s="2119"/>
      <c r="I14" s="2141"/>
      <c r="J14" s="2141"/>
      <c r="K14" s="2142"/>
      <c r="L14" s="2143"/>
      <c r="M14" s="2149"/>
      <c r="N14" s="2160" t="s">
        <v>1192</v>
      </c>
      <c r="O14" s="2159" t="s">
        <v>1193</v>
      </c>
      <c r="P14" s="2159"/>
      <c r="Q14" s="2159"/>
      <c r="R14" s="2159"/>
      <c r="S14" s="2159"/>
      <c r="T14" s="2159"/>
      <c r="U14" s="2159"/>
      <c r="V14" s="2159"/>
      <c r="W14" s="2159"/>
      <c r="X14" s="2159"/>
      <c r="Y14" s="2159"/>
      <c r="Z14" s="2171"/>
      <c r="AP14"/>
      <c r="AQ14"/>
      <c r="AR14"/>
      <c r="AS14"/>
      <c r="AT14"/>
      <c r="AU14"/>
      <c r="AV14"/>
      <c r="AW14"/>
      <c r="AX14"/>
      <c r="AY14"/>
      <c r="AZ14"/>
      <c r="BA14"/>
      <c r="BB14"/>
      <c r="BC14"/>
      <c r="BD14"/>
    </row>
    <row r="15" spans="1:56">
      <c r="A15" s="2110"/>
      <c r="B15" s="2118"/>
      <c r="C15" s="2119"/>
      <c r="D15" s="2120"/>
      <c r="E15" s="2119"/>
      <c r="F15" s="2119"/>
      <c r="G15" s="2119"/>
      <c r="H15" s="2119"/>
      <c r="I15" s="2141"/>
      <c r="J15" s="2141"/>
      <c r="K15" s="2142"/>
      <c r="L15" s="2143"/>
      <c r="M15" s="2149"/>
      <c r="N15" s="2160"/>
      <c r="O15" s="2159"/>
      <c r="P15" s="2159"/>
      <c r="Q15" s="2159"/>
      <c r="R15" s="2159"/>
      <c r="S15" s="2159"/>
      <c r="T15" s="2159"/>
      <c r="U15" s="2159"/>
      <c r="V15" s="2159"/>
      <c r="W15" s="2159"/>
      <c r="X15" s="2159"/>
      <c r="Y15" s="2159"/>
      <c r="Z15" s="2171"/>
      <c r="AP15"/>
      <c r="AQ15"/>
      <c r="AR15"/>
      <c r="AS15"/>
      <c r="AT15"/>
      <c r="AU15"/>
      <c r="AV15"/>
      <c r="AW15"/>
      <c r="AX15"/>
      <c r="AY15"/>
      <c r="AZ15"/>
      <c r="BA15"/>
      <c r="BB15"/>
      <c r="BC15"/>
      <c r="BD15"/>
    </row>
    <row r="16" spans="1:56">
      <c r="A16" s="2110"/>
      <c r="B16" s="2118"/>
      <c r="C16" s="2119"/>
      <c r="D16" s="2120"/>
      <c r="E16" s="2119"/>
      <c r="F16" s="2119"/>
      <c r="G16" s="2119"/>
      <c r="H16" s="2119"/>
      <c r="I16" s="2141"/>
      <c r="J16" s="2141"/>
      <c r="K16" s="2142"/>
      <c r="L16" s="2143"/>
      <c r="M16" s="2149"/>
      <c r="N16" s="2163"/>
      <c r="Z16" s="2173"/>
      <c r="AP16"/>
      <c r="AQ16"/>
      <c r="AR16"/>
      <c r="AS16"/>
      <c r="AT16"/>
      <c r="AU16"/>
      <c r="AV16"/>
      <c r="AW16"/>
      <c r="AX16"/>
      <c r="AY16"/>
      <c r="AZ16"/>
      <c r="BA16"/>
      <c r="BB16"/>
      <c r="BC16"/>
      <c r="BD16"/>
    </row>
    <row r="17" spans="1:56">
      <c r="A17" s="2110"/>
      <c r="B17" s="2118"/>
      <c r="C17" s="2119"/>
      <c r="D17" s="2120"/>
      <c r="E17" s="2119"/>
      <c r="F17" s="2119"/>
      <c r="G17" s="2119"/>
      <c r="H17" s="2119"/>
      <c r="I17" s="2141"/>
      <c r="J17" s="2141"/>
      <c r="K17" s="2142"/>
      <c r="L17" s="2143"/>
      <c r="M17" s="2149"/>
      <c r="N17" s="2160" t="s">
        <v>1194</v>
      </c>
      <c r="O17" s="2159" t="s">
        <v>1195</v>
      </c>
      <c r="P17" s="2159"/>
      <c r="Q17" s="2159"/>
      <c r="R17" s="2159"/>
      <c r="S17" s="2159"/>
      <c r="T17" s="2159"/>
      <c r="U17" s="2159"/>
      <c r="V17" s="2159"/>
      <c r="W17" s="2159"/>
      <c r="X17" s="2159"/>
      <c r="Y17" s="2159"/>
      <c r="Z17" s="2171"/>
      <c r="AP17"/>
      <c r="AQ17"/>
      <c r="AR17"/>
      <c r="AS17"/>
      <c r="AT17"/>
      <c r="AU17"/>
      <c r="AV17"/>
      <c r="AW17"/>
      <c r="AX17"/>
      <c r="AY17"/>
      <c r="AZ17"/>
      <c r="BA17"/>
      <c r="BB17"/>
      <c r="BC17"/>
      <c r="BD17"/>
    </row>
    <row r="18" spans="1:56">
      <c r="A18" s="2110"/>
      <c r="B18" s="2118"/>
      <c r="C18" s="2119"/>
      <c r="D18" s="2120"/>
      <c r="E18" s="2119"/>
      <c r="F18" s="2119"/>
      <c r="G18" s="2119"/>
      <c r="H18" s="2119"/>
      <c r="I18" s="2141"/>
      <c r="J18" s="2141"/>
      <c r="K18" s="2142"/>
      <c r="L18" s="2143"/>
      <c r="M18" s="2149"/>
      <c r="N18" s="2160"/>
      <c r="O18" s="2159"/>
      <c r="P18" s="2159"/>
      <c r="Q18" s="2159"/>
      <c r="R18" s="2159"/>
      <c r="S18" s="2159"/>
      <c r="T18" s="2159"/>
      <c r="U18" s="2159"/>
      <c r="V18" s="2159"/>
      <c r="W18" s="2159"/>
      <c r="X18" s="2159"/>
      <c r="Y18" s="2159"/>
      <c r="Z18" s="2171"/>
      <c r="AP18"/>
      <c r="AQ18"/>
      <c r="AR18"/>
      <c r="AS18"/>
      <c r="AT18"/>
      <c r="AU18"/>
      <c r="AV18"/>
      <c r="AW18"/>
      <c r="AX18"/>
      <c r="AY18"/>
      <c r="AZ18"/>
      <c r="BA18"/>
      <c r="BB18"/>
      <c r="BC18"/>
      <c r="BD18"/>
    </row>
    <row r="19" spans="1:56">
      <c r="A19" s="2110"/>
      <c r="B19" s="2118"/>
      <c r="C19" s="2119"/>
      <c r="D19" s="2120"/>
      <c r="E19" s="2119"/>
      <c r="F19" s="2119"/>
      <c r="G19" s="2119"/>
      <c r="H19" s="2119"/>
      <c r="I19" s="2141"/>
      <c r="J19" s="2141"/>
      <c r="K19" s="2142"/>
      <c r="L19" s="2143"/>
      <c r="M19" s="2149"/>
      <c r="N19" s="2158"/>
      <c r="O19" s="2162"/>
      <c r="P19" s="2162"/>
      <c r="Q19" s="2162"/>
      <c r="R19" s="2162"/>
      <c r="S19" s="2162"/>
      <c r="T19" s="2162"/>
      <c r="U19" s="2162"/>
      <c r="V19" s="2162"/>
      <c r="W19" s="2162"/>
      <c r="X19" s="2162"/>
      <c r="Y19" s="2162"/>
      <c r="Z19" s="2172"/>
      <c r="AP19"/>
      <c r="AQ19"/>
      <c r="AR19"/>
      <c r="AS19"/>
      <c r="AT19"/>
      <c r="AU19"/>
      <c r="AV19"/>
      <c r="AW19"/>
      <c r="AX19"/>
      <c r="AY19"/>
      <c r="AZ19"/>
      <c r="BA19"/>
      <c r="BB19"/>
      <c r="BC19"/>
      <c r="BD19"/>
    </row>
    <row r="20" spans="1:56">
      <c r="A20" s="2110"/>
      <c r="B20" s="2118"/>
      <c r="C20" s="2119"/>
      <c r="D20" s="2120"/>
      <c r="E20" s="2119"/>
      <c r="F20" s="2119"/>
      <c r="G20" s="2119"/>
      <c r="H20" s="2119"/>
      <c r="I20" s="2141"/>
      <c r="J20" s="2141"/>
      <c r="K20" s="2142"/>
      <c r="L20" s="2143"/>
      <c r="M20" s="2149"/>
      <c r="N20" s="2160" t="s">
        <v>455</v>
      </c>
      <c r="O20" s="23" t="s">
        <v>1196</v>
      </c>
      <c r="P20" s="33"/>
      <c r="Q20" s="33"/>
      <c r="R20" s="33"/>
      <c r="S20" s="33"/>
      <c r="T20" s="33"/>
      <c r="U20" s="33"/>
      <c r="V20" s="33"/>
      <c r="W20" s="33"/>
      <c r="X20" s="33"/>
      <c r="Y20" s="33"/>
      <c r="Z20" s="2174"/>
      <c r="AP20"/>
      <c r="AQ20"/>
      <c r="AR20"/>
      <c r="AS20"/>
      <c r="AT20"/>
      <c r="AU20"/>
      <c r="AV20"/>
      <c r="AW20"/>
      <c r="AX20"/>
      <c r="AY20"/>
      <c r="AZ20"/>
      <c r="BA20"/>
      <c r="BB20"/>
      <c r="BC20"/>
      <c r="BD20"/>
    </row>
    <row r="21" spans="1:56">
      <c r="A21" s="2110"/>
      <c r="B21" s="2118"/>
      <c r="C21" s="2119"/>
      <c r="D21" s="2120"/>
      <c r="E21" s="2119"/>
      <c r="F21" s="2119"/>
      <c r="G21" s="2119"/>
      <c r="H21" s="2119"/>
      <c r="I21" s="2141"/>
      <c r="J21" s="2141"/>
      <c r="K21" s="2142"/>
      <c r="L21" s="2143"/>
      <c r="M21" s="2149"/>
      <c r="N21" s="2160"/>
      <c r="O21" s="33"/>
      <c r="P21" s="33"/>
      <c r="Q21" s="33"/>
      <c r="R21" s="33"/>
      <c r="S21" s="33"/>
      <c r="T21" s="33"/>
      <c r="U21" s="33"/>
      <c r="V21" s="33"/>
      <c r="W21" s="33"/>
      <c r="X21" s="33"/>
      <c r="Y21" s="33"/>
      <c r="Z21" s="2174"/>
      <c r="AP21"/>
      <c r="AQ21"/>
      <c r="AR21"/>
      <c r="AS21"/>
      <c r="AT21"/>
      <c r="AU21"/>
      <c r="AV21"/>
      <c r="AW21"/>
      <c r="AX21"/>
      <c r="AY21"/>
      <c r="AZ21"/>
      <c r="BA21"/>
      <c r="BB21"/>
      <c r="BC21"/>
      <c r="BD21"/>
    </row>
    <row r="22" spans="1:56">
      <c r="A22" s="2110"/>
      <c r="B22" s="2118"/>
      <c r="C22" s="2119"/>
      <c r="D22" s="2120"/>
      <c r="E22" s="2119"/>
      <c r="F22" s="2119"/>
      <c r="G22" s="2119"/>
      <c r="H22" s="2119"/>
      <c r="I22" s="2141"/>
      <c r="J22" s="2141"/>
      <c r="K22" s="2142"/>
      <c r="L22" s="2143"/>
      <c r="M22" s="2149"/>
      <c r="N22" s="2160"/>
      <c r="O22" s="2159"/>
      <c r="P22" s="2159"/>
      <c r="Q22" s="2159"/>
      <c r="R22" s="2159"/>
      <c r="S22" s="2159"/>
      <c r="T22" s="2159"/>
      <c r="U22" s="2159"/>
      <c r="V22" s="2159"/>
      <c r="W22" s="2159"/>
      <c r="X22" s="2159"/>
      <c r="Y22" s="2159"/>
      <c r="Z22" s="2171"/>
      <c r="AP22"/>
      <c r="AQ22"/>
      <c r="AR22"/>
      <c r="AS22"/>
      <c r="AT22"/>
      <c r="AU22"/>
      <c r="AV22"/>
      <c r="AW22"/>
      <c r="AX22"/>
      <c r="AY22"/>
      <c r="AZ22"/>
      <c r="BA22"/>
      <c r="BB22"/>
      <c r="BC22"/>
      <c r="BD22"/>
    </row>
    <row r="23" ht="17" spans="1:56">
      <c r="A23" s="2110"/>
      <c r="B23" s="2118"/>
      <c r="C23" s="2119"/>
      <c r="D23" s="2120"/>
      <c r="E23" s="2119"/>
      <c r="F23" s="2119"/>
      <c r="G23" s="2119"/>
      <c r="H23" s="2119"/>
      <c r="I23" s="2141"/>
      <c r="J23" s="2141"/>
      <c r="K23" s="2142"/>
      <c r="L23" s="2143"/>
      <c r="M23" s="2149"/>
      <c r="N23" s="2158" t="s">
        <v>1197</v>
      </c>
      <c r="O23" s="2159" t="s">
        <v>1198</v>
      </c>
      <c r="P23" s="2159"/>
      <c r="Q23" s="2159"/>
      <c r="R23" s="2159"/>
      <c r="S23" s="2159"/>
      <c r="T23" s="2159"/>
      <c r="U23" s="2159"/>
      <c r="V23" s="2159"/>
      <c r="W23" s="2159"/>
      <c r="X23" s="2159"/>
      <c r="Y23" s="2159"/>
      <c r="Z23" s="2171"/>
      <c r="AP23"/>
      <c r="AQ23"/>
      <c r="AR23"/>
      <c r="AS23"/>
      <c r="AT23"/>
      <c r="AU23"/>
      <c r="AV23"/>
      <c r="AW23"/>
      <c r="AX23"/>
      <c r="AY23"/>
      <c r="AZ23"/>
      <c r="BA23"/>
      <c r="BB23"/>
      <c r="BC23"/>
      <c r="BD23"/>
    </row>
    <row r="24" ht="17.6" spans="1:56">
      <c r="A24"/>
      <c r="B24" s="2111" t="s">
        <v>1199</v>
      </c>
      <c r="C24" s="2112"/>
      <c r="D24" s="2117"/>
      <c r="E24" s="2112"/>
      <c r="F24" s="2112"/>
      <c r="G24" s="2112"/>
      <c r="H24" s="2112" t="s">
        <v>1200</v>
      </c>
      <c r="I24" s="2112"/>
      <c r="J24" s="2112"/>
      <c r="K24" s="2140"/>
      <c r="L24" s="2134"/>
      <c r="M24" s="2149"/>
      <c r="N24" s="2160"/>
      <c r="O24" s="2159"/>
      <c r="P24" s="2159"/>
      <c r="Q24" s="2159"/>
      <c r="R24" s="2159"/>
      <c r="S24" s="2159"/>
      <c r="T24" s="2159"/>
      <c r="U24" s="2159"/>
      <c r="V24" s="2159"/>
      <c r="W24" s="2159"/>
      <c r="X24" s="2159"/>
      <c r="Y24" s="2159"/>
      <c r="Z24" s="2171"/>
      <c r="AP24"/>
      <c r="AQ24"/>
      <c r="AR24"/>
      <c r="AS24"/>
      <c r="AT24"/>
      <c r="AU24"/>
      <c r="AV24"/>
      <c r="AW24"/>
      <c r="AX24"/>
      <c r="AY24"/>
      <c r="AZ24"/>
      <c r="BA24"/>
      <c r="BB24"/>
      <c r="BC24"/>
      <c r="BD24"/>
    </row>
    <row r="25" spans="1:56">
      <c r="A25"/>
      <c r="B25" s="2118" t="str">
        <f>IF($B4=附表!B213,"",VLOOKUP($B4,附表!B95:K212,9,FALSE))</f>
        <v>· 调查员与其他人之间的讨论让敌对势力对调查员的意图起了警觉
· 账簿最重要的一部分被摧毁或者丢失了（可能调查员因为疲劳将咖啡洒出在了上面）。</v>
      </c>
      <c r="C25" s="2119"/>
      <c r="D25" s="2120"/>
      <c r="E25" s="2119"/>
      <c r="F25" s="2119"/>
      <c r="G25" s="2119"/>
      <c r="H25" s="2132" t="str">
        <f>IF($B4=附表!B213,"",VLOOKUP($B4,附表!B95:K212,10,FALSE))</f>
        <v>他可能会被发现他把部分的账簿吃下了肚。</v>
      </c>
      <c r="I25" s="2132"/>
      <c r="J25" s="2132"/>
      <c r="K25" s="2144"/>
      <c r="L25" s="2145"/>
      <c r="M25" s="2149"/>
      <c r="N25" s="2160" t="s">
        <v>1201</v>
      </c>
      <c r="O25" s="2159" t="s">
        <v>1202</v>
      </c>
      <c r="P25" s="2159"/>
      <c r="Q25" s="2159"/>
      <c r="R25" s="2159"/>
      <c r="S25" s="2159"/>
      <c r="T25" s="2159"/>
      <c r="U25" s="2159"/>
      <c r="V25" s="2159"/>
      <c r="W25" s="2159"/>
      <c r="X25" s="2159"/>
      <c r="Y25" s="2159"/>
      <c r="Z25" s="2171"/>
      <c r="AP25"/>
      <c r="AQ25"/>
      <c r="AR25"/>
      <c r="AS25"/>
      <c r="AT25"/>
      <c r="AU25"/>
      <c r="AV25"/>
      <c r="AW25"/>
      <c r="AX25"/>
      <c r="AY25"/>
      <c r="AZ25"/>
      <c r="BA25"/>
      <c r="BB25"/>
      <c r="BC25"/>
      <c r="BD25"/>
    </row>
    <row r="26" spans="1:56">
      <c r="A26"/>
      <c r="B26" s="2118"/>
      <c r="C26" s="2119"/>
      <c r="D26" s="2119"/>
      <c r="E26" s="2119"/>
      <c r="F26" s="2119"/>
      <c r="G26" s="2119"/>
      <c r="H26" s="2132"/>
      <c r="I26" s="2132"/>
      <c r="J26" s="2132"/>
      <c r="K26" s="2132"/>
      <c r="L26" s="2145"/>
      <c r="M26" s="2149"/>
      <c r="N26" s="2160"/>
      <c r="O26" s="2159"/>
      <c r="P26" s="2159"/>
      <c r="Q26" s="2159"/>
      <c r="R26" s="2159"/>
      <c r="S26" s="2159"/>
      <c r="T26" s="2159"/>
      <c r="U26" s="2159"/>
      <c r="V26" s="2159"/>
      <c r="W26" s="2159"/>
      <c r="X26" s="2159"/>
      <c r="Y26" s="2159"/>
      <c r="Z26" s="2171"/>
      <c r="AP26"/>
      <c r="AQ26"/>
      <c r="AR26"/>
      <c r="AS26"/>
      <c r="AT26"/>
      <c r="AU26"/>
      <c r="AV26"/>
      <c r="AW26"/>
      <c r="AX26"/>
      <c r="AY26"/>
      <c r="AZ26"/>
      <c r="BA26"/>
      <c r="BB26"/>
      <c r="BC26"/>
      <c r="BD26"/>
    </row>
    <row r="27" spans="1:56">
      <c r="A27"/>
      <c r="B27" s="2118"/>
      <c r="C27" s="2119"/>
      <c r="D27" s="2119"/>
      <c r="E27" s="2119"/>
      <c r="F27" s="2119"/>
      <c r="G27" s="2119"/>
      <c r="H27" s="2132"/>
      <c r="I27" s="2132"/>
      <c r="J27" s="2132"/>
      <c r="K27" s="2132"/>
      <c r="L27" s="2145"/>
      <c r="M27" s="2149"/>
      <c r="N27" s="2160"/>
      <c r="O27" s="2159"/>
      <c r="P27" s="2159"/>
      <c r="Q27" s="2159"/>
      <c r="R27" s="2159"/>
      <c r="S27" s="2159"/>
      <c r="T27" s="2159"/>
      <c r="U27" s="2159"/>
      <c r="V27" s="2159"/>
      <c r="W27" s="2159"/>
      <c r="X27" s="2159"/>
      <c r="Y27" s="2159"/>
      <c r="Z27" s="2171"/>
      <c r="AP27"/>
      <c r="AQ27"/>
      <c r="AR27"/>
      <c r="AS27"/>
      <c r="AT27"/>
      <c r="AU27"/>
      <c r="AV27"/>
      <c r="AW27"/>
      <c r="AX27"/>
      <c r="AY27"/>
      <c r="AZ27"/>
      <c r="BA27"/>
      <c r="BB27"/>
      <c r="BC27"/>
      <c r="BD27"/>
    </row>
    <row r="28" ht="17" spans="1:56">
      <c r="A28"/>
      <c r="B28" s="2118"/>
      <c r="C28" s="2119"/>
      <c r="D28" s="2119"/>
      <c r="E28" s="2119"/>
      <c r="F28" s="2119"/>
      <c r="G28" s="2119"/>
      <c r="H28" s="2132"/>
      <c r="I28" s="2132"/>
      <c r="J28" s="2132"/>
      <c r="K28" s="2132"/>
      <c r="L28" s="2145"/>
      <c r="M28" s="2149"/>
      <c r="N28" s="2158" t="s">
        <v>1203</v>
      </c>
      <c r="O28" s="2159" t="s">
        <v>1204</v>
      </c>
      <c r="P28" s="2159"/>
      <c r="Q28" s="2159"/>
      <c r="R28" s="2159"/>
      <c r="S28" s="2159"/>
      <c r="T28" s="2159"/>
      <c r="U28" s="2159"/>
      <c r="V28" s="2159"/>
      <c r="W28" s="2159"/>
      <c r="X28" s="2159"/>
      <c r="Y28" s="2159"/>
      <c r="Z28" s="2171"/>
      <c r="AP28"/>
      <c r="AQ28"/>
      <c r="AR28"/>
      <c r="AS28"/>
      <c r="AT28"/>
      <c r="AU28"/>
      <c r="AV28"/>
      <c r="AW28"/>
      <c r="AX28"/>
      <c r="AY28"/>
      <c r="AZ28"/>
      <c r="BA28"/>
      <c r="BB28"/>
      <c r="BC28"/>
      <c r="BD28"/>
    </row>
    <row r="29" spans="1:56">
      <c r="A29"/>
      <c r="B29" s="2118"/>
      <c r="C29" s="2119"/>
      <c r="D29" s="2119"/>
      <c r="E29" s="2119"/>
      <c r="F29" s="2119"/>
      <c r="G29" s="2119"/>
      <c r="H29" s="2132"/>
      <c r="I29" s="2132"/>
      <c r="J29" s="2132"/>
      <c r="K29" s="2132"/>
      <c r="L29" s="2145"/>
      <c r="M29" s="2149"/>
      <c r="N29" s="2160"/>
      <c r="O29" s="2159"/>
      <c r="P29" s="2159"/>
      <c r="Q29" s="2159"/>
      <c r="R29" s="2159"/>
      <c r="S29" s="2159"/>
      <c r="T29" s="2159"/>
      <c r="U29" s="2159"/>
      <c r="V29" s="2159"/>
      <c r="W29" s="2159"/>
      <c r="X29" s="2159"/>
      <c r="Y29" s="2159"/>
      <c r="Z29" s="2171"/>
      <c r="AP29"/>
      <c r="AQ29"/>
      <c r="AR29"/>
      <c r="AS29"/>
      <c r="AT29"/>
      <c r="AU29"/>
      <c r="AV29"/>
      <c r="AW29"/>
      <c r="AX29"/>
      <c r="AY29"/>
      <c r="AZ29"/>
      <c r="BA29"/>
      <c r="BB29"/>
      <c r="BC29"/>
      <c r="BD29"/>
    </row>
    <row r="30" ht="17" spans="1:56">
      <c r="A30"/>
      <c r="B30" s="2118"/>
      <c r="C30" s="2119"/>
      <c r="D30" s="2119"/>
      <c r="E30" s="2119"/>
      <c r="F30" s="2119"/>
      <c r="G30" s="2119"/>
      <c r="H30" s="2132"/>
      <c r="I30" s="2132"/>
      <c r="J30" s="2132"/>
      <c r="K30" s="2132"/>
      <c r="L30" s="2145"/>
      <c r="M30" s="2149"/>
      <c r="N30" s="2158" t="s">
        <v>1205</v>
      </c>
      <c r="O30" s="2159" t="s">
        <v>1206</v>
      </c>
      <c r="P30" s="2159"/>
      <c r="Q30" s="2159"/>
      <c r="R30" s="2159"/>
      <c r="S30" s="2159"/>
      <c r="T30" s="2159"/>
      <c r="U30" s="2159"/>
      <c r="V30" s="2159"/>
      <c r="W30" s="2159"/>
      <c r="X30" s="2159"/>
      <c r="Y30" s="2159"/>
      <c r="Z30" s="2171"/>
      <c r="AP30"/>
      <c r="AQ30"/>
      <c r="AR30"/>
      <c r="AS30"/>
      <c r="AT30"/>
      <c r="AU30"/>
      <c r="AV30"/>
      <c r="AW30"/>
      <c r="AX30"/>
      <c r="AY30"/>
      <c r="AZ30"/>
      <c r="BA30"/>
      <c r="BB30"/>
      <c r="BC30"/>
      <c r="BD30"/>
    </row>
    <row r="31" spans="1:56">
      <c r="A31"/>
      <c r="B31" s="2118"/>
      <c r="C31" s="2119"/>
      <c r="D31" s="2119"/>
      <c r="E31" s="2119"/>
      <c r="F31" s="2119"/>
      <c r="G31" s="2119"/>
      <c r="H31" s="2132"/>
      <c r="I31" s="2132"/>
      <c r="J31" s="2132"/>
      <c r="K31" s="2132"/>
      <c r="L31" s="2145"/>
      <c r="M31" s="2149"/>
      <c r="N31" s="2158"/>
      <c r="O31" s="2159"/>
      <c r="P31" s="2159"/>
      <c r="Q31" s="2159"/>
      <c r="R31" s="2159"/>
      <c r="S31" s="2159"/>
      <c r="T31" s="2159"/>
      <c r="U31" s="2159"/>
      <c r="V31" s="2159"/>
      <c r="W31" s="2159"/>
      <c r="X31" s="2159"/>
      <c r="Y31" s="2159"/>
      <c r="Z31" s="2171"/>
      <c r="AP31"/>
      <c r="AQ31"/>
      <c r="AR31"/>
      <c r="AS31"/>
      <c r="AT31"/>
      <c r="AU31"/>
      <c r="AV31"/>
      <c r="AW31"/>
      <c r="AX31"/>
      <c r="AY31"/>
      <c r="AZ31"/>
      <c r="BA31"/>
      <c r="BB31"/>
      <c r="BC31"/>
      <c r="BD31"/>
    </row>
    <row r="32" ht="17" spans="1:56">
      <c r="A32"/>
      <c r="B32" s="2118"/>
      <c r="C32" s="2119"/>
      <c r="D32" s="2119"/>
      <c r="E32" s="2119"/>
      <c r="F32" s="2119"/>
      <c r="G32" s="2119"/>
      <c r="H32" s="2132"/>
      <c r="I32" s="2132"/>
      <c r="J32" s="2132"/>
      <c r="K32" s="2132"/>
      <c r="L32" s="2145"/>
      <c r="M32" s="2149"/>
      <c r="N32" s="2158" t="s">
        <v>1207</v>
      </c>
      <c r="O32" s="2159" t="s">
        <v>1208</v>
      </c>
      <c r="P32" s="2159"/>
      <c r="Q32" s="2159"/>
      <c r="R32" s="2159"/>
      <c r="S32" s="2159"/>
      <c r="T32" s="2159"/>
      <c r="U32" s="2159"/>
      <c r="V32" s="2159"/>
      <c r="W32" s="2159"/>
      <c r="X32" s="2159"/>
      <c r="Y32" s="2159"/>
      <c r="Z32" s="2171"/>
      <c r="AP32"/>
      <c r="AQ32"/>
      <c r="AR32"/>
      <c r="AS32"/>
      <c r="AT32"/>
      <c r="AU32"/>
      <c r="AV32"/>
      <c r="AW32"/>
      <c r="AX32"/>
      <c r="AY32"/>
      <c r="AZ32"/>
      <c r="BA32"/>
      <c r="BB32"/>
      <c r="BC32"/>
      <c r="BD32"/>
    </row>
    <row r="33" spans="1:56">
      <c r="A33"/>
      <c r="B33" s="2118"/>
      <c r="C33" s="2119"/>
      <c r="D33" s="2119"/>
      <c r="E33" s="2119"/>
      <c r="F33" s="2119"/>
      <c r="G33" s="2119"/>
      <c r="H33" s="2132"/>
      <c r="I33" s="2132"/>
      <c r="J33" s="2132"/>
      <c r="K33" s="2132"/>
      <c r="L33" s="2145"/>
      <c r="M33" s="2149"/>
      <c r="N33" s="2158"/>
      <c r="O33" s="2162"/>
      <c r="P33" s="2162"/>
      <c r="Q33" s="2162"/>
      <c r="R33" s="2162"/>
      <c r="S33" s="2162"/>
      <c r="T33" s="2162"/>
      <c r="U33" s="2162"/>
      <c r="V33" s="2162"/>
      <c r="W33" s="2162"/>
      <c r="X33" s="2162"/>
      <c r="Y33" s="2162"/>
      <c r="Z33" s="2172"/>
      <c r="AP33"/>
      <c r="AQ33"/>
      <c r="AR33"/>
      <c r="AS33"/>
      <c r="AT33"/>
      <c r="AU33"/>
      <c r="AV33"/>
      <c r="AW33"/>
      <c r="AX33"/>
      <c r="AY33"/>
      <c r="AZ33"/>
      <c r="BA33"/>
      <c r="BB33"/>
      <c r="BC33"/>
      <c r="BD33"/>
    </row>
    <row r="34" ht="34" spans="1:56">
      <c r="A34"/>
      <c r="B34" s="2118"/>
      <c r="C34" s="2119"/>
      <c r="D34" s="2119"/>
      <c r="E34" s="2119"/>
      <c r="F34" s="2119"/>
      <c r="G34" s="2119"/>
      <c r="H34" s="2132"/>
      <c r="I34" s="2132"/>
      <c r="J34" s="2132"/>
      <c r="K34" s="2132"/>
      <c r="L34" s="2145"/>
      <c r="M34" s="2149"/>
      <c r="N34" s="2158" t="s">
        <v>1209</v>
      </c>
      <c r="O34" s="2159" t="s">
        <v>1210</v>
      </c>
      <c r="P34" s="2159"/>
      <c r="Q34" s="2159"/>
      <c r="R34" s="2159"/>
      <c r="S34" s="2159"/>
      <c r="T34" s="2159"/>
      <c r="U34" s="2159"/>
      <c r="V34" s="2159"/>
      <c r="W34" s="2159"/>
      <c r="X34" s="2159"/>
      <c r="Y34" s="2159"/>
      <c r="Z34" s="2171"/>
      <c r="AP34"/>
      <c r="AQ34"/>
      <c r="AR34"/>
      <c r="AS34"/>
      <c r="AT34"/>
      <c r="AU34"/>
      <c r="AV34"/>
      <c r="AW34"/>
      <c r="AX34"/>
      <c r="AY34"/>
      <c r="AZ34"/>
      <c r="BA34"/>
      <c r="BB34"/>
      <c r="BC34"/>
      <c r="BD34"/>
    </row>
    <row r="35" spans="1:56">
      <c r="A35"/>
      <c r="B35" s="2118"/>
      <c r="C35" s="2119"/>
      <c r="D35" s="2119"/>
      <c r="E35" s="2119"/>
      <c r="F35" s="2119"/>
      <c r="G35" s="2119"/>
      <c r="H35" s="2132"/>
      <c r="I35" s="2132"/>
      <c r="J35" s="2132"/>
      <c r="K35" s="2132"/>
      <c r="L35" s="2145"/>
      <c r="M35" s="2149"/>
      <c r="N35" s="2160"/>
      <c r="O35" s="2159"/>
      <c r="P35" s="2159"/>
      <c r="Q35" s="2159"/>
      <c r="R35" s="2159"/>
      <c r="S35" s="2159"/>
      <c r="T35" s="2159"/>
      <c r="U35" s="2159"/>
      <c r="V35" s="2159"/>
      <c r="W35" s="2159"/>
      <c r="X35" s="2159"/>
      <c r="Y35" s="2159"/>
      <c r="Z35" s="2171"/>
      <c r="AP35"/>
      <c r="AQ35"/>
      <c r="AR35"/>
      <c r="AS35"/>
      <c r="AT35"/>
      <c r="AU35"/>
      <c r="AV35"/>
      <c r="AW35"/>
      <c r="AX35"/>
      <c r="AY35"/>
      <c r="AZ35"/>
      <c r="BA35"/>
      <c r="BB35"/>
      <c r="BC35"/>
      <c r="BD35"/>
    </row>
    <row r="36" spans="1:56">
      <c r="A36"/>
      <c r="B36" s="2118"/>
      <c r="C36" s="2119"/>
      <c r="D36" s="2119"/>
      <c r="E36" s="2119"/>
      <c r="F36" s="2119"/>
      <c r="G36" s="2119"/>
      <c r="H36" s="2132"/>
      <c r="I36" s="2132"/>
      <c r="J36" s="2132"/>
      <c r="K36" s="2132"/>
      <c r="L36" s="2145"/>
      <c r="M36" s="2149"/>
      <c r="N36" s="2160" t="s">
        <v>1211</v>
      </c>
      <c r="O36" s="2159" t="s">
        <v>1212</v>
      </c>
      <c r="P36" s="2159"/>
      <c r="Q36" s="2159"/>
      <c r="R36" s="2159"/>
      <c r="S36" s="2159"/>
      <c r="T36" s="2159"/>
      <c r="U36" s="2159"/>
      <c r="V36" s="2159"/>
      <c r="W36" s="2159"/>
      <c r="X36" s="2159"/>
      <c r="Y36" s="2159"/>
      <c r="Z36" s="2171"/>
      <c r="AP36"/>
      <c r="AQ36"/>
      <c r="AR36"/>
      <c r="AS36"/>
      <c r="AT36"/>
      <c r="AU36"/>
      <c r="AV36"/>
      <c r="AW36"/>
      <c r="AX36"/>
      <c r="AY36"/>
      <c r="AZ36"/>
      <c r="BA36"/>
      <c r="BB36"/>
      <c r="BC36"/>
      <c r="BD36"/>
    </row>
    <row r="37" spans="1:56">
      <c r="A37"/>
      <c r="B37" s="2118"/>
      <c r="C37" s="2119"/>
      <c r="D37" s="2119"/>
      <c r="E37" s="2119"/>
      <c r="F37" s="2119"/>
      <c r="G37" s="2119"/>
      <c r="H37" s="2132"/>
      <c r="I37" s="2132"/>
      <c r="J37" s="2132"/>
      <c r="K37" s="2132"/>
      <c r="L37" s="2145"/>
      <c r="M37" s="2149"/>
      <c r="N37" s="2160"/>
      <c r="O37" s="2159"/>
      <c r="P37" s="2159"/>
      <c r="Q37" s="2159"/>
      <c r="R37" s="2159"/>
      <c r="S37" s="2159"/>
      <c r="T37" s="2159"/>
      <c r="U37" s="2159"/>
      <c r="V37" s="2159"/>
      <c r="W37" s="2159"/>
      <c r="X37" s="2159"/>
      <c r="Y37" s="2159"/>
      <c r="Z37" s="2171"/>
      <c r="AP37"/>
      <c r="AQ37"/>
      <c r="AR37"/>
      <c r="AS37"/>
      <c r="AT37"/>
      <c r="AU37"/>
      <c r="AV37"/>
      <c r="AW37"/>
      <c r="AX37"/>
      <c r="AY37"/>
      <c r="AZ37"/>
      <c r="BA37"/>
      <c r="BB37"/>
      <c r="BC37"/>
      <c r="BD37"/>
    </row>
    <row r="38" spans="1:56">
      <c r="A38"/>
      <c r="B38" s="2118"/>
      <c r="C38" s="2119"/>
      <c r="D38" s="2119"/>
      <c r="E38" s="2119"/>
      <c r="F38" s="2119"/>
      <c r="G38" s="2119"/>
      <c r="H38" s="2132"/>
      <c r="I38" s="2132"/>
      <c r="J38" s="2132"/>
      <c r="K38" s="2132"/>
      <c r="L38" s="2145"/>
      <c r="M38" s="2149"/>
      <c r="N38" s="2160"/>
      <c r="O38" s="2159"/>
      <c r="P38" s="2159"/>
      <c r="Q38" s="2159"/>
      <c r="R38" s="2159"/>
      <c r="S38" s="2159"/>
      <c r="T38" s="2159"/>
      <c r="U38" s="2159"/>
      <c r="V38" s="2159"/>
      <c r="W38" s="2159"/>
      <c r="X38" s="2159"/>
      <c r="Y38" s="2159"/>
      <c r="Z38" s="2171"/>
      <c r="AP38"/>
      <c r="AQ38"/>
      <c r="AR38"/>
      <c r="AS38"/>
      <c r="AT38"/>
      <c r="AU38"/>
      <c r="AV38"/>
      <c r="AW38"/>
      <c r="AX38"/>
      <c r="AY38"/>
      <c r="AZ38"/>
      <c r="BA38"/>
      <c r="BB38"/>
      <c r="BC38"/>
      <c r="BD38"/>
    </row>
    <row r="39" ht="17.6" spans="1:56">
      <c r="A39"/>
      <c r="B39" s="2111" t="s">
        <v>1213</v>
      </c>
      <c r="C39" s="2112"/>
      <c r="D39" s="2112"/>
      <c r="E39" s="2112"/>
      <c r="F39" s="2112"/>
      <c r="G39" s="2112"/>
      <c r="H39" s="2112"/>
      <c r="I39" s="2112"/>
      <c r="J39" s="2112"/>
      <c r="K39" s="2112"/>
      <c r="L39" s="2134"/>
      <c r="M39" s="2149"/>
      <c r="N39" s="2160" t="s">
        <v>1214</v>
      </c>
      <c r="O39" s="2159" t="s">
        <v>1215</v>
      </c>
      <c r="P39" s="2157"/>
      <c r="Q39" s="2157"/>
      <c r="R39" s="2157"/>
      <c r="S39" s="2157"/>
      <c r="T39" s="2157"/>
      <c r="U39" s="2157"/>
      <c r="V39" s="2157"/>
      <c r="W39" s="2157"/>
      <c r="X39" s="2157"/>
      <c r="Y39" s="2157"/>
      <c r="Z39" s="2170"/>
      <c r="AP39"/>
      <c r="AQ39"/>
      <c r="AR39"/>
      <c r="AS39"/>
      <c r="AT39"/>
      <c r="AU39"/>
      <c r="AV39"/>
      <c r="AW39"/>
      <c r="AX39"/>
      <c r="AY39"/>
      <c r="AZ39"/>
      <c r="BA39"/>
      <c r="BB39"/>
      <c r="BC39"/>
      <c r="BD39"/>
    </row>
    <row r="40" spans="1:56">
      <c r="A40"/>
      <c r="B40" s="2121" t="str">
        <f>IF($B4=附表!B213,"",VLOOKUP($B4,附表!B95:K212,5,FALSE))</f>
        <v>·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v>
      </c>
      <c r="C40" s="2122"/>
      <c r="D40" s="2122"/>
      <c r="E40" s="2122"/>
      <c r="F40" s="2122"/>
      <c r="G40" s="2122"/>
      <c r="H40" s="2122"/>
      <c r="I40" s="2122"/>
      <c r="J40" s="2122"/>
      <c r="K40" s="2122"/>
      <c r="L40" s="2146"/>
      <c r="M40" s="2149"/>
      <c r="N40" s="2160"/>
      <c r="O40" s="2157"/>
      <c r="P40" s="2157"/>
      <c r="Q40" s="2157"/>
      <c r="R40" s="2157"/>
      <c r="S40" s="2157"/>
      <c r="T40" s="2157"/>
      <c r="U40" s="2157"/>
      <c r="V40" s="2157"/>
      <c r="W40" s="2157"/>
      <c r="X40" s="2157"/>
      <c r="Y40" s="2157"/>
      <c r="Z40" s="2170"/>
      <c r="AP40"/>
      <c r="AQ40"/>
      <c r="AR40"/>
      <c r="AS40"/>
      <c r="AT40"/>
      <c r="AU40"/>
      <c r="AV40"/>
      <c r="AW40"/>
      <c r="AX40"/>
      <c r="AY40"/>
      <c r="AZ40"/>
      <c r="BA40"/>
      <c r="BB40"/>
      <c r="BC40"/>
      <c r="BD40"/>
    </row>
    <row r="41" spans="1:56">
      <c r="A41"/>
      <c r="B41" s="2123"/>
      <c r="C41" s="2124"/>
      <c r="D41" s="2124"/>
      <c r="E41" s="2124"/>
      <c r="F41" s="2124"/>
      <c r="G41" s="2124"/>
      <c r="H41" s="2124"/>
      <c r="I41" s="2124"/>
      <c r="J41" s="2124"/>
      <c r="K41" s="2124"/>
      <c r="L41" s="2147"/>
      <c r="M41" s="2149"/>
      <c r="N41" s="2160"/>
      <c r="O41" s="2159"/>
      <c r="P41" s="2159"/>
      <c r="Q41" s="2159"/>
      <c r="R41" s="2159"/>
      <c r="S41" s="2159"/>
      <c r="T41" s="2159"/>
      <c r="U41" s="2159"/>
      <c r="V41" s="2159"/>
      <c r="W41" s="2159"/>
      <c r="X41" s="2159"/>
      <c r="Y41" s="2159"/>
      <c r="Z41" s="2171"/>
      <c r="AP41"/>
      <c r="AQ41"/>
      <c r="AR41"/>
      <c r="AS41"/>
      <c r="AT41"/>
      <c r="AU41"/>
      <c r="AV41"/>
      <c r="AW41"/>
      <c r="AX41"/>
      <c r="AY41"/>
      <c r="AZ41"/>
      <c r="BA41"/>
      <c r="BB41"/>
      <c r="BC41"/>
      <c r="BD41"/>
    </row>
    <row r="42" spans="1:56">
      <c r="A42"/>
      <c r="B42" s="2123"/>
      <c r="C42" s="2124"/>
      <c r="D42" s="2124"/>
      <c r="E42" s="2124"/>
      <c r="F42" s="2124"/>
      <c r="G42" s="2124"/>
      <c r="H42" s="2124"/>
      <c r="I42" s="2124"/>
      <c r="J42" s="2124"/>
      <c r="K42" s="2124"/>
      <c r="L42" s="2147"/>
      <c r="M42" s="2149"/>
      <c r="N42" s="2160"/>
      <c r="O42" s="2159"/>
      <c r="P42" s="2159"/>
      <c r="Q42" s="2159"/>
      <c r="R42" s="2159"/>
      <c r="S42" s="2159"/>
      <c r="T42" s="2159"/>
      <c r="U42" s="2159"/>
      <c r="V42" s="2159"/>
      <c r="W42" s="2159"/>
      <c r="X42" s="2159"/>
      <c r="Y42" s="2159"/>
      <c r="Z42" s="2171"/>
      <c r="AP42"/>
      <c r="AQ42"/>
      <c r="AR42"/>
      <c r="AS42"/>
      <c r="AT42"/>
      <c r="AU42"/>
      <c r="AV42"/>
      <c r="AW42"/>
      <c r="AX42"/>
      <c r="AY42"/>
      <c r="AZ42"/>
      <c r="BA42"/>
      <c r="BB42"/>
      <c r="BC42"/>
      <c r="BD42"/>
    </row>
    <row r="43" ht="17" customHeight="1" spans="1:56">
      <c r="A43"/>
      <c r="B43" s="2123"/>
      <c r="C43" s="2124"/>
      <c r="D43" s="2124"/>
      <c r="E43" s="2124"/>
      <c r="F43" s="2124"/>
      <c r="G43" s="2124"/>
      <c r="H43" s="2124"/>
      <c r="I43" s="2124"/>
      <c r="J43" s="2124"/>
      <c r="K43" s="2124"/>
      <c r="L43" s="2147"/>
      <c r="M43" s="2149"/>
      <c r="N43" s="2164" t="s">
        <v>1216</v>
      </c>
      <c r="O43" s="2165" t="s">
        <v>1217</v>
      </c>
      <c r="P43" s="2165"/>
      <c r="Q43" s="2165"/>
      <c r="R43" s="2165"/>
      <c r="S43" s="2165"/>
      <c r="T43" s="2165"/>
      <c r="U43" s="2165"/>
      <c r="V43" s="2165"/>
      <c r="W43" s="2165"/>
      <c r="X43" s="2165"/>
      <c r="Y43" s="2165"/>
      <c r="Z43" s="2175"/>
      <c r="AP43"/>
      <c r="AQ43"/>
      <c r="AR43"/>
      <c r="AS43"/>
      <c r="AT43"/>
      <c r="AU43"/>
      <c r="AV43"/>
      <c r="AW43"/>
      <c r="AX43"/>
      <c r="AY43"/>
      <c r="AZ43"/>
      <c r="BA43"/>
      <c r="BB43"/>
      <c r="BC43"/>
      <c r="BD43"/>
    </row>
    <row r="44" ht="17" customHeight="1" spans="1:56">
      <c r="A44"/>
      <c r="B44" s="2123"/>
      <c r="C44" s="2124"/>
      <c r="D44" s="2124"/>
      <c r="E44" s="2124"/>
      <c r="F44" s="2124"/>
      <c r="G44" s="2124"/>
      <c r="H44" s="2124"/>
      <c r="I44" s="2124"/>
      <c r="J44" s="2124"/>
      <c r="K44" s="2124"/>
      <c r="L44" s="2147"/>
      <c r="M44"/>
      <c r="AP44"/>
      <c r="AQ44"/>
      <c r="AR44"/>
      <c r="AS44"/>
      <c r="AT44"/>
      <c r="AU44"/>
      <c r="AV44"/>
      <c r="AW44"/>
      <c r="AX44"/>
      <c r="AY44"/>
      <c r="AZ44"/>
      <c r="BA44"/>
      <c r="BB44"/>
      <c r="BC44"/>
      <c r="BD44"/>
    </row>
    <row r="45" spans="2:56">
      <c r="B45" s="2123"/>
      <c r="C45" s="2124"/>
      <c r="D45" s="2124"/>
      <c r="E45" s="2124"/>
      <c r="F45" s="2124"/>
      <c r="G45" s="2124"/>
      <c r="H45" s="2124"/>
      <c r="I45" s="2124"/>
      <c r="J45" s="2124"/>
      <c r="K45" s="2124"/>
      <c r="L45" s="2147"/>
      <c r="O45" s="2166" t="s">
        <v>340</v>
      </c>
      <c r="P45" s="2166"/>
      <c r="Q45" s="2166"/>
      <c r="R45" s="2166"/>
      <c r="S45" s="2166"/>
      <c r="T45" s="2166"/>
      <c r="U45" s="2166"/>
      <c r="V45" s="2166"/>
      <c r="W45" s="2166"/>
      <c r="X45" s="2166"/>
      <c r="Y45" s="2166"/>
      <c r="AP45"/>
      <c r="AQ45"/>
      <c r="AR45"/>
      <c r="AS45"/>
      <c r="AT45"/>
      <c r="AU45"/>
      <c r="AV45"/>
      <c r="AW45"/>
      <c r="AX45"/>
      <c r="AY45"/>
      <c r="AZ45"/>
      <c r="BA45"/>
      <c r="BB45"/>
      <c r="BC45"/>
      <c r="BD45"/>
    </row>
    <row r="46" spans="2:56">
      <c r="B46" s="2123"/>
      <c r="C46" s="2124"/>
      <c r="D46" s="2124"/>
      <c r="E46" s="2124"/>
      <c r="F46" s="2124"/>
      <c r="G46" s="2124"/>
      <c r="H46" s="2124"/>
      <c r="I46" s="2124"/>
      <c r="J46" s="2124"/>
      <c r="K46" s="2124"/>
      <c r="L46" s="2147"/>
      <c r="AP46"/>
      <c r="AQ46"/>
      <c r="AR46"/>
      <c r="AS46"/>
      <c r="AT46"/>
      <c r="AU46"/>
      <c r="AV46"/>
      <c r="AW46"/>
      <c r="AX46"/>
      <c r="AY46"/>
      <c r="AZ46"/>
      <c r="BA46"/>
      <c r="BB46"/>
      <c r="BC46"/>
      <c r="BD46"/>
    </row>
    <row r="47" spans="2:56">
      <c r="B47" s="2123"/>
      <c r="C47" s="2124"/>
      <c r="D47" s="2124"/>
      <c r="E47" s="2124"/>
      <c r="F47" s="2124"/>
      <c r="G47" s="2124"/>
      <c r="H47" s="2124"/>
      <c r="I47" s="2124"/>
      <c r="J47" s="2124"/>
      <c r="K47" s="2124"/>
      <c r="L47" s="2147"/>
      <c r="AP47"/>
      <c r="AQ47"/>
      <c r="AR47"/>
      <c r="AS47"/>
      <c r="AT47"/>
      <c r="AU47"/>
      <c r="AV47"/>
      <c r="AW47"/>
      <c r="AX47"/>
      <c r="AY47"/>
      <c r="AZ47"/>
      <c r="BA47"/>
      <c r="BB47"/>
      <c r="BC47"/>
      <c r="BD47"/>
    </row>
    <row r="48" spans="2:12">
      <c r="B48" s="2123"/>
      <c r="C48" s="2124"/>
      <c r="D48" s="2124"/>
      <c r="E48" s="2124"/>
      <c r="F48" s="2124"/>
      <c r="G48" s="2124"/>
      <c r="H48" s="2124"/>
      <c r="I48" s="2124"/>
      <c r="J48" s="2124"/>
      <c r="K48" s="2124"/>
      <c r="L48" s="2147"/>
    </row>
    <row r="49" spans="2:12">
      <c r="B49" s="2123"/>
      <c r="C49" s="2124"/>
      <c r="D49" s="2124"/>
      <c r="E49" s="2124"/>
      <c r="F49" s="2124"/>
      <c r="G49" s="2124"/>
      <c r="H49" s="2124"/>
      <c r="I49" s="2124"/>
      <c r="J49" s="2124"/>
      <c r="K49" s="2124"/>
      <c r="L49" s="2147"/>
    </row>
    <row r="50" ht="16.5" customHeight="1" spans="2:12">
      <c r="B50" s="2123"/>
      <c r="C50" s="2124"/>
      <c r="D50" s="2124"/>
      <c r="E50" s="2124"/>
      <c r="F50" s="2124"/>
      <c r="G50" s="2124"/>
      <c r="H50" s="2124"/>
      <c r="I50" s="2124"/>
      <c r="J50" s="2124"/>
      <c r="K50" s="2124"/>
      <c r="L50" s="2147"/>
    </row>
    <row r="51" ht="16.5" customHeight="1" spans="2:12">
      <c r="B51" s="2123"/>
      <c r="C51" s="2124"/>
      <c r="D51" s="2124"/>
      <c r="E51" s="2124"/>
      <c r="F51" s="2124"/>
      <c r="G51" s="2124"/>
      <c r="H51" s="2124"/>
      <c r="I51" s="2124"/>
      <c r="J51" s="2124"/>
      <c r="K51" s="2124"/>
      <c r="L51" s="2147"/>
    </row>
    <row r="52" ht="16.5" customHeight="1" spans="2:12">
      <c r="B52" s="2123"/>
      <c r="C52" s="2124"/>
      <c r="D52" s="2124"/>
      <c r="E52" s="2124"/>
      <c r="F52" s="2124"/>
      <c r="G52" s="2124"/>
      <c r="H52" s="2124"/>
      <c r="I52" s="2124"/>
      <c r="J52" s="2124"/>
      <c r="K52" s="2124"/>
      <c r="L52" s="2147"/>
    </row>
    <row r="53" ht="16.5" customHeight="1" spans="2:12">
      <c r="B53" s="2123"/>
      <c r="C53" s="2124"/>
      <c r="D53" s="2124"/>
      <c r="E53" s="2124"/>
      <c r="F53" s="2124"/>
      <c r="G53" s="2124"/>
      <c r="H53" s="2124"/>
      <c r="I53" s="2124"/>
      <c r="J53" s="2124"/>
      <c r="K53" s="2124"/>
      <c r="L53" s="2147"/>
    </row>
    <row r="54" ht="16.5" customHeight="1" spans="2:12">
      <c r="B54" s="2123"/>
      <c r="C54" s="2124"/>
      <c r="D54" s="2124"/>
      <c r="E54" s="2124"/>
      <c r="F54" s="2124"/>
      <c r="G54" s="2124"/>
      <c r="H54" s="2124"/>
      <c r="I54" s="2124"/>
      <c r="J54" s="2124"/>
      <c r="K54" s="2124"/>
      <c r="L54" s="2147"/>
    </row>
    <row r="55" ht="16.5" customHeight="1" spans="2:12">
      <c r="B55" s="2123"/>
      <c r="C55" s="2124"/>
      <c r="D55" s="2124"/>
      <c r="E55" s="2124"/>
      <c r="F55" s="2124"/>
      <c r="G55" s="2124"/>
      <c r="H55" s="2124"/>
      <c r="I55" s="2124"/>
      <c r="J55" s="2124"/>
      <c r="K55" s="2124"/>
      <c r="L55" s="2147"/>
    </row>
    <row r="56" ht="16.5" customHeight="1" spans="2:12">
      <c r="B56" s="2123"/>
      <c r="C56" s="2124"/>
      <c r="D56" s="2124"/>
      <c r="E56" s="2124"/>
      <c r="F56" s="2124"/>
      <c r="G56" s="2124"/>
      <c r="H56" s="2124"/>
      <c r="I56" s="2124"/>
      <c r="J56" s="2124"/>
      <c r="K56" s="2124"/>
      <c r="L56" s="2147"/>
    </row>
    <row r="57" ht="16.5" customHeight="1" spans="2:12">
      <c r="B57" s="2123"/>
      <c r="C57" s="2124"/>
      <c r="D57" s="2124"/>
      <c r="E57" s="2124"/>
      <c r="F57" s="2124"/>
      <c r="G57" s="2124"/>
      <c r="H57" s="2124"/>
      <c r="I57" s="2124"/>
      <c r="J57" s="2124"/>
      <c r="K57" s="2124"/>
      <c r="L57" s="2147"/>
    </row>
    <row r="58" ht="16.5" customHeight="1" spans="2:12">
      <c r="B58" s="2123"/>
      <c r="C58" s="2124"/>
      <c r="D58" s="2124"/>
      <c r="E58" s="2124"/>
      <c r="F58" s="2124"/>
      <c r="G58" s="2124"/>
      <c r="H58" s="2124"/>
      <c r="I58" s="2124"/>
      <c r="J58" s="2124"/>
      <c r="K58" s="2124"/>
      <c r="L58" s="2147"/>
    </row>
    <row r="59" ht="16.5" customHeight="1" spans="2:12">
      <c r="B59" s="2123"/>
      <c r="C59" s="2124"/>
      <c r="D59" s="2124"/>
      <c r="E59" s="2124"/>
      <c r="F59" s="2124"/>
      <c r="G59" s="2124"/>
      <c r="H59" s="2124"/>
      <c r="I59" s="2124"/>
      <c r="J59" s="2124"/>
      <c r="K59" s="2124"/>
      <c r="L59" s="2147"/>
    </row>
    <row r="60" ht="16.5" customHeight="1" spans="2:12">
      <c r="B60" s="2125"/>
      <c r="C60" s="2126"/>
      <c r="D60" s="2126"/>
      <c r="E60" s="2126"/>
      <c r="F60" s="2126"/>
      <c r="G60" s="2126"/>
      <c r="H60" s="2126"/>
      <c r="I60" s="2126"/>
      <c r="J60" s="2126"/>
      <c r="K60" s="2126"/>
      <c r="L60" s="2148"/>
    </row>
    <row r="61" ht="16.5" customHeight="1" spans="2:12">
      <c r="B61" s="2127"/>
      <c r="C61" s="2127"/>
      <c r="D61" s="2127"/>
      <c r="E61" s="2127"/>
      <c r="F61" s="2127"/>
      <c r="G61" s="2127"/>
      <c r="H61" s="2127"/>
      <c r="I61" s="2127"/>
      <c r="J61" s="2127"/>
      <c r="K61" s="2127"/>
      <c r="L61" s="2127"/>
    </row>
    <row r="62" ht="16.5" customHeight="1"/>
    <row r="63" ht="16.5" customHeight="1"/>
    <row r="64" ht="16.5" customHeight="1" spans="2:26">
      <c r="B64" s="2128" t="s">
        <v>1218</v>
      </c>
      <c r="C64" s="2129"/>
      <c r="D64" s="2129"/>
      <c r="E64" s="2129"/>
      <c r="F64" s="2129"/>
      <c r="G64" s="2129"/>
      <c r="H64" s="2129"/>
      <c r="I64" s="2129"/>
      <c r="J64" s="2129"/>
      <c r="K64" s="2129"/>
      <c r="L64" s="2129"/>
      <c r="M64" s="2129"/>
      <c r="N64" s="2129"/>
      <c r="O64" s="2129"/>
      <c r="P64" s="2129"/>
      <c r="Q64" s="2129"/>
      <c r="R64" s="2129"/>
      <c r="S64" s="2129"/>
      <c r="T64" s="2129"/>
      <c r="U64" s="2129"/>
      <c r="V64" s="2129"/>
      <c r="W64" s="2129"/>
      <c r="X64" s="2129"/>
      <c r="Y64" s="2129"/>
      <c r="Z64" s="2176"/>
    </row>
    <row r="65" ht="16.5" customHeight="1" spans="2:26">
      <c r="B65" s="2177"/>
      <c r="C65" s="2178"/>
      <c r="D65" s="2178"/>
      <c r="E65" s="2178"/>
      <c r="F65" s="2178"/>
      <c r="G65" s="2178"/>
      <c r="H65" s="2178"/>
      <c r="I65" s="2178"/>
      <c r="J65" s="2178"/>
      <c r="K65" s="2178"/>
      <c r="L65" s="2178"/>
      <c r="M65" s="2178"/>
      <c r="N65" s="2178"/>
      <c r="O65" s="2178"/>
      <c r="P65" s="2178"/>
      <c r="Q65" s="2178"/>
      <c r="R65" s="2178"/>
      <c r="S65" s="2178"/>
      <c r="T65" s="2178"/>
      <c r="U65" s="2178"/>
      <c r="V65" s="2178"/>
      <c r="W65" s="2178"/>
      <c r="X65" s="2178"/>
      <c r="Y65" s="2178"/>
      <c r="Z65" s="2248"/>
    </row>
    <row r="66" ht="16.5" customHeight="1" spans="2:26">
      <c r="B66" s="2179"/>
      <c r="C66" s="2180"/>
      <c r="D66" s="2180"/>
      <c r="E66" s="2180"/>
      <c r="F66" s="2180"/>
      <c r="G66" s="2180"/>
      <c r="H66" s="2180"/>
      <c r="I66" s="2180"/>
      <c r="J66" s="2180"/>
      <c r="K66" s="2180"/>
      <c r="L66" s="2180"/>
      <c r="M66" s="2180"/>
      <c r="N66" s="2180"/>
      <c r="O66" s="2180"/>
      <c r="P66" s="2180"/>
      <c r="Q66" s="2180"/>
      <c r="R66" s="2180"/>
      <c r="S66" s="2180"/>
      <c r="T66" s="2180"/>
      <c r="U66" s="2180"/>
      <c r="V66" s="2180"/>
      <c r="W66" s="2180"/>
      <c r="X66" s="2180"/>
      <c r="Y66" s="2180"/>
      <c r="Z66" s="2249"/>
    </row>
    <row r="67" ht="16.5" customHeight="1"/>
    <row r="68" ht="16.5" customHeight="1" spans="2:26">
      <c r="B68" s="2181" t="s">
        <v>1219</v>
      </c>
      <c r="C68" s="2182"/>
      <c r="D68" s="2182"/>
      <c r="E68" s="2182"/>
      <c r="F68" s="2182"/>
      <c r="G68" s="2182"/>
      <c r="H68" s="2182"/>
      <c r="I68" s="2182"/>
      <c r="J68" s="2182"/>
      <c r="K68" s="2182"/>
      <c r="L68" s="2182"/>
      <c r="M68" s="2182"/>
      <c r="N68" s="2182"/>
      <c r="O68" s="2182"/>
      <c r="P68" s="2182"/>
      <c r="Q68" s="2182"/>
      <c r="R68" s="2182"/>
      <c r="S68" s="2182"/>
      <c r="T68" s="2182"/>
      <c r="U68" s="2182"/>
      <c r="V68" s="2182"/>
      <c r="W68" s="2182"/>
      <c r="X68" s="2182"/>
      <c r="Y68" s="2182"/>
      <c r="Z68" s="2212"/>
    </row>
    <row r="69" ht="16.5" customHeight="1" spans="2:26">
      <c r="B69" s="2183"/>
      <c r="C69" s="2184"/>
      <c r="D69" s="2184"/>
      <c r="E69" s="2184"/>
      <c r="F69" s="2184"/>
      <c r="G69" s="2184"/>
      <c r="H69" s="2184"/>
      <c r="I69" s="2184"/>
      <c r="J69" s="2184"/>
      <c r="K69" s="2184"/>
      <c r="L69" s="2184"/>
      <c r="M69" s="2184"/>
      <c r="N69" s="2184"/>
      <c r="O69" s="2184"/>
      <c r="P69" s="2184"/>
      <c r="Q69" s="2184"/>
      <c r="R69" s="2184"/>
      <c r="S69" s="2184"/>
      <c r="T69" s="2184"/>
      <c r="U69" s="2184"/>
      <c r="V69" s="2184"/>
      <c r="W69" s="2184"/>
      <c r="X69" s="2184"/>
      <c r="Y69" s="2184"/>
      <c r="Z69" s="2250"/>
    </row>
    <row r="70" ht="16.5" customHeight="1" spans="2:26">
      <c r="B70" s="2185" t="s">
        <v>1220</v>
      </c>
      <c r="C70" s="2186"/>
      <c r="D70" s="2186"/>
      <c r="E70" s="2186"/>
      <c r="F70" s="2186"/>
      <c r="G70" s="2186"/>
      <c r="H70" s="2186"/>
      <c r="I70" s="2186"/>
      <c r="J70" s="2186"/>
      <c r="K70" s="2186"/>
      <c r="L70" s="2186"/>
      <c r="M70" s="2230"/>
      <c r="O70" s="2187" t="s">
        <v>1221</v>
      </c>
      <c r="P70" s="2188"/>
      <c r="Q70" s="2188"/>
      <c r="R70" s="2188"/>
      <c r="S70" s="2188"/>
      <c r="T70" s="2188"/>
      <c r="U70" s="2188"/>
      <c r="V70" s="2188"/>
      <c r="W70" s="2188"/>
      <c r="X70" s="2188"/>
      <c r="Y70" s="2188"/>
      <c r="Z70" s="2231"/>
    </row>
    <row r="71" ht="16.5" customHeight="1" spans="2:26">
      <c r="B71" s="2187"/>
      <c r="C71" s="2188"/>
      <c r="D71" s="2188"/>
      <c r="E71" s="2188"/>
      <c r="F71" s="2188"/>
      <c r="G71" s="2188"/>
      <c r="H71" s="2188"/>
      <c r="I71" s="2188"/>
      <c r="J71" s="2188"/>
      <c r="K71" s="2188"/>
      <c r="L71" s="2188"/>
      <c r="M71" s="2231"/>
      <c r="O71" s="2232"/>
      <c r="P71" s="2233"/>
      <c r="Q71" s="2233"/>
      <c r="R71" s="2233"/>
      <c r="S71" s="2233"/>
      <c r="T71" s="2233"/>
      <c r="U71" s="2233"/>
      <c r="V71" s="2233"/>
      <c r="W71" s="2233"/>
      <c r="X71" s="2233"/>
      <c r="Y71" s="2233"/>
      <c r="Z71" s="2251"/>
    </row>
    <row r="72" ht="16.5" customHeight="1" spans="2:26">
      <c r="B72" s="97" t="s">
        <v>1222</v>
      </c>
      <c r="C72" s="2189"/>
      <c r="D72" s="2189"/>
      <c r="E72" s="2189"/>
      <c r="F72" s="2189"/>
      <c r="G72" s="2189"/>
      <c r="H72" s="2208" t="s">
        <v>1223</v>
      </c>
      <c r="I72" s="2189"/>
      <c r="J72" s="2189"/>
      <c r="K72" s="2189"/>
      <c r="L72" s="2189"/>
      <c r="M72" s="98"/>
      <c r="O72" s="99" t="s">
        <v>1224</v>
      </c>
      <c r="P72" s="1098"/>
      <c r="Q72" s="1098"/>
      <c r="R72" s="1098"/>
      <c r="S72" s="1098"/>
      <c r="T72" s="2242"/>
      <c r="U72" s="1098" t="s">
        <v>1225</v>
      </c>
      <c r="V72" s="1098"/>
      <c r="W72" s="1098"/>
      <c r="X72" s="1098"/>
      <c r="Y72" s="1098"/>
      <c r="Z72" s="100"/>
    </row>
    <row r="73" ht="16.5" customHeight="1" spans="2:26">
      <c r="B73" s="99"/>
      <c r="C73" s="1098"/>
      <c r="D73" s="1098"/>
      <c r="E73" s="1098"/>
      <c r="F73" s="1098"/>
      <c r="G73" s="1098"/>
      <c r="H73" s="2209"/>
      <c r="I73" s="1098"/>
      <c r="J73" s="1098"/>
      <c r="K73" s="1098"/>
      <c r="L73" s="1098"/>
      <c r="M73" s="100"/>
      <c r="O73" s="99"/>
      <c r="P73" s="1098"/>
      <c r="Q73" s="1098"/>
      <c r="R73" s="1098"/>
      <c r="S73" s="1098"/>
      <c r="T73" s="2242"/>
      <c r="U73" s="1098"/>
      <c r="V73" s="1098"/>
      <c r="W73" s="1098"/>
      <c r="X73" s="1098"/>
      <c r="Y73" s="1098"/>
      <c r="Z73" s="100"/>
    </row>
    <row r="74" ht="16.5" customHeight="1" spans="2:26">
      <c r="B74" s="99"/>
      <c r="C74" s="1098"/>
      <c r="D74" s="1098"/>
      <c r="E74" s="1098"/>
      <c r="F74" s="1098"/>
      <c r="G74" s="1098"/>
      <c r="H74" s="2209"/>
      <c r="I74" s="1098"/>
      <c r="J74" s="1098"/>
      <c r="K74" s="1098"/>
      <c r="L74" s="1098"/>
      <c r="M74" s="100"/>
      <c r="O74" s="99"/>
      <c r="P74" s="1098"/>
      <c r="Q74" s="1098"/>
      <c r="R74" s="1098"/>
      <c r="S74" s="1098"/>
      <c r="T74" s="2242"/>
      <c r="U74" s="1098"/>
      <c r="V74" s="1098"/>
      <c r="W74" s="1098"/>
      <c r="X74" s="1098"/>
      <c r="Y74" s="1098"/>
      <c r="Z74" s="100"/>
    </row>
    <row r="75" ht="16.5" customHeight="1" spans="2:26">
      <c r="B75" s="2190" t="s">
        <v>1226</v>
      </c>
      <c r="C75" s="2191"/>
      <c r="D75" s="2191"/>
      <c r="E75" s="2191"/>
      <c r="F75" s="2191"/>
      <c r="G75" s="2191"/>
      <c r="H75" s="2210" t="s">
        <v>1227</v>
      </c>
      <c r="I75" s="2191"/>
      <c r="J75" s="2191"/>
      <c r="K75" s="2191"/>
      <c r="L75" s="2191"/>
      <c r="M75" s="2234"/>
      <c r="O75" s="2190" t="s">
        <v>1228</v>
      </c>
      <c r="P75" s="2191"/>
      <c r="Q75" s="2191"/>
      <c r="R75" s="2191"/>
      <c r="S75" s="2191"/>
      <c r="T75" s="2243"/>
      <c r="U75" s="2247" t="s">
        <v>1229</v>
      </c>
      <c r="V75" s="2191"/>
      <c r="W75" s="2191"/>
      <c r="X75" s="2191"/>
      <c r="Y75" s="2191"/>
      <c r="Z75" s="2234"/>
    </row>
    <row r="76" ht="16.5" customHeight="1" spans="2:26">
      <c r="B76" s="2192"/>
      <c r="C76" s="2193"/>
      <c r="D76" s="2193"/>
      <c r="E76" s="2193"/>
      <c r="F76" s="2193"/>
      <c r="G76" s="2193"/>
      <c r="H76" s="2211"/>
      <c r="I76" s="2193"/>
      <c r="J76" s="2193"/>
      <c r="K76" s="2193"/>
      <c r="L76" s="2193"/>
      <c r="M76" s="2235"/>
      <c r="O76" s="2192"/>
      <c r="P76" s="2193"/>
      <c r="Q76" s="2193"/>
      <c r="R76" s="2193"/>
      <c r="S76" s="2193"/>
      <c r="T76" s="2244"/>
      <c r="U76" s="2193"/>
      <c r="V76" s="2193"/>
      <c r="W76" s="2193"/>
      <c r="X76" s="2193"/>
      <c r="Y76" s="2193"/>
      <c r="Z76" s="2235"/>
    </row>
    <row r="77" ht="16.5" customHeight="1" spans="2:26">
      <c r="B77" s="99" t="s">
        <v>1230</v>
      </c>
      <c r="C77" s="1098"/>
      <c r="D77" s="1098"/>
      <c r="E77" s="1098"/>
      <c r="F77" s="1098"/>
      <c r="G77" s="1098"/>
      <c r="H77" s="1098"/>
      <c r="I77" s="1098"/>
      <c r="J77" s="1098"/>
      <c r="K77" s="1098"/>
      <c r="L77" s="1098"/>
      <c r="M77" s="100"/>
      <c r="O77" s="99" t="s">
        <v>1231</v>
      </c>
      <c r="P77" s="1098"/>
      <c r="Q77" s="1098"/>
      <c r="R77" s="1098"/>
      <c r="S77" s="1098"/>
      <c r="T77" s="1098"/>
      <c r="U77" s="1098"/>
      <c r="V77" s="1098"/>
      <c r="W77" s="1098"/>
      <c r="X77" s="1098"/>
      <c r="Y77" s="1098"/>
      <c r="Z77" s="100"/>
    </row>
    <row r="78" ht="16.5" customHeight="1" spans="2:26">
      <c r="B78" s="99"/>
      <c r="C78" s="1098"/>
      <c r="D78" s="1098"/>
      <c r="E78" s="1098"/>
      <c r="F78" s="1098"/>
      <c r="G78" s="1098"/>
      <c r="H78" s="1098"/>
      <c r="I78" s="1098"/>
      <c r="J78" s="1098"/>
      <c r="K78" s="1098"/>
      <c r="L78" s="1098"/>
      <c r="M78" s="100"/>
      <c r="O78" s="99"/>
      <c r="P78" s="1098"/>
      <c r="Q78" s="1098"/>
      <c r="R78" s="1098"/>
      <c r="S78" s="1098"/>
      <c r="T78" s="1098"/>
      <c r="U78" s="1098"/>
      <c r="V78" s="1098"/>
      <c r="W78" s="1098"/>
      <c r="X78" s="1098"/>
      <c r="Y78" s="1098"/>
      <c r="Z78" s="100"/>
    </row>
    <row r="79" ht="16.5" customHeight="1" spans="2:26">
      <c r="B79" s="99"/>
      <c r="C79" s="1098"/>
      <c r="D79" s="1098"/>
      <c r="E79" s="1098"/>
      <c r="F79" s="1098"/>
      <c r="G79" s="1098"/>
      <c r="H79" s="1098"/>
      <c r="I79" s="1098"/>
      <c r="J79" s="1098"/>
      <c r="K79" s="1098"/>
      <c r="L79" s="1098"/>
      <c r="M79" s="100"/>
      <c r="O79" s="99"/>
      <c r="P79" s="1098"/>
      <c r="Q79" s="1098"/>
      <c r="R79" s="1098"/>
      <c r="S79" s="1098"/>
      <c r="T79" s="1098"/>
      <c r="U79" s="1098"/>
      <c r="V79" s="1098"/>
      <c r="W79" s="1098"/>
      <c r="X79" s="1098"/>
      <c r="Y79" s="1098"/>
      <c r="Z79" s="100"/>
    </row>
    <row r="80" ht="16.5" customHeight="1" spans="2:26">
      <c r="B80" s="101"/>
      <c r="C80" s="2194"/>
      <c r="D80" s="2194"/>
      <c r="E80" s="2194"/>
      <c r="F80" s="2194"/>
      <c r="G80" s="2194"/>
      <c r="H80" s="2194"/>
      <c r="I80" s="2194"/>
      <c r="J80" s="2194"/>
      <c r="K80" s="2194"/>
      <c r="L80" s="2194"/>
      <c r="M80" s="102"/>
      <c r="O80" s="101"/>
      <c r="P80" s="2194"/>
      <c r="Q80" s="2194"/>
      <c r="R80" s="2194"/>
      <c r="S80" s="2194"/>
      <c r="T80" s="2194"/>
      <c r="U80" s="2194"/>
      <c r="V80" s="2194"/>
      <c r="W80" s="2194"/>
      <c r="X80" s="2194"/>
      <c r="Y80" s="2194"/>
      <c r="Z80" s="102"/>
    </row>
    <row r="81" ht="16.5" customHeight="1" spans="2:26">
      <c r="B81" s="2195" t="s">
        <v>1232</v>
      </c>
      <c r="C81" s="2196"/>
      <c r="D81" s="2196"/>
      <c r="E81" s="2196"/>
      <c r="F81" s="2196"/>
      <c r="G81" s="2196"/>
      <c r="H81" s="2196"/>
      <c r="I81" s="2196"/>
      <c r="J81" s="2217"/>
      <c r="K81" s="2218"/>
      <c r="L81" s="2218"/>
      <c r="M81" s="2236"/>
      <c r="N81" s="2236"/>
      <c r="O81" s="2236"/>
      <c r="P81" s="2236"/>
      <c r="Q81" s="2236"/>
      <c r="R81" s="2236"/>
      <c r="S81" s="2236"/>
      <c r="T81" s="2236"/>
      <c r="U81" s="2236"/>
      <c r="V81" s="2236"/>
      <c r="W81" s="2236"/>
      <c r="X81" s="2236"/>
      <c r="Y81" s="2236"/>
      <c r="Z81" s="2236"/>
    </row>
    <row r="82" ht="16.5" customHeight="1" spans="2:27">
      <c r="B82" s="2195"/>
      <c r="C82" s="2196"/>
      <c r="D82" s="2196"/>
      <c r="E82" s="2196"/>
      <c r="F82" s="2196"/>
      <c r="G82" s="2196"/>
      <c r="H82" s="2196"/>
      <c r="I82" s="2196"/>
      <c r="J82" s="2217"/>
      <c r="K82" s="2218"/>
      <c r="L82" s="2218"/>
      <c r="N82" s="2237" t="s">
        <v>1233</v>
      </c>
      <c r="O82" s="2237"/>
      <c r="P82" s="2237"/>
      <c r="Q82" s="2237"/>
      <c r="R82" s="2237"/>
      <c r="S82" s="2237"/>
      <c r="T82" s="2237"/>
      <c r="U82" s="2237"/>
      <c r="V82" s="2237"/>
      <c r="W82" s="2237"/>
      <c r="X82" s="2237"/>
      <c r="Y82" s="2237"/>
      <c r="Z82" s="2237"/>
      <c r="AA82" s="2237"/>
    </row>
    <row r="83" ht="16.5" customHeight="1" spans="2:27">
      <c r="B83" s="2195"/>
      <c r="C83" s="2196"/>
      <c r="D83" s="2196"/>
      <c r="E83" s="2196"/>
      <c r="F83" s="2196"/>
      <c r="G83" s="2196"/>
      <c r="H83" s="2196"/>
      <c r="I83" s="2196"/>
      <c r="J83" s="2217"/>
      <c r="K83" s="2218"/>
      <c r="L83" s="2218"/>
      <c r="N83" s="2237"/>
      <c r="O83" s="2237"/>
      <c r="P83" s="2237"/>
      <c r="Q83" s="2237"/>
      <c r="R83" s="2237"/>
      <c r="S83" s="2237"/>
      <c r="T83" s="2237"/>
      <c r="U83" s="2237"/>
      <c r="V83" s="2237"/>
      <c r="W83" s="2237"/>
      <c r="X83" s="2237"/>
      <c r="Y83" s="2237"/>
      <c r="Z83" s="2237"/>
      <c r="AA83" s="2237"/>
    </row>
    <row r="84" ht="16.5" customHeight="1" spans="2:19">
      <c r="B84" s="2197" t="s">
        <v>1234</v>
      </c>
      <c r="C84" s="2198"/>
      <c r="D84" s="2198"/>
      <c r="E84" s="2198"/>
      <c r="F84" s="2198"/>
      <c r="G84" s="2198"/>
      <c r="H84" s="2198"/>
      <c r="I84" s="2198"/>
      <c r="J84" s="2219"/>
      <c r="K84" s="2220"/>
      <c r="L84" s="2220"/>
      <c r="M84" s="1560"/>
      <c r="N84" s="1560"/>
      <c r="O84" s="1560"/>
      <c r="P84" s="1560"/>
      <c r="Q84" s="1560"/>
      <c r="R84" s="1560"/>
      <c r="S84" s="1560"/>
    </row>
    <row r="85" ht="16.5" customHeight="1" spans="2:19">
      <c r="B85" s="2199" t="s">
        <v>1235</v>
      </c>
      <c r="C85" s="1510"/>
      <c r="D85" s="1510"/>
      <c r="E85" s="1510"/>
      <c r="F85" s="1510"/>
      <c r="G85" s="1510"/>
      <c r="H85" s="1510"/>
      <c r="I85" s="1510"/>
      <c r="J85" s="1549"/>
      <c r="K85" s="1548"/>
      <c r="L85" s="1548"/>
      <c r="M85" s="1"/>
      <c r="N85" s="1"/>
      <c r="O85" s="1"/>
      <c r="P85" s="1"/>
      <c r="Q85" s="1"/>
      <c r="R85" s="1"/>
      <c r="S85" s="1"/>
    </row>
    <row r="86" ht="16.5" customHeight="1" spans="13:19">
      <c r="M86" s="1"/>
      <c r="N86" s="1"/>
      <c r="O86" s="1"/>
      <c r="P86" s="1"/>
      <c r="Q86" s="1"/>
      <c r="R86" s="1"/>
      <c r="S86" s="1"/>
    </row>
    <row r="87" ht="16.5" customHeight="1" spans="13:19">
      <c r="M87" s="1"/>
      <c r="N87" s="1"/>
      <c r="O87" s="1"/>
      <c r="P87" s="1"/>
      <c r="Q87" s="1"/>
      <c r="R87" s="1"/>
      <c r="S87" s="1"/>
    </row>
    <row r="88" ht="16.5" customHeight="1" spans="13:19">
      <c r="M88" s="1"/>
      <c r="N88" s="1"/>
      <c r="O88" s="1"/>
      <c r="P88" s="1"/>
      <c r="Q88" s="1"/>
      <c r="R88" s="1"/>
      <c r="S88" s="1"/>
    </row>
    <row r="89" ht="16.5" customHeight="1" spans="13:19">
      <c r="M89" s="1"/>
      <c r="N89" s="1"/>
      <c r="O89" s="1"/>
      <c r="P89" s="1"/>
      <c r="Q89" s="1"/>
      <c r="R89" s="1"/>
      <c r="S89" s="1"/>
    </row>
    <row r="90" ht="16.5" customHeight="1" spans="13:19">
      <c r="M90" s="1"/>
      <c r="N90" s="1"/>
      <c r="O90" s="1"/>
      <c r="P90" s="1"/>
      <c r="Q90" s="1"/>
      <c r="R90" s="1"/>
      <c r="S90" s="1"/>
    </row>
    <row r="91" ht="16.5" customHeight="1" spans="13:19">
      <c r="M91" s="1"/>
      <c r="N91" s="1"/>
      <c r="O91" s="1"/>
      <c r="P91" s="1"/>
      <c r="Q91" s="1"/>
      <c r="R91" s="1"/>
      <c r="S91" s="1"/>
    </row>
    <row r="92" ht="16.5" customHeight="1" spans="13:29">
      <c r="M92" s="1"/>
      <c r="N92" s="1"/>
      <c r="O92" s="1"/>
      <c r="P92" s="1"/>
      <c r="Q92" s="1"/>
      <c r="R92" s="1"/>
      <c r="S92" s="1"/>
      <c r="AB92" s="2238"/>
      <c r="AC92" s="2238"/>
    </row>
    <row r="93" ht="16.5" customHeight="1" spans="13:29">
      <c r="M93" s="1"/>
      <c r="N93" s="1"/>
      <c r="O93" s="1"/>
      <c r="P93" s="1"/>
      <c r="Q93" s="1"/>
      <c r="R93" s="1"/>
      <c r="S93" s="1"/>
      <c r="AB93" s="2238"/>
      <c r="AC93" s="2238"/>
    </row>
    <row r="94" ht="16.5" customHeight="1" spans="2:26">
      <c r="B94" s="2181" t="s">
        <v>1236</v>
      </c>
      <c r="C94" s="2182"/>
      <c r="D94" s="2182"/>
      <c r="E94" s="2182"/>
      <c r="F94" s="2182"/>
      <c r="G94" s="2182"/>
      <c r="H94" s="2182"/>
      <c r="I94" s="2182"/>
      <c r="J94" s="2212"/>
      <c r="K94" s="2213"/>
      <c r="L94" s="2213"/>
      <c r="O94" s="1"/>
      <c r="P94" s="1"/>
      <c r="Q94" s="1"/>
      <c r="R94" s="1"/>
      <c r="S94" s="1"/>
      <c r="T94" s="1"/>
      <c r="U94" s="1"/>
      <c r="V94" s="1"/>
      <c r="W94" s="1"/>
      <c r="X94" s="1"/>
      <c r="Y94" s="1"/>
      <c r="Z94" s="1"/>
    </row>
    <row r="95" ht="16.5" customHeight="1" spans="2:12">
      <c r="B95" s="2200"/>
      <c r="C95" s="2201"/>
      <c r="D95" s="2201"/>
      <c r="E95" s="2201"/>
      <c r="F95" s="2201"/>
      <c r="G95" s="2201"/>
      <c r="H95" s="2201"/>
      <c r="I95" s="2201"/>
      <c r="J95" s="2214"/>
      <c r="K95" s="2213"/>
      <c r="L95" s="2213"/>
    </row>
    <row r="96" ht="16.5" customHeight="1" spans="2:12">
      <c r="B96" s="2202" t="s">
        <v>1237</v>
      </c>
      <c r="C96" s="2203"/>
      <c r="D96" s="2203"/>
      <c r="E96" s="2203"/>
      <c r="F96" s="2203"/>
      <c r="G96" s="2203"/>
      <c r="H96" s="2203"/>
      <c r="I96" s="2203"/>
      <c r="J96" s="2221"/>
      <c r="K96" s="86"/>
      <c r="L96" s="86"/>
    </row>
    <row r="97" ht="16.5" customHeight="1" spans="2:12">
      <c r="B97" s="2202"/>
      <c r="C97" s="2203"/>
      <c r="D97" s="2203"/>
      <c r="E97" s="2203"/>
      <c r="F97" s="2203"/>
      <c r="G97" s="2203"/>
      <c r="H97" s="2203"/>
      <c r="I97" s="2203"/>
      <c r="J97" s="2221"/>
      <c r="K97" s="86"/>
      <c r="L97" s="86"/>
    </row>
    <row r="98" ht="16.5" customHeight="1" spans="2:12">
      <c r="B98" s="2202"/>
      <c r="C98" s="2203"/>
      <c r="D98" s="2203"/>
      <c r="E98" s="2203"/>
      <c r="F98" s="2203"/>
      <c r="G98" s="2203"/>
      <c r="H98" s="2203"/>
      <c r="I98" s="2203"/>
      <c r="J98" s="2221"/>
      <c r="K98" s="86"/>
      <c r="L98" s="86"/>
    </row>
    <row r="99" ht="16.5" customHeight="1" spans="2:12">
      <c r="B99" s="2202"/>
      <c r="C99" s="2203"/>
      <c r="D99" s="2203"/>
      <c r="E99" s="2203"/>
      <c r="F99" s="2203"/>
      <c r="G99" s="2203"/>
      <c r="H99" s="2203"/>
      <c r="I99" s="2203"/>
      <c r="J99" s="2221"/>
      <c r="K99" s="86"/>
      <c r="L99" s="86"/>
    </row>
    <row r="100" ht="16.5" customHeight="1" spans="2:12">
      <c r="B100" s="2202"/>
      <c r="C100" s="2203"/>
      <c r="D100" s="2203"/>
      <c r="E100" s="2203"/>
      <c r="F100" s="2203"/>
      <c r="G100" s="2203"/>
      <c r="H100" s="2203"/>
      <c r="I100" s="2203"/>
      <c r="J100" s="2221"/>
      <c r="K100" s="2222"/>
      <c r="L100" s="2222"/>
    </row>
    <row r="101" ht="16.5" customHeight="1" spans="2:12">
      <c r="B101" s="2202"/>
      <c r="C101" s="2203"/>
      <c r="D101" s="2203"/>
      <c r="E101" s="2203"/>
      <c r="F101" s="2203"/>
      <c r="G101" s="2203"/>
      <c r="H101" s="2203"/>
      <c r="I101" s="2203"/>
      <c r="J101" s="2221"/>
      <c r="K101" s="2222"/>
      <c r="L101" s="2222"/>
    </row>
    <row r="102" ht="16.5" customHeight="1" spans="2:12">
      <c r="B102" s="1462" t="s">
        <v>1238</v>
      </c>
      <c r="C102" s="1463"/>
      <c r="D102" s="1463"/>
      <c r="E102" s="1463"/>
      <c r="F102" s="1463"/>
      <c r="G102" s="1463"/>
      <c r="H102" s="1463"/>
      <c r="I102" s="1463"/>
      <c r="J102" s="2223"/>
      <c r="K102" s="2222"/>
      <c r="L102" s="2222"/>
    </row>
    <row r="103" s="1139" customFormat="1" ht="16.5" customHeight="1" spans="1:28">
      <c r="A103" s="34"/>
      <c r="B103" s="1464"/>
      <c r="C103" s="1465"/>
      <c r="D103" s="1465"/>
      <c r="E103" s="1465"/>
      <c r="F103" s="1465"/>
      <c r="G103" s="1465"/>
      <c r="H103" s="1465"/>
      <c r="I103" s="1465"/>
      <c r="J103" s="2224"/>
      <c r="K103" s="2222"/>
      <c r="L103" s="2222"/>
      <c r="M103" s="34"/>
      <c r="N103" s="34"/>
      <c r="O103" s="34"/>
      <c r="P103" s="34"/>
      <c r="Q103" s="34"/>
      <c r="R103" s="34"/>
      <c r="S103" s="34"/>
      <c r="T103" s="34"/>
      <c r="U103" s="34"/>
      <c r="V103" s="34"/>
      <c r="W103" s="34"/>
      <c r="X103" s="34"/>
      <c r="Y103" s="34"/>
      <c r="Z103" s="34"/>
      <c r="AA103" s="34"/>
      <c r="AB103" s="34"/>
    </row>
    <row r="104" ht="16.5" customHeight="1" spans="2:10">
      <c r="B104" s="1464"/>
      <c r="C104" s="1465"/>
      <c r="D104" s="1465"/>
      <c r="E104" s="1465"/>
      <c r="F104" s="1465"/>
      <c r="G104" s="1465"/>
      <c r="H104" s="1465"/>
      <c r="I104" s="1465"/>
      <c r="J104" s="2224"/>
    </row>
    <row r="105" ht="16.5" customHeight="1" spans="2:10">
      <c r="B105" s="1466"/>
      <c r="C105" s="1467"/>
      <c r="D105" s="1467"/>
      <c r="E105" s="1467"/>
      <c r="F105" s="1467"/>
      <c r="G105" s="1467"/>
      <c r="H105" s="1467"/>
      <c r="I105" s="1467"/>
      <c r="J105" s="2225"/>
    </row>
    <row r="106" ht="16.5" customHeight="1"/>
    <row r="107" ht="16.5" customHeight="1"/>
    <row r="108" ht="16.5" customHeight="1"/>
    <row r="109" ht="16.5" customHeight="1"/>
    <row r="110" ht="16.5" customHeight="1" spans="13:27">
      <c r="M110" s="2238"/>
      <c r="N110" s="2238"/>
      <c r="O110" s="2238"/>
      <c r="P110" s="2238"/>
      <c r="Q110" s="2238"/>
      <c r="R110" s="2238"/>
      <c r="S110" s="2238"/>
      <c r="T110" s="2238"/>
      <c r="U110" s="2238"/>
      <c r="V110" s="2238"/>
      <c r="W110" s="2238"/>
      <c r="X110" s="2238"/>
      <c r="Y110" s="2238"/>
      <c r="Z110" s="2238"/>
      <c r="AA110" s="2238"/>
    </row>
    <row r="111" ht="16.5" customHeight="1" spans="13:27">
      <c r="M111" s="2238"/>
      <c r="N111" s="2238"/>
      <c r="O111" s="2238"/>
      <c r="P111" s="2238"/>
      <c r="Q111" s="2238"/>
      <c r="R111" s="2238"/>
      <c r="S111" s="2238"/>
      <c r="T111" s="2238"/>
      <c r="U111" s="2238"/>
      <c r="V111" s="2238"/>
      <c r="W111" s="2238"/>
      <c r="X111" s="2238"/>
      <c r="Y111" s="2238"/>
      <c r="Z111" s="2238"/>
      <c r="AA111" s="2238"/>
    </row>
    <row r="112" ht="16.5" customHeight="1"/>
    <row r="113" ht="16.5" customHeight="1" spans="2:26">
      <c r="B113" s="2128" t="s">
        <v>1239</v>
      </c>
      <c r="C113" s="2129"/>
      <c r="D113" s="2129"/>
      <c r="E113" s="2129"/>
      <c r="F113" s="2129"/>
      <c r="G113" s="2129"/>
      <c r="H113" s="2129"/>
      <c r="I113" s="2129"/>
      <c r="J113" s="2129"/>
      <c r="K113" s="2129"/>
      <c r="L113" s="2129"/>
      <c r="M113" s="2129"/>
      <c r="N113" s="2129"/>
      <c r="O113" s="2129"/>
      <c r="P113" s="2129"/>
      <c r="Q113" s="2129"/>
      <c r="R113" s="2129"/>
      <c r="S113" s="2129"/>
      <c r="T113" s="2129"/>
      <c r="U113" s="2129"/>
      <c r="V113" s="2129"/>
      <c r="W113" s="2129"/>
      <c r="X113" s="2129"/>
      <c r="Y113" s="2129"/>
      <c r="Z113" s="2176"/>
    </row>
    <row r="114" ht="16.5" customHeight="1" spans="2:26">
      <c r="B114" s="2177"/>
      <c r="C114" s="2178"/>
      <c r="D114" s="2178"/>
      <c r="E114" s="2178"/>
      <c r="F114" s="2178"/>
      <c r="G114" s="2178"/>
      <c r="H114" s="2178"/>
      <c r="I114" s="2178"/>
      <c r="J114" s="2178"/>
      <c r="K114" s="2178"/>
      <c r="L114" s="2178"/>
      <c r="M114" s="2178"/>
      <c r="N114" s="2178"/>
      <c r="O114" s="2178"/>
      <c r="P114" s="2178"/>
      <c r="Q114" s="2178"/>
      <c r="R114" s="2178"/>
      <c r="S114" s="2178"/>
      <c r="T114" s="2178"/>
      <c r="U114" s="2178"/>
      <c r="V114" s="2178"/>
      <c r="W114" s="2178"/>
      <c r="X114" s="2178"/>
      <c r="Y114" s="2178"/>
      <c r="Z114" s="2248"/>
    </row>
    <row r="115" ht="16.5" customHeight="1" spans="2:26">
      <c r="B115" s="2179"/>
      <c r="C115" s="2180"/>
      <c r="D115" s="2180"/>
      <c r="E115" s="2180"/>
      <c r="F115" s="2180"/>
      <c r="G115" s="2180"/>
      <c r="H115" s="2180"/>
      <c r="I115" s="2180"/>
      <c r="J115" s="2180"/>
      <c r="K115" s="2180"/>
      <c r="L115" s="2180"/>
      <c r="M115" s="2180"/>
      <c r="N115" s="2180"/>
      <c r="O115" s="2180"/>
      <c r="P115" s="2180"/>
      <c r="Q115" s="2180"/>
      <c r="R115" s="2180"/>
      <c r="S115" s="2180"/>
      <c r="T115" s="2180"/>
      <c r="U115" s="2180"/>
      <c r="V115" s="2180"/>
      <c r="W115" s="2180"/>
      <c r="X115" s="2180"/>
      <c r="Y115" s="2180"/>
      <c r="Z115" s="2249"/>
    </row>
    <row r="116" ht="27" customHeight="1" spans="2:26">
      <c r="B116" s="1592"/>
      <c r="C116" s="1592"/>
      <c r="D116" s="1592"/>
      <c r="E116" s="1592"/>
      <c r="F116" s="1592"/>
      <c r="G116" s="1592"/>
      <c r="H116" s="1592"/>
      <c r="I116" s="1592"/>
      <c r="J116" s="1592"/>
      <c r="K116" s="1592"/>
      <c r="L116" s="1592"/>
      <c r="M116" s="1592"/>
      <c r="N116" s="1592"/>
      <c r="O116" s="1592"/>
      <c r="P116" s="1592"/>
      <c r="Q116" s="1592"/>
      <c r="R116" s="1592"/>
      <c r="S116" s="1592"/>
      <c r="T116" s="1592"/>
      <c r="U116" s="1592"/>
      <c r="V116" s="1592"/>
      <c r="W116" s="1592"/>
      <c r="X116" s="1592"/>
      <c r="Y116" s="1592"/>
      <c r="Z116" s="1592"/>
    </row>
    <row r="117" ht="16.5" customHeight="1" spans="2:26">
      <c r="B117" s="2181" t="s">
        <v>1240</v>
      </c>
      <c r="C117" s="2182"/>
      <c r="D117" s="2182"/>
      <c r="E117" s="2212"/>
      <c r="F117" s="2213"/>
      <c r="G117" s="2181" t="s">
        <v>1241</v>
      </c>
      <c r="H117" s="2182"/>
      <c r="I117" s="2182"/>
      <c r="J117" s="2212"/>
      <c r="K117" s="2226"/>
      <c r="L117" s="2181" t="s">
        <v>1242</v>
      </c>
      <c r="M117" s="2182"/>
      <c r="N117" s="2182"/>
      <c r="O117" s="2182"/>
      <c r="P117" s="2182"/>
      <c r="Q117" s="2182"/>
      <c r="R117" s="2182"/>
      <c r="S117" s="2212"/>
      <c r="T117" s="1592"/>
      <c r="U117" s="2181" t="s">
        <v>1243</v>
      </c>
      <c r="V117" s="2182"/>
      <c r="W117" s="2182"/>
      <c r="X117" s="2182"/>
      <c r="Y117" s="2182"/>
      <c r="Z117" s="2212"/>
    </row>
    <row r="118" ht="16.5" customHeight="1" spans="2:26">
      <c r="B118" s="2200"/>
      <c r="C118" s="2201"/>
      <c r="D118" s="2201"/>
      <c r="E118" s="2214"/>
      <c r="F118" s="2213"/>
      <c r="G118" s="2200"/>
      <c r="H118" s="2201"/>
      <c r="I118" s="2201"/>
      <c r="J118" s="2214"/>
      <c r="K118" s="2226"/>
      <c r="L118" s="2200"/>
      <c r="M118" s="2201"/>
      <c r="N118" s="2201"/>
      <c r="O118" s="2201"/>
      <c r="P118" s="2201"/>
      <c r="Q118" s="2201"/>
      <c r="R118" s="2201"/>
      <c r="S118" s="2214"/>
      <c r="T118" s="1592"/>
      <c r="U118" s="2200"/>
      <c r="V118" s="2201"/>
      <c r="W118" s="2201"/>
      <c r="X118" s="2201"/>
      <c r="Y118" s="2201"/>
      <c r="Z118" s="2214"/>
    </row>
    <row r="119" ht="16.5" customHeight="1" spans="2:26">
      <c r="B119" s="2204" t="s">
        <v>1244</v>
      </c>
      <c r="C119" s="2205"/>
      <c r="D119" s="2205"/>
      <c r="E119" s="2215"/>
      <c r="F119" s="1523"/>
      <c r="G119" s="2204" t="s">
        <v>1245</v>
      </c>
      <c r="H119" s="2205"/>
      <c r="I119" s="2205"/>
      <c r="J119" s="2215"/>
      <c r="K119" s="1592"/>
      <c r="L119" s="2204" t="s">
        <v>1246</v>
      </c>
      <c r="M119" s="2205"/>
      <c r="N119" s="2205"/>
      <c r="O119" s="2205"/>
      <c r="P119" s="2205"/>
      <c r="Q119" s="2205"/>
      <c r="R119" s="2205"/>
      <c r="S119" s="2215"/>
      <c r="T119" s="1592"/>
      <c r="U119" s="2204" t="s">
        <v>1247</v>
      </c>
      <c r="V119" s="2205"/>
      <c r="W119" s="2205"/>
      <c r="X119" s="2205"/>
      <c r="Y119" s="2205"/>
      <c r="Z119" s="2215"/>
    </row>
    <row r="120" ht="16.5" customHeight="1" spans="2:26">
      <c r="B120" s="2204"/>
      <c r="C120" s="2205"/>
      <c r="D120" s="2205"/>
      <c r="E120" s="2215"/>
      <c r="F120" s="1523"/>
      <c r="G120" s="2204"/>
      <c r="H120" s="2205"/>
      <c r="I120" s="2205"/>
      <c r="J120" s="2215"/>
      <c r="K120" s="1592"/>
      <c r="L120" s="2204"/>
      <c r="M120" s="2205"/>
      <c r="N120" s="2205"/>
      <c r="O120" s="2205"/>
      <c r="P120" s="2205"/>
      <c r="Q120" s="2205"/>
      <c r="R120" s="2205"/>
      <c r="S120" s="2215"/>
      <c r="T120" s="1592"/>
      <c r="U120" s="2204"/>
      <c r="V120" s="2205"/>
      <c r="W120" s="2205"/>
      <c r="X120" s="2205"/>
      <c r="Y120" s="2205"/>
      <c r="Z120" s="2215"/>
    </row>
    <row r="121" ht="16.5" customHeight="1" spans="2:26">
      <c r="B121" s="2204"/>
      <c r="C121" s="2205"/>
      <c r="D121" s="2205"/>
      <c r="E121" s="2215"/>
      <c r="F121" s="1523"/>
      <c r="G121" s="2204"/>
      <c r="H121" s="2205"/>
      <c r="I121" s="2205"/>
      <c r="J121" s="2215"/>
      <c r="K121" s="1592"/>
      <c r="L121" s="2204"/>
      <c r="M121" s="2205"/>
      <c r="N121" s="2205"/>
      <c r="O121" s="2205"/>
      <c r="P121" s="2205"/>
      <c r="Q121" s="2205"/>
      <c r="R121" s="2205"/>
      <c r="S121" s="2215"/>
      <c r="T121" s="1592"/>
      <c r="U121" s="2204"/>
      <c r="V121" s="2205"/>
      <c r="W121" s="2205"/>
      <c r="X121" s="2205"/>
      <c r="Y121" s="2205"/>
      <c r="Z121" s="2215"/>
    </row>
    <row r="122" ht="16.5" customHeight="1" spans="2:26">
      <c r="B122" s="2204"/>
      <c r="C122" s="2205"/>
      <c r="D122" s="2205"/>
      <c r="E122" s="2215"/>
      <c r="F122" s="1523"/>
      <c r="G122" s="2204"/>
      <c r="H122" s="2205"/>
      <c r="I122" s="2205"/>
      <c r="J122" s="2215"/>
      <c r="K122" s="1592"/>
      <c r="L122" s="2204"/>
      <c r="M122" s="2205"/>
      <c r="N122" s="2205"/>
      <c r="O122" s="2205"/>
      <c r="P122" s="2205"/>
      <c r="Q122" s="2205"/>
      <c r="R122" s="2205"/>
      <c r="S122" s="2215"/>
      <c r="T122" s="1592"/>
      <c r="U122" s="2204"/>
      <c r="V122" s="2205"/>
      <c r="W122" s="2205"/>
      <c r="X122" s="2205"/>
      <c r="Y122" s="2205"/>
      <c r="Z122" s="2215"/>
    </row>
    <row r="123" ht="24" customHeight="1" spans="2:26">
      <c r="B123" s="2204"/>
      <c r="C123" s="2205"/>
      <c r="D123" s="2205"/>
      <c r="E123" s="2215"/>
      <c r="F123" s="1523"/>
      <c r="G123" s="2204"/>
      <c r="H123" s="2205"/>
      <c r="I123" s="2205"/>
      <c r="J123" s="2215"/>
      <c r="K123" s="1592"/>
      <c r="L123" s="2204"/>
      <c r="M123" s="2205"/>
      <c r="N123" s="2205"/>
      <c r="O123" s="2205"/>
      <c r="P123" s="2205"/>
      <c r="Q123" s="2205"/>
      <c r="R123" s="2205"/>
      <c r="S123" s="2215"/>
      <c r="T123" s="1592"/>
      <c r="U123" s="2204"/>
      <c r="V123" s="2205"/>
      <c r="W123" s="2205"/>
      <c r="X123" s="2205"/>
      <c r="Y123" s="2205"/>
      <c r="Z123" s="2215"/>
    </row>
    <row r="124" ht="16.5" customHeight="1" spans="2:26">
      <c r="B124" s="2204"/>
      <c r="C124" s="2205"/>
      <c r="D124" s="2205"/>
      <c r="E124" s="2215"/>
      <c r="F124" s="1523"/>
      <c r="G124" s="2204"/>
      <c r="H124" s="2205"/>
      <c r="I124" s="2205"/>
      <c r="J124" s="2215"/>
      <c r="K124" s="1592"/>
      <c r="L124" s="2227" t="s">
        <v>1248</v>
      </c>
      <c r="M124" s="2239"/>
      <c r="N124" s="2239"/>
      <c r="O124" s="2239"/>
      <c r="P124" s="2239"/>
      <c r="Q124" s="2239"/>
      <c r="R124" s="2239"/>
      <c r="S124" s="2245"/>
      <c r="T124" s="1592"/>
      <c r="U124" s="2204"/>
      <c r="V124" s="2205"/>
      <c r="W124" s="2205"/>
      <c r="X124" s="2205"/>
      <c r="Y124" s="2205"/>
      <c r="Z124" s="2215"/>
    </row>
    <row r="125" ht="16.5" customHeight="1" spans="2:26">
      <c r="B125" s="2206"/>
      <c r="C125" s="2207"/>
      <c r="D125" s="2207"/>
      <c r="E125" s="2216"/>
      <c r="F125" s="1523"/>
      <c r="G125" s="2206"/>
      <c r="H125" s="2207"/>
      <c r="I125" s="2207"/>
      <c r="J125" s="2216"/>
      <c r="K125" s="1592"/>
      <c r="L125" s="2204" t="s">
        <v>1249</v>
      </c>
      <c r="M125" s="2205"/>
      <c r="N125" s="2205"/>
      <c r="O125" s="2205"/>
      <c r="P125" s="2205"/>
      <c r="Q125" s="2205"/>
      <c r="R125" s="2205"/>
      <c r="S125" s="2215"/>
      <c r="T125" s="1592"/>
      <c r="U125" s="2204"/>
      <c r="V125" s="2205"/>
      <c r="W125" s="2205"/>
      <c r="X125" s="2205"/>
      <c r="Y125" s="2205"/>
      <c r="Z125" s="2215"/>
    </row>
    <row r="126" ht="16.5" customHeight="1" spans="2:26">
      <c r="B126" s="1592"/>
      <c r="C126" s="1592"/>
      <c r="D126" s="1592"/>
      <c r="E126" s="1592"/>
      <c r="F126" s="1592"/>
      <c r="G126" s="1592"/>
      <c r="H126" s="1592"/>
      <c r="I126" s="1592"/>
      <c r="J126" s="1592"/>
      <c r="K126" s="1592"/>
      <c r="L126" s="2204"/>
      <c r="M126" s="2205"/>
      <c r="N126" s="2205"/>
      <c r="O126" s="2205"/>
      <c r="P126" s="2205"/>
      <c r="Q126" s="2205"/>
      <c r="R126" s="2205"/>
      <c r="S126" s="2215"/>
      <c r="T126" s="1592"/>
      <c r="U126" s="2204"/>
      <c r="V126" s="2205"/>
      <c r="W126" s="2205"/>
      <c r="X126" s="2205"/>
      <c r="Y126" s="2205"/>
      <c r="Z126" s="2215"/>
    </row>
    <row r="127" ht="16.5" customHeight="1" spans="2:26">
      <c r="B127" s="1592"/>
      <c r="C127" s="1592"/>
      <c r="D127" s="1592"/>
      <c r="E127" s="1592"/>
      <c r="F127" s="1592"/>
      <c r="G127" s="1592"/>
      <c r="H127" s="1592"/>
      <c r="I127" s="1592"/>
      <c r="J127" s="1592"/>
      <c r="K127" s="1592"/>
      <c r="L127" s="2228" t="s">
        <v>1250</v>
      </c>
      <c r="M127" s="2240"/>
      <c r="N127" s="2240"/>
      <c r="O127" s="2240"/>
      <c r="P127" s="2241" t="s">
        <v>1251</v>
      </c>
      <c r="Q127" s="2240"/>
      <c r="R127" s="2241" t="s">
        <v>1252</v>
      </c>
      <c r="S127" s="2246"/>
      <c r="T127" s="1592"/>
      <c r="U127" s="2206"/>
      <c r="V127" s="2207"/>
      <c r="W127" s="2207"/>
      <c r="X127" s="2207"/>
      <c r="Y127" s="2207"/>
      <c r="Z127" s="2216"/>
    </row>
    <row r="128" ht="16.5" customHeight="1" spans="2:26">
      <c r="B128" s="1592"/>
      <c r="C128" s="1592"/>
      <c r="D128" s="1592"/>
      <c r="E128" s="1592"/>
      <c r="F128" s="1592"/>
      <c r="G128" s="1592"/>
      <c r="H128" s="1592"/>
      <c r="I128" s="1592"/>
      <c r="J128" s="1592"/>
      <c r="K128" s="1592"/>
      <c r="L128" s="2229"/>
      <c r="M128" s="2240"/>
      <c r="N128" s="2240"/>
      <c r="O128" s="2240"/>
      <c r="P128" s="2240"/>
      <c r="Q128" s="2240"/>
      <c r="R128" s="2240"/>
      <c r="S128" s="2246"/>
      <c r="T128" s="1592"/>
      <c r="U128" s="1592"/>
      <c r="V128" s="1592"/>
      <c r="W128" s="1592"/>
      <c r="X128" s="1592"/>
      <c r="Y128" s="1592"/>
      <c r="Z128" s="1592"/>
    </row>
    <row r="129" ht="16.5" customHeight="1" spans="2:26">
      <c r="B129" s="1592"/>
      <c r="C129" s="1592"/>
      <c r="D129" s="1592"/>
      <c r="E129" s="1592"/>
      <c r="F129" s="1592"/>
      <c r="G129" s="1592"/>
      <c r="H129" s="1592"/>
      <c r="I129" s="1592"/>
      <c r="J129" s="1592"/>
      <c r="K129" s="1592"/>
      <c r="L129" s="2229"/>
      <c r="M129" s="2240"/>
      <c r="N129" s="2240"/>
      <c r="O129" s="2240"/>
      <c r="P129" s="2241" t="s">
        <v>1253</v>
      </c>
      <c r="Q129" s="2240"/>
      <c r="R129" s="2241" t="s">
        <v>1254</v>
      </c>
      <c r="S129" s="2246"/>
      <c r="T129" s="1592"/>
      <c r="U129" s="1592"/>
      <c r="V129" s="1592"/>
      <c r="W129" s="1592"/>
      <c r="X129" s="1592"/>
      <c r="Y129" s="1592"/>
      <c r="Z129" s="1592"/>
    </row>
    <row r="130" ht="16.5" customHeight="1" spans="2:26">
      <c r="B130" s="1592"/>
      <c r="C130" s="1592"/>
      <c r="D130" s="1592"/>
      <c r="E130" s="1592"/>
      <c r="F130" s="1592"/>
      <c r="G130" s="1592"/>
      <c r="H130" s="1592"/>
      <c r="I130" s="1592"/>
      <c r="J130" s="1592"/>
      <c r="K130" s="1592"/>
      <c r="L130" s="2229"/>
      <c r="M130" s="2240"/>
      <c r="N130" s="2240"/>
      <c r="O130" s="2240"/>
      <c r="P130" s="2240"/>
      <c r="Q130" s="2240"/>
      <c r="R130" s="2240"/>
      <c r="S130" s="2246"/>
      <c r="T130" s="1592"/>
      <c r="U130" s="1592"/>
      <c r="V130" s="1592"/>
      <c r="W130" s="1592"/>
      <c r="X130" s="1592"/>
      <c r="Y130" s="1592"/>
      <c r="Z130" s="1592"/>
    </row>
    <row r="131" ht="16.5" customHeight="1" spans="2:26">
      <c r="B131" s="1592"/>
      <c r="C131" s="1592"/>
      <c r="D131" s="1592"/>
      <c r="E131" s="1592"/>
      <c r="F131" s="1592"/>
      <c r="G131" s="1592"/>
      <c r="H131" s="1592"/>
      <c r="I131" s="1592"/>
      <c r="J131" s="1592"/>
      <c r="K131" s="1592"/>
      <c r="L131" s="2252" t="s">
        <v>1255</v>
      </c>
      <c r="M131" s="2257"/>
      <c r="N131" s="2257"/>
      <c r="O131" s="2257"/>
      <c r="P131" s="2257"/>
      <c r="Q131" s="2257"/>
      <c r="R131" s="2257"/>
      <c r="S131" s="2260"/>
      <c r="T131" s="1592"/>
      <c r="U131" s="1592"/>
      <c r="V131" s="1592"/>
      <c r="W131" s="1592"/>
      <c r="X131" s="1592"/>
      <c r="Y131" s="1592"/>
      <c r="Z131" s="1592"/>
    </row>
    <row r="132" ht="25" customHeight="1" spans="2:26">
      <c r="B132" s="1592"/>
      <c r="C132" s="1592"/>
      <c r="D132" s="1592"/>
      <c r="E132" s="1592"/>
      <c r="F132" s="1592"/>
      <c r="G132" s="1592"/>
      <c r="H132" s="1592"/>
      <c r="I132" s="1592"/>
      <c r="J132" s="1592"/>
      <c r="K132" s="1592"/>
      <c r="L132" s="2253" t="s">
        <v>1256</v>
      </c>
      <c r="M132" s="2258" t="s">
        <v>1257</v>
      </c>
      <c r="N132" s="2258"/>
      <c r="O132" s="2258"/>
      <c r="P132" s="2258"/>
      <c r="Q132" s="2258"/>
      <c r="R132" s="2258"/>
      <c r="S132" s="2261"/>
      <c r="T132" s="1592"/>
      <c r="U132" s="1592"/>
      <c r="V132" s="1592"/>
      <c r="W132" s="1592"/>
      <c r="X132" s="1592"/>
      <c r="Y132" s="1592"/>
      <c r="Z132" s="1592"/>
    </row>
    <row r="133" ht="16.5" customHeight="1" spans="2:26">
      <c r="B133" s="1592"/>
      <c r="C133" s="1592"/>
      <c r="D133" s="1592"/>
      <c r="E133" s="1592"/>
      <c r="F133" s="1592"/>
      <c r="G133" s="1592"/>
      <c r="H133" s="1592"/>
      <c r="I133" s="1592"/>
      <c r="J133" s="1592"/>
      <c r="K133" s="1592"/>
      <c r="L133" s="2254"/>
      <c r="M133" s="2205"/>
      <c r="N133" s="2205"/>
      <c r="O133" s="2205"/>
      <c r="P133" s="2205"/>
      <c r="Q133" s="2205"/>
      <c r="R133" s="2205"/>
      <c r="S133" s="2215"/>
      <c r="T133" s="1592"/>
      <c r="U133" s="1592"/>
      <c r="V133" s="1592"/>
      <c r="W133" s="1592"/>
      <c r="X133" s="1592"/>
      <c r="Y133" s="1592"/>
      <c r="Z133" s="1592"/>
    </row>
    <row r="134" ht="16.5" customHeight="1" spans="2:26">
      <c r="B134" s="1592"/>
      <c r="C134" s="1592"/>
      <c r="D134" s="1592"/>
      <c r="E134" s="1592"/>
      <c r="F134" s="1592"/>
      <c r="G134" s="1592"/>
      <c r="H134" s="1592"/>
      <c r="I134" s="1592"/>
      <c r="J134" s="1592"/>
      <c r="K134" s="1592"/>
      <c r="L134" s="2254"/>
      <c r="M134" s="2205"/>
      <c r="N134" s="2205"/>
      <c r="O134" s="2205"/>
      <c r="P134" s="2205"/>
      <c r="Q134" s="2205"/>
      <c r="R134" s="2205"/>
      <c r="S134" s="2215"/>
      <c r="T134" s="1592"/>
      <c r="U134" s="1592"/>
      <c r="V134" s="1592"/>
      <c r="W134" s="1592"/>
      <c r="X134" s="1592"/>
      <c r="Y134" s="1592"/>
      <c r="Z134" s="1592"/>
    </row>
    <row r="135" ht="16.5" customHeight="1" spans="2:26">
      <c r="B135" s="1592"/>
      <c r="C135" s="1592"/>
      <c r="D135" s="1592"/>
      <c r="E135" s="1592"/>
      <c r="F135" s="1592"/>
      <c r="G135" s="1592"/>
      <c r="H135" s="1592"/>
      <c r="I135" s="1592"/>
      <c r="J135" s="1592"/>
      <c r="K135" s="1592"/>
      <c r="L135" s="2254"/>
      <c r="M135" s="2205"/>
      <c r="N135" s="2205"/>
      <c r="O135" s="2205"/>
      <c r="P135" s="2205"/>
      <c r="Q135" s="2205"/>
      <c r="R135" s="2205"/>
      <c r="S135" s="2215"/>
      <c r="T135" s="1592"/>
      <c r="U135" s="1592"/>
      <c r="V135" s="1592"/>
      <c r="W135" s="1592"/>
      <c r="X135" s="1592"/>
      <c r="Y135" s="1592"/>
      <c r="Z135" s="1592"/>
    </row>
    <row r="136" ht="16.5" customHeight="1" spans="2:26">
      <c r="B136" s="1592"/>
      <c r="C136" s="1592"/>
      <c r="D136" s="1592"/>
      <c r="E136" s="1592"/>
      <c r="F136" s="1592"/>
      <c r="G136" s="1592"/>
      <c r="H136" s="1592"/>
      <c r="I136" s="1592"/>
      <c r="J136" s="1592"/>
      <c r="K136" s="1592"/>
      <c r="L136" s="2254"/>
      <c r="M136" s="2205"/>
      <c r="N136" s="2205"/>
      <c r="O136" s="2205"/>
      <c r="P136" s="2205"/>
      <c r="Q136" s="2205"/>
      <c r="R136" s="2205"/>
      <c r="S136" s="2215"/>
      <c r="T136" s="1592"/>
      <c r="U136" s="1592"/>
      <c r="V136" s="1592"/>
      <c r="W136" s="1592"/>
      <c r="X136" s="1592"/>
      <c r="Y136" s="1592"/>
      <c r="Z136" s="1592"/>
    </row>
    <row r="137" ht="16.5" customHeight="1" spans="2:26">
      <c r="B137" s="1592"/>
      <c r="C137" s="1592"/>
      <c r="D137" s="1592"/>
      <c r="E137" s="1592"/>
      <c r="F137" s="1592"/>
      <c r="G137" s="1592"/>
      <c r="H137" s="1592"/>
      <c r="I137" s="1592"/>
      <c r="J137" s="1592"/>
      <c r="K137" s="1592"/>
      <c r="L137" s="2254"/>
      <c r="M137" s="2205"/>
      <c r="N137" s="2205"/>
      <c r="O137" s="2205"/>
      <c r="P137" s="2205"/>
      <c r="Q137" s="2205"/>
      <c r="R137" s="2205"/>
      <c r="S137" s="2215"/>
      <c r="T137" s="1592"/>
      <c r="U137" s="1592"/>
      <c r="V137" s="1592"/>
      <c r="W137" s="1592"/>
      <c r="X137" s="1592"/>
      <c r="Y137" s="1592"/>
      <c r="Z137" s="1592"/>
    </row>
    <row r="138" ht="16.5" customHeight="1" spans="2:26">
      <c r="B138" s="1592"/>
      <c r="C138" s="1592"/>
      <c r="D138" s="1592"/>
      <c r="E138" s="1592"/>
      <c r="F138" s="1592"/>
      <c r="G138" s="1592"/>
      <c r="H138" s="1592"/>
      <c r="I138" s="1592"/>
      <c r="J138" s="1592"/>
      <c r="K138" s="1592"/>
      <c r="L138" s="2254"/>
      <c r="M138" s="2205"/>
      <c r="N138" s="2205"/>
      <c r="O138" s="2205"/>
      <c r="P138" s="2205"/>
      <c r="Q138" s="2205"/>
      <c r="R138" s="2205"/>
      <c r="S138" s="2215"/>
      <c r="T138" s="1592"/>
      <c r="U138" s="1592"/>
      <c r="V138" s="1592"/>
      <c r="W138" s="1592"/>
      <c r="X138" s="1592"/>
      <c r="Y138" s="1592"/>
      <c r="Z138" s="1592"/>
    </row>
    <row r="139" ht="16.5" customHeight="1" spans="2:26">
      <c r="B139" s="1592"/>
      <c r="C139" s="1592"/>
      <c r="D139" s="1592"/>
      <c r="E139" s="1592"/>
      <c r="F139" s="1592"/>
      <c r="G139" s="1592"/>
      <c r="H139" s="1592"/>
      <c r="I139" s="1592"/>
      <c r="J139" s="1592"/>
      <c r="K139" s="1592"/>
      <c r="L139" s="2255"/>
      <c r="M139" s="2259"/>
      <c r="N139" s="2259"/>
      <c r="O139" s="2259"/>
      <c r="P139" s="2259"/>
      <c r="Q139" s="2259"/>
      <c r="R139" s="2259"/>
      <c r="S139" s="2262"/>
      <c r="T139" s="1592"/>
      <c r="U139" s="1592"/>
      <c r="V139" s="1592"/>
      <c r="W139" s="1592"/>
      <c r="X139" s="1592"/>
      <c r="Y139" s="1592"/>
      <c r="Z139" s="1592"/>
    </row>
    <row r="140" ht="16.5" customHeight="1" spans="2:26">
      <c r="B140" s="1592"/>
      <c r="C140" s="1592"/>
      <c r="D140" s="1592"/>
      <c r="E140" s="1592"/>
      <c r="F140" s="1592"/>
      <c r="G140" s="1592"/>
      <c r="H140" s="1592"/>
      <c r="I140" s="1592"/>
      <c r="J140" s="1592"/>
      <c r="K140" s="1592"/>
      <c r="L140" s="2254" t="s">
        <v>1258</v>
      </c>
      <c r="M140" s="2205" t="s">
        <v>1259</v>
      </c>
      <c r="N140" s="2205"/>
      <c r="O140" s="2205"/>
      <c r="P140" s="2205"/>
      <c r="Q140" s="2205"/>
      <c r="R140" s="2205"/>
      <c r="S140" s="2215"/>
      <c r="T140" s="1592"/>
      <c r="U140" s="1592"/>
      <c r="V140" s="1592"/>
      <c r="W140" s="1592"/>
      <c r="X140" s="1592"/>
      <c r="Y140" s="1592"/>
      <c r="Z140" s="1592"/>
    </row>
    <row r="141" ht="16.5" customHeight="1" spans="2:26">
      <c r="B141" s="1592"/>
      <c r="C141" s="1592"/>
      <c r="D141" s="1592"/>
      <c r="E141" s="1592"/>
      <c r="F141" s="1592"/>
      <c r="G141" s="1592"/>
      <c r="H141" s="1592"/>
      <c r="I141" s="1592"/>
      <c r="J141" s="1592"/>
      <c r="K141" s="1592"/>
      <c r="L141" s="2254"/>
      <c r="M141" s="2205"/>
      <c r="N141" s="2205"/>
      <c r="O141" s="2205"/>
      <c r="P141" s="2205"/>
      <c r="Q141" s="2205"/>
      <c r="R141" s="2205"/>
      <c r="S141" s="2215"/>
      <c r="T141" s="1592"/>
      <c r="U141" s="1592"/>
      <c r="V141" s="1592"/>
      <c r="W141" s="1592"/>
      <c r="X141" s="1592"/>
      <c r="Y141" s="1592"/>
      <c r="Z141" s="1592"/>
    </row>
    <row r="142" ht="16.5" customHeight="1" spans="2:26">
      <c r="B142" s="1592"/>
      <c r="C142" s="1592"/>
      <c r="D142" s="1592"/>
      <c r="E142" s="1592"/>
      <c r="F142" s="1592"/>
      <c r="G142" s="1592"/>
      <c r="H142" s="1592"/>
      <c r="I142" s="1592"/>
      <c r="J142" s="1592"/>
      <c r="K142" s="1592"/>
      <c r="L142" s="2254"/>
      <c r="M142" s="2205"/>
      <c r="N142" s="2205"/>
      <c r="O142" s="2205"/>
      <c r="P142" s="2205"/>
      <c r="Q142" s="2205"/>
      <c r="R142" s="2205"/>
      <c r="S142" s="2215"/>
      <c r="T142" s="1592"/>
      <c r="U142" s="1592"/>
      <c r="V142" s="1592"/>
      <c r="W142" s="1592"/>
      <c r="X142" s="1592"/>
      <c r="Y142" s="1592"/>
      <c r="Z142" s="1592"/>
    </row>
    <row r="143" ht="16.5" customHeight="1" spans="2:26">
      <c r="B143" s="1592"/>
      <c r="C143" s="1592"/>
      <c r="D143" s="1592"/>
      <c r="E143" s="1592"/>
      <c r="F143" s="1592"/>
      <c r="G143" s="1592"/>
      <c r="H143" s="1592"/>
      <c r="I143" s="1592"/>
      <c r="J143" s="1592"/>
      <c r="K143" s="1592"/>
      <c r="L143" s="2254"/>
      <c r="M143" s="2205"/>
      <c r="N143" s="2205"/>
      <c r="O143" s="2205"/>
      <c r="P143" s="2205"/>
      <c r="Q143" s="2205"/>
      <c r="R143" s="2205"/>
      <c r="S143" s="2215"/>
      <c r="T143" s="1592"/>
      <c r="U143" s="1592"/>
      <c r="V143" s="1592"/>
      <c r="W143" s="1592"/>
      <c r="X143" s="1592"/>
      <c r="Y143" s="1592"/>
      <c r="Z143" s="1592"/>
    </row>
    <row r="144" ht="16.5" customHeight="1" spans="2:26">
      <c r="B144" s="1592"/>
      <c r="C144" s="1592"/>
      <c r="D144" s="1592"/>
      <c r="E144" s="1592"/>
      <c r="F144" s="1592"/>
      <c r="G144" s="1592"/>
      <c r="H144" s="1592"/>
      <c r="I144" s="1592"/>
      <c r="J144" s="1592"/>
      <c r="K144" s="1592"/>
      <c r="L144" s="2254"/>
      <c r="M144" s="2205"/>
      <c r="N144" s="2205"/>
      <c r="O144" s="2205"/>
      <c r="P144" s="2205"/>
      <c r="Q144" s="2205"/>
      <c r="R144" s="2205"/>
      <c r="S144" s="2215"/>
      <c r="T144" s="1592"/>
      <c r="U144" s="1592"/>
      <c r="V144" s="1592"/>
      <c r="W144" s="1592"/>
      <c r="X144" s="1592"/>
      <c r="Y144" s="1592"/>
      <c r="Z144" s="1592"/>
    </row>
    <row r="145" ht="16.5" customHeight="1" spans="2:26">
      <c r="B145" s="1592"/>
      <c r="C145" s="1592"/>
      <c r="D145" s="1592"/>
      <c r="E145" s="1592"/>
      <c r="F145" s="1592"/>
      <c r="G145" s="1592"/>
      <c r="H145" s="1592"/>
      <c r="I145" s="1592"/>
      <c r="J145" s="1592"/>
      <c r="K145" s="1592"/>
      <c r="L145" s="2254"/>
      <c r="M145" s="2205"/>
      <c r="N145" s="2205"/>
      <c r="O145" s="2205"/>
      <c r="P145" s="2205"/>
      <c r="Q145" s="2205"/>
      <c r="R145" s="2205"/>
      <c r="S145" s="2215"/>
      <c r="T145" s="1592"/>
      <c r="U145" s="1592"/>
      <c r="V145" s="1592"/>
      <c r="W145" s="1592"/>
      <c r="X145" s="1592"/>
      <c r="Y145" s="1592"/>
      <c r="Z145" s="1592"/>
    </row>
    <row r="146" ht="16.5" customHeight="1" spans="2:26">
      <c r="B146" s="1592"/>
      <c r="C146" s="1592"/>
      <c r="D146" s="1592"/>
      <c r="E146" s="1592"/>
      <c r="F146" s="1592"/>
      <c r="G146" s="1592"/>
      <c r="H146" s="1592"/>
      <c r="I146" s="1592"/>
      <c r="J146" s="1592"/>
      <c r="K146" s="1592"/>
      <c r="L146" s="2254"/>
      <c r="M146" s="2205"/>
      <c r="N146" s="2205"/>
      <c r="O146" s="2205"/>
      <c r="P146" s="2205"/>
      <c r="Q146" s="2205"/>
      <c r="R146" s="2205"/>
      <c r="S146" s="2215"/>
      <c r="T146" s="1592"/>
      <c r="U146" s="1592"/>
      <c r="V146" s="1592"/>
      <c r="W146" s="1592"/>
      <c r="X146" s="1592"/>
      <c r="Y146" s="1592"/>
      <c r="Z146" s="1592"/>
    </row>
    <row r="147" ht="16.5" customHeight="1" spans="10:26">
      <c r="J147" s="1592"/>
      <c r="K147" s="1592"/>
      <c r="L147" s="2254"/>
      <c r="M147" s="2205"/>
      <c r="N147" s="2205"/>
      <c r="O147" s="2205"/>
      <c r="P147" s="2205"/>
      <c r="Q147" s="2205"/>
      <c r="R147" s="2205"/>
      <c r="S147" s="2215"/>
      <c r="T147" s="1592"/>
      <c r="U147" s="1592"/>
      <c r="V147" s="1592"/>
      <c r="W147" s="1592"/>
      <c r="X147" s="1592"/>
      <c r="Y147" s="1592"/>
      <c r="Z147" s="1592"/>
    </row>
    <row r="148" ht="16.5" customHeight="1" spans="10:26">
      <c r="J148" s="1592"/>
      <c r="K148" s="1592"/>
      <c r="L148" s="2255"/>
      <c r="M148" s="2205"/>
      <c r="N148" s="2205"/>
      <c r="O148" s="2205"/>
      <c r="P148" s="2205"/>
      <c r="Q148" s="2205"/>
      <c r="R148" s="2205"/>
      <c r="S148" s="2215"/>
      <c r="T148" s="1592"/>
      <c r="U148" s="1592"/>
      <c r="V148" s="1592"/>
      <c r="W148" s="1592"/>
      <c r="X148" s="1592"/>
      <c r="Y148" s="1592"/>
      <c r="Z148" s="1592"/>
    </row>
    <row r="149" ht="16.5" customHeight="1" spans="10:26">
      <c r="J149" s="1592"/>
      <c r="K149" s="1592"/>
      <c r="L149" s="2254" t="s">
        <v>1260</v>
      </c>
      <c r="M149" s="2258" t="s">
        <v>1261</v>
      </c>
      <c r="N149" s="2258"/>
      <c r="O149" s="2258"/>
      <c r="P149" s="2258"/>
      <c r="Q149" s="2258"/>
      <c r="R149" s="2258"/>
      <c r="S149" s="2261"/>
      <c r="T149" s="1592"/>
      <c r="U149" s="1592"/>
      <c r="V149" s="1592"/>
      <c r="W149" s="1592"/>
      <c r="X149" s="1592"/>
      <c r="Y149" s="1592"/>
      <c r="Z149" s="1592"/>
    </row>
    <row r="150" ht="16.5" customHeight="1" spans="10:26">
      <c r="J150" s="1592"/>
      <c r="K150" s="1592"/>
      <c r="L150" s="2254"/>
      <c r="M150" s="2205"/>
      <c r="N150" s="2205"/>
      <c r="O150" s="2205"/>
      <c r="P150" s="2205"/>
      <c r="Q150" s="2205"/>
      <c r="R150" s="2205"/>
      <c r="S150" s="2215"/>
      <c r="T150" s="1592"/>
      <c r="U150" s="1592"/>
      <c r="V150" s="1592"/>
      <c r="W150" s="1592"/>
      <c r="X150" s="1592"/>
      <c r="Y150" s="1592"/>
      <c r="Z150" s="1592"/>
    </row>
    <row r="151" ht="16.5" customHeight="1" spans="10:26">
      <c r="J151" s="1592"/>
      <c r="K151" s="1592"/>
      <c r="L151" s="2254"/>
      <c r="M151" s="2205"/>
      <c r="N151" s="2205"/>
      <c r="O151" s="2205"/>
      <c r="P151" s="2205"/>
      <c r="Q151" s="2205"/>
      <c r="R151" s="2205"/>
      <c r="S151" s="2215"/>
      <c r="T151" s="1592"/>
      <c r="U151" s="1592"/>
      <c r="V151" s="1592"/>
      <c r="W151" s="1592"/>
      <c r="X151" s="1592"/>
      <c r="Y151" s="1592"/>
      <c r="Z151" s="1592"/>
    </row>
    <row r="152" ht="17.6" spans="10:26">
      <c r="J152" s="1592"/>
      <c r="K152" s="1592"/>
      <c r="L152" s="2254"/>
      <c r="M152" s="2205"/>
      <c r="N152" s="2205"/>
      <c r="O152" s="2205"/>
      <c r="P152" s="2205"/>
      <c r="Q152" s="2205"/>
      <c r="R152" s="2205"/>
      <c r="S152" s="2215"/>
      <c r="T152" s="1592"/>
      <c r="U152" s="1592"/>
      <c r="V152" s="1592"/>
      <c r="W152" s="1592"/>
      <c r="X152" s="1592"/>
      <c r="Y152" s="1592"/>
      <c r="Z152" s="1592"/>
    </row>
    <row r="153" ht="17.6" spans="10:26">
      <c r="J153" s="1592"/>
      <c r="K153" s="1592"/>
      <c r="L153" s="2254"/>
      <c r="M153" s="2205"/>
      <c r="N153" s="2205"/>
      <c r="O153" s="2205"/>
      <c r="P153" s="2205"/>
      <c r="Q153" s="2205"/>
      <c r="R153" s="2205"/>
      <c r="S153" s="2215"/>
      <c r="T153" s="1592"/>
      <c r="U153" s="1592"/>
      <c r="V153" s="1592"/>
      <c r="W153" s="1592"/>
      <c r="X153" s="1592"/>
      <c r="Y153" s="1592"/>
      <c r="Z153" s="1592"/>
    </row>
    <row r="154" ht="17.6" spans="10:26">
      <c r="J154" s="1592"/>
      <c r="K154" s="1592"/>
      <c r="L154" s="2254"/>
      <c r="M154" s="2205"/>
      <c r="N154" s="2205"/>
      <c r="O154" s="2205"/>
      <c r="P154" s="2205"/>
      <c r="Q154" s="2205"/>
      <c r="R154" s="2205"/>
      <c r="S154" s="2215"/>
      <c r="U154" s="1592"/>
      <c r="V154" s="1592"/>
      <c r="W154" s="1592"/>
      <c r="X154" s="1592"/>
      <c r="Y154" s="1592"/>
      <c r="Z154" s="1592"/>
    </row>
    <row r="155" ht="17.6" spans="12:19">
      <c r="L155" s="2254"/>
      <c r="M155" s="2205"/>
      <c r="N155" s="2205"/>
      <c r="O155" s="2205"/>
      <c r="P155" s="2205"/>
      <c r="Q155" s="2205"/>
      <c r="R155" s="2205"/>
      <c r="S155" s="2215"/>
    </row>
    <row r="156" ht="18.35" spans="12:20">
      <c r="L156" s="2256"/>
      <c r="M156" s="2207"/>
      <c r="N156" s="2207"/>
      <c r="O156" s="2207"/>
      <c r="P156" s="2207"/>
      <c r="Q156" s="2207"/>
      <c r="R156" s="2207"/>
      <c r="S156" s="2216"/>
      <c r="T156" s="2263" t="s">
        <v>1262</v>
      </c>
    </row>
  </sheetData>
  <sheetProtection selectLockedCells="1" formatCells="0"/>
  <protectedRanges>
    <protectedRange sqref="AU41:AV44 AX37:AY40" name="技能表以上_1"/>
  </protectedRanges>
  <mergeCells count="92">
    <mergeCell ref="B2:L2"/>
    <mergeCell ref="N2:Z2"/>
    <mergeCell ref="B3:D3"/>
    <mergeCell ref="E3:F3"/>
    <mergeCell ref="G3:H3"/>
    <mergeCell ref="I3:L3"/>
    <mergeCell ref="O3:Z3"/>
    <mergeCell ref="O4:Z4"/>
    <mergeCell ref="O6:Z6"/>
    <mergeCell ref="O8:Z8"/>
    <mergeCell ref="B10:H10"/>
    <mergeCell ref="I10:J10"/>
    <mergeCell ref="K10:L10"/>
    <mergeCell ref="O10:Z10"/>
    <mergeCell ref="O12:Z12"/>
    <mergeCell ref="O23:Z23"/>
    <mergeCell ref="B24:G24"/>
    <mergeCell ref="H24:L24"/>
    <mergeCell ref="O28:Z28"/>
    <mergeCell ref="O30:Z30"/>
    <mergeCell ref="O32:Z32"/>
    <mergeCell ref="O34:Z34"/>
    <mergeCell ref="N35:Z35"/>
    <mergeCell ref="N38:Z38"/>
    <mergeCell ref="B39:L39"/>
    <mergeCell ref="N41:Z41"/>
    <mergeCell ref="O43:Z43"/>
    <mergeCell ref="O45:Y45"/>
    <mergeCell ref="B84:J84"/>
    <mergeCell ref="B85:J85"/>
    <mergeCell ref="L124:S124"/>
    <mergeCell ref="L131:S131"/>
    <mergeCell ref="A2:A23"/>
    <mergeCell ref="N14:N15"/>
    <mergeCell ref="N17:N18"/>
    <mergeCell ref="N20:N21"/>
    <mergeCell ref="N25:N26"/>
    <mergeCell ref="N36:N37"/>
    <mergeCell ref="N39:N40"/>
    <mergeCell ref="M149:S156"/>
    <mergeCell ref="B94:J95"/>
    <mergeCell ref="M140:S148"/>
    <mergeCell ref="O20:Z21"/>
    <mergeCell ref="P127:Q128"/>
    <mergeCell ref="R127:S128"/>
    <mergeCell ref="B117:E118"/>
    <mergeCell ref="L117:S118"/>
    <mergeCell ref="L127:O130"/>
    <mergeCell ref="N82:AA83"/>
    <mergeCell ref="B119:E125"/>
    <mergeCell ref="U117:Z118"/>
    <mergeCell ref="M132:S139"/>
    <mergeCell ref="G117:J118"/>
    <mergeCell ref="L119:S123"/>
    <mergeCell ref="B75:G76"/>
    <mergeCell ref="H75:M76"/>
    <mergeCell ref="L125:S126"/>
    <mergeCell ref="O75:T76"/>
    <mergeCell ref="U75:Z76"/>
    <mergeCell ref="P129:Q130"/>
    <mergeCell ref="R129:S130"/>
    <mergeCell ref="B96:J101"/>
    <mergeCell ref="O36:Z37"/>
    <mergeCell ref="O70:Z71"/>
    <mergeCell ref="O72:T74"/>
    <mergeCell ref="U72:Z74"/>
    <mergeCell ref="B70:M71"/>
    <mergeCell ref="B68:Z69"/>
    <mergeCell ref="B102:J105"/>
    <mergeCell ref="U119:Z127"/>
    <mergeCell ref="B64:Z66"/>
    <mergeCell ref="E4:F9"/>
    <mergeCell ref="G4:H9"/>
    <mergeCell ref="I11:J23"/>
    <mergeCell ref="K11:L23"/>
    <mergeCell ref="H25:L38"/>
    <mergeCell ref="O17:Z18"/>
    <mergeCell ref="O39:Z40"/>
    <mergeCell ref="O14:Z15"/>
    <mergeCell ref="B40:L60"/>
    <mergeCell ref="O77:Z80"/>
    <mergeCell ref="G119:J125"/>
    <mergeCell ref="B113:Z115"/>
    <mergeCell ref="B81:J83"/>
    <mergeCell ref="B77:M80"/>
    <mergeCell ref="B72:G74"/>
    <mergeCell ref="H72:M74"/>
    <mergeCell ref="B4:D9"/>
    <mergeCell ref="O25:Z26"/>
    <mergeCell ref="I4:L9"/>
    <mergeCell ref="B11:H23"/>
    <mergeCell ref="B25:G38"/>
  </mergeCells>
  <dataValidations count="1">
    <dataValidation type="list" allowBlank="1" showInputMessage="1" showErrorMessage="1" sqref="B4:D9">
      <formula1>附表!$B$95:$B$213</formula1>
    </dataValidation>
  </dataValidations>
  <pageMargins left="0.75" right="0.75" top="1" bottom="1" header="0.509027777777778" footer="0.509027777777778"/>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500"/>
  <sheetViews>
    <sheetView topLeftCell="S14" workbookViewId="0">
      <selection activeCell="AC30" sqref="AC30"/>
    </sheetView>
  </sheetViews>
  <sheetFormatPr defaultColWidth="9" defaultRowHeight="15.2"/>
  <cols>
    <col min="1" max="3" width="9" style="1704"/>
    <col min="4" max="4" width="11.3653846153846" style="1704" customWidth="1"/>
    <col min="5" max="5" width="8.73076923076923" style="1704" customWidth="1"/>
    <col min="6" max="6" width="9.63461538461538" style="1704" customWidth="1"/>
    <col min="7" max="7" width="11.2596153846154" style="1704" customWidth="1"/>
    <col min="8" max="8" width="10.1826923076923" style="1704" customWidth="1"/>
    <col min="9" max="9" width="7.45192307692308" style="1704" customWidth="1"/>
    <col min="10" max="10" width="9.08653846153846" style="1704" customWidth="1"/>
    <col min="11" max="11" width="12.3653846153846" style="1704" customWidth="1"/>
    <col min="12" max="14" width="9" style="1704"/>
    <col min="15" max="29" width="9" style="1704" customWidth="1"/>
    <col min="30" max="30" width="13.4519230769231" style="1704" customWidth="1"/>
    <col min="31" max="31" width="10.6346153846154" style="1704" customWidth="1"/>
    <col min="32" max="34" width="17.7307692307692" style="1704" customWidth="1"/>
    <col min="35" max="37" width="14.6346153846154" style="1704" customWidth="1"/>
    <col min="38" max="40" width="15.9038461538462" style="1704" customWidth="1"/>
    <col min="41" max="41" width="37.6346153846154" style="1704" customWidth="1"/>
    <col min="42" max="42" width="26.1826923076923" style="1704" customWidth="1"/>
    <col min="43" max="43" width="10.0865384615385" style="1704" customWidth="1"/>
    <col min="44" max="44" width="10.9038461538462" style="1704" customWidth="1"/>
    <col min="45" max="45" width="16" style="1704" customWidth="1"/>
    <col min="46" max="51" width="9" style="1704"/>
    <col min="52" max="52" width="14" style="1704"/>
    <col min="53" max="53" width="17.7307692307692" style="1704" customWidth="1"/>
    <col min="54" max="54" width="19.6346153846154" style="1704" customWidth="1"/>
    <col min="55" max="16384" width="9" style="1704"/>
  </cols>
  <sheetData>
    <row r="1" ht="17.55" spans="36:38">
      <c r="AJ1" s="1923" t="s">
        <v>502</v>
      </c>
      <c r="AK1" s="1923"/>
      <c r="AL1" s="1923"/>
    </row>
    <row r="2" ht="15.95" spans="2:35">
      <c r="B2" s="1165" t="s">
        <v>1263</v>
      </c>
      <c r="C2" s="1165"/>
      <c r="D2" s="1165"/>
      <c r="E2" s="1165"/>
      <c r="S2" s="1174" t="s">
        <v>1264</v>
      </c>
      <c r="T2" s="1175"/>
      <c r="U2" s="1175"/>
      <c r="V2" s="1175"/>
      <c r="W2" s="1175"/>
      <c r="X2" s="1175"/>
      <c r="Y2" s="1175"/>
      <c r="Z2" s="1175"/>
      <c r="AA2" s="1175"/>
      <c r="AB2" s="1175"/>
      <c r="AC2" s="1175"/>
      <c r="AD2" s="1175"/>
      <c r="AE2" s="1175"/>
      <c r="AF2" s="1175"/>
      <c r="AG2" s="1175"/>
      <c r="AH2" s="1175"/>
      <c r="AI2" s="1191"/>
    </row>
    <row r="3" ht="34" spans="1:35">
      <c r="A3" s="1705" t="s">
        <v>1265</v>
      </c>
      <c r="B3" s="1706" t="s">
        <v>1266</v>
      </c>
      <c r="C3" s="1707" t="s">
        <v>1267</v>
      </c>
      <c r="D3" s="1708" t="s">
        <v>1268</v>
      </c>
      <c r="E3" s="1754">
        <f>G14-I14</f>
        <v>-25</v>
      </c>
      <c r="G3" s="1755" t="s">
        <v>1269</v>
      </c>
      <c r="H3" s="1756" t="s">
        <v>1270</v>
      </c>
      <c r="I3" s="1756" t="s">
        <v>1271</v>
      </c>
      <c r="J3" s="1756" t="s">
        <v>1272</v>
      </c>
      <c r="K3" s="1756"/>
      <c r="L3" s="1791"/>
      <c r="N3" s="1174" t="s">
        <v>1273</v>
      </c>
      <c r="O3" s="1175"/>
      <c r="P3" s="1191"/>
      <c r="S3" s="1844" t="s">
        <v>507</v>
      </c>
      <c r="T3" s="1845" t="s">
        <v>1274</v>
      </c>
      <c r="U3" s="1854" t="s">
        <v>509</v>
      </c>
      <c r="W3" s="1855" t="s">
        <v>1275</v>
      </c>
      <c r="X3" s="1856" t="s">
        <v>1276</v>
      </c>
      <c r="Y3" s="1872" t="s">
        <v>1277</v>
      </c>
      <c r="Z3" s="1873" t="s">
        <v>1278</v>
      </c>
      <c r="AA3" s="1874" t="s">
        <v>1279</v>
      </c>
      <c r="AB3" s="1875"/>
      <c r="AC3" s="1875"/>
      <c r="AE3" s="1875"/>
      <c r="AF3" s="1875"/>
      <c r="AG3" s="1875"/>
      <c r="AI3" s="1792"/>
    </row>
    <row r="4" ht="18.35" spans="1:37">
      <c r="A4" s="1709"/>
      <c r="B4" s="1710"/>
      <c r="C4" s="1711"/>
      <c r="D4" s="1712" t="s">
        <v>1280</v>
      </c>
      <c r="E4" s="1188">
        <f>J14-I14</f>
        <v>15</v>
      </c>
      <c r="G4" s="1723" t="s">
        <v>1281</v>
      </c>
      <c r="H4" s="1704" t="s">
        <v>1282</v>
      </c>
      <c r="I4" s="1704" t="s">
        <v>1283</v>
      </c>
      <c r="J4" s="1704" t="s">
        <v>1284</v>
      </c>
      <c r="K4" s="1704" t="s">
        <v>1285</v>
      </c>
      <c r="L4" s="1792" t="s">
        <v>1286</v>
      </c>
      <c r="N4" s="1723" t="s">
        <v>1287</v>
      </c>
      <c r="P4" s="1792"/>
      <c r="S4" s="1846" t="str">
        <f>"力量×"&amp;U4</f>
        <v>力量×2</v>
      </c>
      <c r="T4" s="1847" t="str">
        <f>职业列表!J15</f>
        <v>√</v>
      </c>
      <c r="U4" s="1857">
        <f>职业列表!K15</f>
        <v>2</v>
      </c>
      <c r="W4" s="1858" t="str">
        <f>IF(U10&gt;0,S10,"")</f>
        <v>教育×2</v>
      </c>
      <c r="X4" s="1859"/>
      <c r="Y4" s="1859">
        <f>IF(W4="",1,0)</f>
        <v>0</v>
      </c>
      <c r="Z4" s="1875">
        <f>G14*U4</f>
        <v>60</v>
      </c>
      <c r="AA4" s="1876" t="str">
        <f>IF(Y5+Y6+Y7+Y8+Y9+Y10+Y11+Y12=8,"",IF(U10=0,"","+"))</f>
        <v>+</v>
      </c>
      <c r="AF4" s="1892"/>
      <c r="AG4" s="1892"/>
      <c r="AH4" s="1704">
        <f>IF(U4=0,"",G14*U4)</f>
        <v>60</v>
      </c>
      <c r="AI4" s="1792"/>
      <c r="AJ4">
        <f>IF(U4=0,"",G14*U4)</f>
        <v>60</v>
      </c>
      <c r="AK4" s="1925"/>
    </row>
    <row r="5" ht="18.35" spans="1:37">
      <c r="A5" s="1713">
        <f>IF(人物卡!AI12="开",1,IF(人物卡!AI12="关",0))</f>
        <v>0</v>
      </c>
      <c r="B5" s="1166" t="str">
        <f>IF(人物卡!AN12=0,"0",VLOOKUP(人物卡!AN12,'防具表 载具表'!B2:I101,3,FALSE))</f>
        <v> </v>
      </c>
      <c r="C5" s="1712">
        <f>IF(人物卡!E4&lt;40,0,INT((人物卡!E4/10)-3))</f>
        <v>0</v>
      </c>
      <c r="D5" s="1712" t="s">
        <v>1288</v>
      </c>
      <c r="E5" s="1188" t="str">
        <f>IF(E3&gt;0,"1",IF(E3=0,"0",IF(E3&lt;0,"-1")))</f>
        <v>-1</v>
      </c>
      <c r="G5" s="1723">
        <f>AVERAGE(人物卡!AA7+人物卡!R17+人物卡!R18+人物卡!R19+人物卡!R20+人物卡!R26+人物卡!R28+人物卡!R47+人物卡!R48+人物卡!R49+人物卡!AN18+人物卡!AN19+人物卡!AN23+人物卡!AN25+人物卡!AN29+人物卡!AN30+人物卡!AN36+人物卡!AN41+人物卡!AN45-122)</f>
        <v>235</v>
      </c>
      <c r="H5" s="1704">
        <f>AVERAGE(人物卡!AA5+人物卡!R18+人物卡!R19+人物卡!R24+人物卡!R27+人物卡!R29+人物卡!R34+人物卡!R45+人物卡!R47+人物卡!R48+人物卡!R49+人物卡!R50+人物卡!AN17+人物卡!AN27+人物卡!AN29+人物卡!AN30+人物卡!AN36+人物卡!AN41+人物卡!AN45-111-人物卡!J50)</f>
        <v>325</v>
      </c>
      <c r="I5" s="1704">
        <f>AVERAGE((人物卡!U3+人物卡!U7)/2+人物卡!U5+人物卡!AA3+人物卡!R30+人物卡!R35+人物卡!R36+人物卡!R37+人物卡!R39+人物卡!R40+人物卡!R41+人物卡!R45+人物卡!R46+人物卡!AN19+人物卡!AN26+人物卡!AN30+人物卡!AN31+人物卡!AN36+人物卡!AN37+人物卡!AN40+人物卡!AN42+人物卡!AN44+人物卡!AN46+人物卡!AN47-189-人物卡!J30)</f>
        <v>382.5</v>
      </c>
      <c r="J5" s="1704">
        <f>AVERAGE(人物卡!AA3+人物卡!R20+人物卡!R21+人物卡!R22+人物卡!R23+人物卡!R25+人物卡!R29+人物卡!R31+人物卡!R32+人物卡!R46+人物卡!AN20+人物卡!AN21+人物卡!AN22+人物卡!AN24+人物卡!AN26+人物卡!AN28+人物卡!AN31+人物卡!AN35+人物卡!AN37+人物卡!AN38+人物卡!AN39+人物卡!AN40+人物卡!AN41+人物卡!AN42+人物卡!AN43+人物卡!AN44+人物卡!AN46+人物卡!AN47-219)</f>
        <v>180</v>
      </c>
      <c r="K5" s="1704">
        <f>AVERAGE(人物卡!R43+人物卡!AN22+人物卡!AN29+人物卡!R31+人物卡!AN28+人物卡!AN31+人物卡!AN24+人物卡!R27+人物卡!R18+人物卡!AN42+人物卡!AN46+人物卡!AN47-76)</f>
        <v>20</v>
      </c>
      <c r="L5" s="1792">
        <f>AVERAGE(人物卡!AG5+人物卡!AA7+人物卡!R17+人物卡!R18+人物卡!R26+人物卡!R28+人物卡!R33+人物卡!R44+人物卡!R47+人物卡!R48+人物卡!R49+人物卡!R50-人物卡!J50+人物卡!AN17+人物卡!AN18+人物卡!AN22+人物卡!AN23+人物卡!AN25+人物卡!AN29+人物卡!AN30+人物卡!AN32+人物卡!AN33+人物卡!AN34+人物卡!AN45-76)</f>
        <v>185</v>
      </c>
      <c r="N5" s="1723">
        <f>G14+I14</f>
        <v>85</v>
      </c>
      <c r="P5" s="1792"/>
      <c r="R5" s="1848"/>
      <c r="S5" s="1846" t="str">
        <f>"敏捷×"&amp;U5</f>
        <v>敏捷×0</v>
      </c>
      <c r="T5" s="1847" t="str">
        <f>职业列表!J16</f>
        <v>×</v>
      </c>
      <c r="U5" s="1857">
        <f>职业列表!K16</f>
        <v>0</v>
      </c>
      <c r="W5" s="1858" t="str">
        <f t="shared" ref="W5:W10" si="0">IF(U4&gt;0,S4,"")</f>
        <v>力量×2</v>
      </c>
      <c r="X5" s="1859" t="str">
        <f>IF(Y5=0,IF(AB6=1,"或",IF(AB7+AB8=1,"+","")),"")</f>
        <v>或</v>
      </c>
      <c r="Y5" s="1859">
        <f t="shared" ref="Y5:Y12" si="1">IF(W5="",1,0)</f>
        <v>0</v>
      </c>
      <c r="Z5" s="1875">
        <f>J14*U5</f>
        <v>0</v>
      </c>
      <c r="AA5" s="1876" t="str">
        <f>IF(Y6+Y7+Y8+Y9+Y10+Y11+Y12=7,"",X5)</f>
        <v>或</v>
      </c>
      <c r="AB5" s="1877" t="str">
        <f>W4&amp;AA4&amp;W5&amp;AA5&amp;W6&amp;AA6&amp;W7&amp;AA7&amp;W8&amp;AA8&amp;W9&amp;AA9&amp;W10&amp;AA10&amp;W11&amp;AA11&amp;W12</f>
        <v>教育×2+力量×2或体质×2</v>
      </c>
      <c r="AC5" s="1893"/>
      <c r="AD5" s="1894"/>
      <c r="AE5" s="1895"/>
      <c r="AF5" s="1875">
        <f>SUM(AF6:AF10)</f>
        <v>210</v>
      </c>
      <c r="AG5" s="1875"/>
      <c r="AH5" s="1704" t="str">
        <f>IF(U5=0,"",J14*U5)</f>
        <v/>
      </c>
      <c r="AI5" s="1792"/>
      <c r="AJ5" t="str">
        <f>IF(U5=0,"",J14*U5)</f>
        <v/>
      </c>
      <c r="AK5" s="1925"/>
    </row>
    <row r="6" ht="46" spans="1:37">
      <c r="A6" s="1714"/>
      <c r="B6" s="1710" t="s">
        <v>1289</v>
      </c>
      <c r="C6" s="1715" t="s">
        <v>1290</v>
      </c>
      <c r="D6" s="1712" t="s">
        <v>1291</v>
      </c>
      <c r="E6" s="1188" t="str">
        <f>IF(E4&gt;0,"1",IF(E4=0,"0",IF(E4&lt;0,"-1")))</f>
        <v>1</v>
      </c>
      <c r="G6" s="1723"/>
      <c r="J6" s="1704">
        <f>G5+H5+I5+J5+K5+L5</f>
        <v>1327.5</v>
      </c>
      <c r="L6" s="1792"/>
      <c r="N6" s="1710" t="s">
        <v>1292</v>
      </c>
      <c r="O6" s="1171" t="s">
        <v>1293</v>
      </c>
      <c r="P6" s="1825" t="s">
        <v>1294</v>
      </c>
      <c r="R6" s="1848"/>
      <c r="S6" s="1846" t="str">
        <f>"体质×"&amp;U6</f>
        <v>体质×2</v>
      </c>
      <c r="T6" s="1847" t="str">
        <f>职业列表!J17</f>
        <v>√</v>
      </c>
      <c r="U6" s="1857">
        <f>职业列表!K17</f>
        <v>2</v>
      </c>
      <c r="W6" s="1858" t="str">
        <f t="shared" si="0"/>
        <v/>
      </c>
      <c r="X6" s="1859" t="str">
        <f>IF(Y6=0,IF(AB6=1,"或",IF(AB7+AB8=1,"+","")),"")</f>
        <v/>
      </c>
      <c r="Y6" s="1859">
        <f t="shared" si="1"/>
        <v>1</v>
      </c>
      <c r="Z6" s="1875">
        <f>H14*U6</f>
        <v>100</v>
      </c>
      <c r="AA6" s="1876" t="str">
        <f>IF(Y7+Y8+Y9+Y10+Y11+Y12=6,"",X6)</f>
        <v/>
      </c>
      <c r="AB6" s="1878">
        <f>IF(AC6=职业列表!I25,1,0)</f>
        <v>1</v>
      </c>
      <c r="AC6" s="1896" t="s">
        <v>557</v>
      </c>
      <c r="AD6" s="1896"/>
      <c r="AE6" s="1897"/>
      <c r="AF6" s="1898">
        <f>IF(AB6=1,AI10+MAX(AH4:AH12),0)</f>
        <v>210</v>
      </c>
      <c r="AG6" s="1875"/>
      <c r="AH6" s="1704">
        <f>IF(U6=0,"",H14*U6)</f>
        <v>100</v>
      </c>
      <c r="AI6" s="1792"/>
      <c r="AJ6">
        <f>IF(U6=0,"",H14*U6)</f>
        <v>100</v>
      </c>
      <c r="AK6" s="1925"/>
    </row>
    <row r="7" ht="17.6" spans="1:37">
      <c r="A7" s="1714"/>
      <c r="B7" s="1710" t="b">
        <f>ISNUMBER(B5)</f>
        <v>0</v>
      </c>
      <c r="C7" s="1716">
        <f>IF(ISBLANK(人物卡!E4),0,IF(人物卡!E4&gt;=0,C5,0))</f>
        <v>0</v>
      </c>
      <c r="D7" s="1712" t="s">
        <v>1295</v>
      </c>
      <c r="E7" s="1188">
        <f>E6+E5</f>
        <v>0</v>
      </c>
      <c r="G7" s="1723" t="s">
        <v>1281</v>
      </c>
      <c r="H7" s="1704" t="s">
        <v>1282</v>
      </c>
      <c r="I7" s="1704" t="s">
        <v>1283</v>
      </c>
      <c r="J7" s="1704" t="s">
        <v>1284</v>
      </c>
      <c r="K7" s="1704" t="s">
        <v>1285</v>
      </c>
      <c r="L7" s="1792" t="s">
        <v>1286</v>
      </c>
      <c r="N7" s="1166" t="str">
        <f>IF(N5&lt;=1,"0",IF(N5&lt;=64,"-2",IF(N5&lt;=84,"-1",IF(N5&lt;=124,"0",IF(N5&lt;=164,"1",IF(N5&lt;=204,"2",IF(N5&lt;=284,"3",IF(N5&gt;284,"4","0"))))))))</f>
        <v>0</v>
      </c>
      <c r="O7" s="1167">
        <f>INT((N5-285)/80)</f>
        <v>-3</v>
      </c>
      <c r="P7" s="1825" t="str">
        <f>IF(O7&gt;=0,O7+N7,N7)</f>
        <v>0</v>
      </c>
      <c r="R7" s="1848"/>
      <c r="S7" s="1846" t="str">
        <f>"体型×"&amp;U7</f>
        <v>体型×0</v>
      </c>
      <c r="T7" s="1847" t="str">
        <f>职业列表!J18</f>
        <v>×</v>
      </c>
      <c r="U7" s="1857">
        <f>职业列表!K18</f>
        <v>0</v>
      </c>
      <c r="W7" s="1858" t="str">
        <f t="shared" si="0"/>
        <v>体质×2</v>
      </c>
      <c r="X7" s="1859" t="str">
        <f>IF(Y7=0,IF(AB6=1,"或",IF(AB7+AB8=1,"+","")),"")</f>
        <v>或</v>
      </c>
      <c r="Y7" s="1859">
        <f t="shared" si="1"/>
        <v>0</v>
      </c>
      <c r="Z7" s="1875">
        <f>I14*U7</f>
        <v>0</v>
      </c>
      <c r="AA7" s="1876" t="str">
        <f>IF(Y8+Y9+Y10+Y11+Y12=5,"",X7)</f>
        <v/>
      </c>
      <c r="AB7" s="1875">
        <f>IF(AC7=职业列表!I25,1,0)</f>
        <v>0</v>
      </c>
      <c r="AC7" s="1899" t="s">
        <v>1296</v>
      </c>
      <c r="AD7" s="1899"/>
      <c r="AE7" s="1900"/>
      <c r="AF7" s="1901">
        <f>IF(AB7=1,AI10+MIN(AH4:AH12),0)</f>
        <v>0</v>
      </c>
      <c r="AG7" s="1875"/>
      <c r="AH7" s="1704" t="str">
        <f>IF(U7=0,"",I14*U7)</f>
        <v/>
      </c>
      <c r="AI7" s="1792"/>
      <c r="AJ7" s="1704" t="str">
        <f>IF(U7=0,"",I14*U7)</f>
        <v/>
      </c>
      <c r="AK7" s="1925"/>
    </row>
    <row r="8" ht="31.75" spans="1:37">
      <c r="A8" s="1713"/>
      <c r="B8" s="1717" t="s">
        <v>1297</v>
      </c>
      <c r="C8" s="1169" t="str">
        <f>IF(B7=FALSE,"0",IF(A5=1,B5,0))</f>
        <v>0</v>
      </c>
      <c r="D8" s="1718" t="s">
        <v>1298</v>
      </c>
      <c r="E8" s="1189">
        <f>IF(E7=2,"1",IF(E7=-2,"-1",0))</f>
        <v>0</v>
      </c>
      <c r="G8" s="1726">
        <f>G5/J6</f>
        <v>0.177024482109228</v>
      </c>
      <c r="H8" s="1728">
        <f>H5/J6</f>
        <v>0.244821092278719</v>
      </c>
      <c r="I8" s="1728">
        <f>I5/J6</f>
        <v>0.288135593220339</v>
      </c>
      <c r="J8" s="1728">
        <f>J5/J6</f>
        <v>0.135593220338983</v>
      </c>
      <c r="K8" s="1728">
        <f>K5/J6</f>
        <v>0.0150659133709981</v>
      </c>
      <c r="L8" s="1793">
        <f>L5/J6</f>
        <v>0.139359698681733</v>
      </c>
      <c r="N8" s="1710" t="s">
        <v>1299</v>
      </c>
      <c r="O8" s="1171" t="s">
        <v>1300</v>
      </c>
      <c r="P8" s="1825" t="s">
        <v>1301</v>
      </c>
      <c r="R8" s="1848"/>
      <c r="S8" s="1846" t="str">
        <f>"外貌×"&amp;U8</f>
        <v>外貌×0</v>
      </c>
      <c r="T8" s="1847" t="str">
        <f>职业列表!J19</f>
        <v>×</v>
      </c>
      <c r="U8" s="1857">
        <f>职业列表!K19</f>
        <v>0</v>
      </c>
      <c r="W8" s="1858" t="str">
        <f t="shared" si="0"/>
        <v/>
      </c>
      <c r="X8" s="1859" t="str">
        <f>IF(Y8=0,IF(AB6=1,"或",IF(AB7+AB8=1,"+","")),"")</f>
        <v/>
      </c>
      <c r="Y8" s="1859">
        <f t="shared" si="1"/>
        <v>1</v>
      </c>
      <c r="Z8" s="1875">
        <f>K14*U8</f>
        <v>0</v>
      </c>
      <c r="AA8" s="1876" t="str">
        <f>IF(Y9+Y10+Y11+Y12=4,"",X8)</f>
        <v/>
      </c>
      <c r="AB8" s="1167">
        <f>IF(AC8=职业列表!I25,1,0)</f>
        <v>0</v>
      </c>
      <c r="AC8" s="1892" t="s">
        <v>1302</v>
      </c>
      <c r="AD8" s="1875"/>
      <c r="AE8" s="1792"/>
      <c r="AF8" s="1792">
        <f>IF(AB8=1,MAX(AJ4:AJ12)+LARGE(AJ4:AJ12,2),0)</f>
        <v>0</v>
      </c>
      <c r="AG8" s="1875"/>
      <c r="AH8" s="1704" t="str">
        <f>IF(U8=0,"",K14*U8)</f>
        <v/>
      </c>
      <c r="AI8" s="1792"/>
      <c r="AJ8" s="1704" t="str">
        <f>IF(U8=0,"",K14*U8)</f>
        <v/>
      </c>
      <c r="AK8" s="1925"/>
    </row>
    <row r="9" ht="18.35" spans="2:37">
      <c r="B9" s="1719" t="s">
        <v>1303</v>
      </c>
      <c r="C9" s="1720">
        <f>E8-C8-C7</f>
        <v>0</v>
      </c>
      <c r="D9" s="1720"/>
      <c r="E9" s="1757"/>
      <c r="N9" s="1166" t="str">
        <f>IF(P7="-2","-2",IF(P7="-1","-1",IF(P7="0","0",IF(P7="1","+1D4",IF(P7=2,"+1D6",IF(P7&gt;2,"D6",0))))))</f>
        <v>0</v>
      </c>
      <c r="O9" s="1167" t="str">
        <f>IF(N9="D6",P7-1,"0")</f>
        <v>0</v>
      </c>
      <c r="P9" s="1189" t="str">
        <f>IF(N9="D6",O10,N9)</f>
        <v>0</v>
      </c>
      <c r="R9" s="1848"/>
      <c r="S9" s="1846" t="str">
        <f>"智力×"&amp;U9</f>
        <v>智力×0</v>
      </c>
      <c r="T9" s="1847" t="str">
        <f>职业列表!J20</f>
        <v>×</v>
      </c>
      <c r="U9" s="1857">
        <f>职业列表!K20</f>
        <v>0</v>
      </c>
      <c r="W9" s="1858" t="str">
        <f t="shared" si="0"/>
        <v/>
      </c>
      <c r="X9" s="1859" t="str">
        <f>IF(Y9=0,IF(AB6=1,"或",IF(AB7+AB8=1,"+","")),"")</f>
        <v/>
      </c>
      <c r="Y9" s="1859">
        <f t="shared" si="1"/>
        <v>1</v>
      </c>
      <c r="Z9" s="1875">
        <f>L14*U9</f>
        <v>0</v>
      </c>
      <c r="AA9" s="1876" t="str">
        <f>IF(Y10+Y11+Y12=3,"",X9)</f>
        <v/>
      </c>
      <c r="AB9" s="1704">
        <f>IF(AC9=职业列表!I25,1,0)</f>
        <v>0</v>
      </c>
      <c r="AC9" s="1704" t="s">
        <v>1304</v>
      </c>
      <c r="AE9" s="1900"/>
      <c r="AF9" s="1793">
        <f>IF(AB9=1,MAX(AJ4:AJ12)+MIN(AJ4:AJ12),0)</f>
        <v>0</v>
      </c>
      <c r="AH9" s="1704" t="str">
        <f>IF(U9=0,"",L14*U9)</f>
        <v/>
      </c>
      <c r="AI9" s="1792"/>
      <c r="AJ9" s="1704" t="str">
        <f>IF(U9=0,"",L14*U9)</f>
        <v/>
      </c>
      <c r="AK9" s="1925"/>
    </row>
    <row r="10" ht="18.35" spans="2:37">
      <c r="B10" s="1721" t="s">
        <v>1305</v>
      </c>
      <c r="C10" s="1722"/>
      <c r="D10" s="1722"/>
      <c r="E10" s="1754"/>
      <c r="N10" s="1726"/>
      <c r="O10" s="1728" t="str">
        <f>"+"&amp;O9&amp;"D6"</f>
        <v>+0D6</v>
      </c>
      <c r="P10" s="1793"/>
      <c r="R10" s="1848"/>
      <c r="S10" s="1846" t="str">
        <f>"教育×"&amp;U10</f>
        <v>教育×2</v>
      </c>
      <c r="T10" s="1847" t="str">
        <f>职业列表!J21</f>
        <v>√</v>
      </c>
      <c r="U10" s="1857">
        <f>职业列表!K21</f>
        <v>2</v>
      </c>
      <c r="W10" s="1858" t="str">
        <f t="shared" si="0"/>
        <v/>
      </c>
      <c r="X10" s="1859" t="str">
        <f>IF(Y10=0,IF(AB6=1,"或",IF(AB7+AB8=1,"+","")),"")</f>
        <v/>
      </c>
      <c r="Y10" s="1859">
        <f t="shared" si="1"/>
        <v>1</v>
      </c>
      <c r="Z10" s="1875">
        <f>N14*U10</f>
        <v>110</v>
      </c>
      <c r="AA10" s="1876" t="str">
        <f>IF(Y11+Y12=2,"",X10)</f>
        <v/>
      </c>
      <c r="AB10" s="1728">
        <f>IF(AC10=职业列表!I25,1,0)</f>
        <v>0</v>
      </c>
      <c r="AC10" s="1902" t="s">
        <v>1306</v>
      </c>
      <c r="AD10" s="1728"/>
      <c r="AE10" s="1903"/>
      <c r="AF10" s="1793">
        <f>IF(AB10=1,SUM(AJ4:AJ12),0)</f>
        <v>0</v>
      </c>
      <c r="AH10" s="1704" t="str">
        <f>""</f>
        <v/>
      </c>
      <c r="AI10" s="1792">
        <f>IF(U10=0,0,N14*U10)</f>
        <v>110</v>
      </c>
      <c r="AJ10" s="1704">
        <f>IF(U10=0,"",N14*U10)</f>
        <v>110</v>
      </c>
      <c r="AK10" s="1925"/>
    </row>
    <row r="11" ht="18.35" spans="2:37">
      <c r="B11" s="1723" t="s">
        <v>1307</v>
      </c>
      <c r="C11" s="1724">
        <f>IF(人物卡!H36="鞭子","5",IF(人物卡!H36="电锯","10",IF(人物卡!H36="斧","15",IF(人物卡!H36="剑","20",IF(人物卡!H36="绞具","15",IF(人物卡!H36="链枷","10",IF(人物卡!H36="矛","20",IF(人物卡!H36=人物卡!AU27,人物卡!BA27,0))))))))</f>
        <v>0</v>
      </c>
      <c r="D11" s="1704" t="s">
        <v>1308</v>
      </c>
      <c r="E11" s="1758">
        <f>IF(人物卡!H40="步枪/霰弹枪","25",IF(人物卡!H40="冲锋枪","15",IF(人物卡!H40="弓","15",IF(人物卡!H40="喷射器","10",IF(人物卡!H40="机枪","10",IF(人物卡!H40="重武器","10",IF(人物卡!H40=人物卡!AU27,人物卡!BA27,0)))))))</f>
        <v>0</v>
      </c>
      <c r="R11" s="1848"/>
      <c r="S11" s="1846" t="str">
        <f>"意志×"&amp;U11</f>
        <v>意志×0</v>
      </c>
      <c r="T11" s="1847" t="str">
        <f>职业列表!J22</f>
        <v>×</v>
      </c>
      <c r="U11" s="1857">
        <f>职业列表!K22</f>
        <v>0</v>
      </c>
      <c r="W11" s="1858" t="str">
        <f>IF(U11&gt;0,S11,"")</f>
        <v/>
      </c>
      <c r="X11" s="1859" t="str">
        <f>IF(Y11=0,IF(AB6=1,"或",IF(AB7+AB8=1,"+","")),"")</f>
        <v/>
      </c>
      <c r="Y11" s="1859">
        <f t="shared" si="1"/>
        <v>1</v>
      </c>
      <c r="Z11" s="1875">
        <f>M14*U11</f>
        <v>0</v>
      </c>
      <c r="AA11" s="1876" t="str">
        <f>IF(Y12=1,"",X11)</f>
        <v/>
      </c>
      <c r="AE11" s="1904"/>
      <c r="AF11" s="1875"/>
      <c r="AH11" s="1704" t="str">
        <f>IF(U11=0,"",M14*U11)</f>
        <v/>
      </c>
      <c r="AI11" s="1792"/>
      <c r="AJ11" s="1704" t="str">
        <f>IF(U11=0,"",M14*U11)</f>
        <v/>
      </c>
      <c r="AK11" s="1925"/>
    </row>
    <row r="12" ht="18.35" spans="2:37">
      <c r="B12" s="1723" t="s">
        <v>1309</v>
      </c>
      <c r="C12" s="1725">
        <f>IF(人物卡!H37="鞭子","5",IF(人物卡!H37="电锯","10",IF(人物卡!H37="斧","15",IF(人物卡!H37="剑","20",IF(人物卡!H37="绞具","15",IF(人物卡!H37="链枷","10",IF(人物卡!H37="矛","20",IF(人物卡!H37=人物卡!AU27,人物卡!BA27,0))))))))</f>
        <v>0</v>
      </c>
      <c r="D12" s="1704" t="s">
        <v>1310</v>
      </c>
      <c r="E12" s="1759">
        <f>IF(人物卡!H41="步枪/霰弹枪","25",IF(人物卡!H41="冲锋枪","15",IF(人物卡!H41="弓","15",IF(人物卡!H41="喷射器","10",IF(人物卡!H41="机枪","10",IF(人物卡!H41="重武器","10",IF(人物卡!H41=人物卡!AU27,人物卡!BA27,0)))))))</f>
        <v>0</v>
      </c>
      <c r="G12" s="1755" t="s">
        <v>1311</v>
      </c>
      <c r="H12" s="1760" t="s">
        <v>1312</v>
      </c>
      <c r="I12" s="1756" t="s">
        <v>1313</v>
      </c>
      <c r="J12" s="1756"/>
      <c r="K12" s="1756"/>
      <c r="L12" s="1756"/>
      <c r="M12" s="1756"/>
      <c r="N12" s="1756"/>
      <c r="O12" s="1791"/>
      <c r="R12" s="1848"/>
      <c r="S12" s="1849" t="str">
        <f>"幸运×"&amp;U12</f>
        <v>幸运×0</v>
      </c>
      <c r="T12" s="1850" t="str">
        <f>职业列表!J23</f>
        <v>×</v>
      </c>
      <c r="U12" s="1860">
        <f>职业列表!K23</f>
        <v>0</v>
      </c>
      <c r="V12" s="1728"/>
      <c r="W12" s="1861" t="str">
        <f>IF(U12&gt;0,S12,"")</f>
        <v/>
      </c>
      <c r="X12" s="1862" t="str">
        <f>IF(Y12=0,IF(AB6=1,"或",IF(AB7+AB8=1,"+","")),"")</f>
        <v/>
      </c>
      <c r="Y12" s="1862">
        <f t="shared" si="1"/>
        <v>1</v>
      </c>
      <c r="Z12" s="1879">
        <f>O14*U12</f>
        <v>0</v>
      </c>
      <c r="AA12" s="1880"/>
      <c r="AB12" s="1728"/>
      <c r="AC12" s="1728"/>
      <c r="AD12" s="1728"/>
      <c r="AE12" s="1728"/>
      <c r="AF12" s="1728"/>
      <c r="AG12" s="1728"/>
      <c r="AH12" s="1728" t="str">
        <f>IF(U12=0,"",O14*U12)</f>
        <v/>
      </c>
      <c r="AI12" s="1793"/>
      <c r="AJ12" s="1704" t="str">
        <f>IF(U12=0,"",O14*U12)</f>
        <v/>
      </c>
      <c r="AK12" s="1875"/>
    </row>
    <row r="13" ht="31" customHeight="1" spans="2:15">
      <c r="B13" s="1726" t="s">
        <v>1314</v>
      </c>
      <c r="C13" s="1727">
        <f>IF(人物卡!H38="鞭子","5",IF(人物卡!H38="电锯","10",IF(人物卡!H38="斧","15",IF(人物卡!H38="剑","20",IF(人物卡!H38="绞具","15",IF(人物卡!H38="链枷","10",IF(人物卡!H38=人物卡!AU27,人物卡!BA27,0)))))))</f>
        <v>0</v>
      </c>
      <c r="D13" s="1728" t="s">
        <v>1315</v>
      </c>
      <c r="E13" s="1761">
        <f>IF(人物卡!H42="步枪/霰弹枪","25",IF(人物卡!H42="冲锋枪","15",IF(人物卡!H42="弓","15",IF(人物卡!H42="喷射器","10",IF(人物卡!H42="机枪","10",IF(人物卡!H42="重武器","10",IF(人物卡!H42=人物卡!AU27,人物卡!BA27,0)))))))</f>
        <v>0</v>
      </c>
      <c r="G13" s="1762" t="s">
        <v>10</v>
      </c>
      <c r="H13" s="1763" t="s">
        <v>19</v>
      </c>
      <c r="I13" s="1794" t="s">
        <v>30</v>
      </c>
      <c r="J13" s="1763" t="s">
        <v>11</v>
      </c>
      <c r="K13" s="1794" t="s">
        <v>20</v>
      </c>
      <c r="L13" s="1763" t="s">
        <v>31</v>
      </c>
      <c r="M13" s="1794" t="s">
        <v>12</v>
      </c>
      <c r="N13" s="1763" t="s">
        <v>21</v>
      </c>
      <c r="O13" s="1826" t="s">
        <v>32</v>
      </c>
    </row>
    <row r="14" ht="28" customHeight="1" spans="2:53">
      <c r="B14" s="1704" t="s">
        <v>1316</v>
      </c>
      <c r="G14" s="1764">
        <f>STR</f>
        <v>30</v>
      </c>
      <c r="H14" s="1765">
        <f>CON</f>
        <v>50</v>
      </c>
      <c r="I14" s="1795">
        <f>SIZ</f>
        <v>55</v>
      </c>
      <c r="J14" s="1765">
        <f>DEX</f>
        <v>70</v>
      </c>
      <c r="K14" s="1795">
        <f>APP</f>
        <v>80</v>
      </c>
      <c r="L14" s="1765">
        <f>INT</f>
        <v>80</v>
      </c>
      <c r="M14" s="1795">
        <f>POW</f>
        <v>60</v>
      </c>
      <c r="N14" s="1765">
        <f>EDU</f>
        <v>55</v>
      </c>
      <c r="O14" s="1827">
        <f>Luck</f>
        <v>50</v>
      </c>
      <c r="U14" s="1863" t="s">
        <v>1317</v>
      </c>
      <c r="V14" s="1864"/>
      <c r="W14" s="1865"/>
      <c r="Z14" s="1881" t="s">
        <v>1283</v>
      </c>
      <c r="AA14" s="1882" t="s">
        <v>1318</v>
      </c>
      <c r="AB14" s="1883" t="s">
        <v>152</v>
      </c>
      <c r="AC14" s="1883" t="s">
        <v>118</v>
      </c>
      <c r="AD14" s="1729" t="s">
        <v>159</v>
      </c>
      <c r="AE14" s="1729" t="s">
        <v>144</v>
      </c>
      <c r="AF14" s="1729" t="s">
        <v>1307</v>
      </c>
      <c r="AG14" s="1729"/>
      <c r="AH14" s="1729"/>
      <c r="AI14" s="1729" t="s">
        <v>1309</v>
      </c>
      <c r="AJ14" s="1729"/>
      <c r="AK14" s="1729"/>
      <c r="AL14" s="1729" t="s">
        <v>1314</v>
      </c>
      <c r="AM14" s="1729"/>
      <c r="AN14" s="1729"/>
      <c r="AO14" s="1729" t="s">
        <v>1308</v>
      </c>
      <c r="AP14" s="1729" t="s">
        <v>1310</v>
      </c>
      <c r="AQ14" s="1729" t="s">
        <v>1315</v>
      </c>
      <c r="AR14" s="1883" t="s">
        <v>126</v>
      </c>
      <c r="AS14" s="1883" t="s">
        <v>140</v>
      </c>
      <c r="AT14" s="1933" t="s">
        <v>1319</v>
      </c>
      <c r="AU14" s="1933" t="s">
        <v>1320</v>
      </c>
      <c r="AV14" s="1934" t="s">
        <v>1321</v>
      </c>
      <c r="AZ14" s="1929" t="s">
        <v>1313</v>
      </c>
      <c r="BA14" s="1171">
        <f>IF(AX27="仅显示1890~2012","",VLOOKUP(AX27,AZ25:BB29,3,FALSE))</f>
        <v>0</v>
      </c>
    </row>
    <row r="15" ht="31" customHeight="1" spans="2:53">
      <c r="B15" s="1729" t="s">
        <v>101</v>
      </c>
      <c r="C15" s="1730" t="str">
        <f>IF(人物卡!M5=0," ",LOOKUP(人物卡!M5,职业列表!A2:A232,职业列表!H2:H232))</f>
        <v>会计，两项社交技能（取悦、话术、恐吓、说服），法律，图书馆，聆听，锁匠，艺术及手艺（摄影），侦查，任意一项其他个人或时代特长</v>
      </c>
      <c r="D15" s="1731"/>
      <c r="E15" s="1732" t="str">
        <f>IF(人物卡!M5=0,"","["&amp;LOOKUP(人物卡!M5,职业列表!A2:A232,职业列表!B2:B232)&amp;"]的本职技能：")</f>
        <v>[私家侦探]的本职技能：</v>
      </c>
      <c r="G15" s="1733" t="str">
        <f>IF(F16=1,J16,J15)</f>
        <v>经历包</v>
      </c>
      <c r="H15" s="1733"/>
      <c r="J15" s="1704" t="s">
        <v>1322</v>
      </c>
      <c r="O15" s="1828" t="s">
        <v>1323</v>
      </c>
      <c r="P15" s="1829"/>
      <c r="Q15" s="1851"/>
      <c r="U15" s="1831">
        <v>1</v>
      </c>
      <c r="V15" s="1866">
        <f>人物卡!H40</f>
        <v>0</v>
      </c>
      <c r="W15" s="1791">
        <f t="shared" ref="W15:W17" si="2">IF(V15="步枪/霰弹枪",1,0)</f>
        <v>0</v>
      </c>
      <c r="Z15" s="1884"/>
      <c r="AA15" s="1885" t="b">
        <f>IF(人物卡!M55=AA14,"")</f>
        <v>0</v>
      </c>
      <c r="AB15" s="1886" t="b">
        <f>IF(人物卡!M55=人物卡!AB44,人物卡!AN44)</f>
        <v>0</v>
      </c>
      <c r="AC15" s="1886" t="b">
        <f>IF(人物卡!M55=人物卡!F32,人物卡!R32)</f>
        <v>0</v>
      </c>
      <c r="AD15" s="1713" t="b">
        <f>IF(人物卡!M55=人物卡!AB47,人物卡!AN47)</f>
        <v>0</v>
      </c>
      <c r="AE15" s="1713" t="b">
        <f>IF(人物卡!M55=人物卡!AB40,人物卡!AN40)</f>
        <v>0</v>
      </c>
      <c r="AF15" s="1713" t="b">
        <f>IF(人物卡!M55=人物卡!H36,人物卡!R36)</f>
        <v>0</v>
      </c>
      <c r="AG15" s="1713"/>
      <c r="AH15" s="1713"/>
      <c r="AI15" s="1713" t="b">
        <f>IF(人物卡!M55=人物卡!H37,人物卡!R37)</f>
        <v>0</v>
      </c>
      <c r="AJ15" s="1713"/>
      <c r="AK15" s="1713"/>
      <c r="AL15" s="1713" t="b">
        <f>IF(人物卡!M55=人物卡!H38,人物卡!R38)</f>
        <v>0</v>
      </c>
      <c r="AM15" s="1713"/>
      <c r="AN15" s="1713"/>
      <c r="AO15" s="1928" t="b">
        <f>IF(人物卡!M55=人物卡!H40,人物卡!R40)</f>
        <v>0</v>
      </c>
      <c r="AP15" s="1928" t="b">
        <f>IF(人物卡!M55=人物卡!H41,人物卡!R41)</f>
        <v>0</v>
      </c>
      <c r="AQ15" s="1928" t="b">
        <f>IF(人物卡!M55=人物卡!H42,人物卡!R42)</f>
        <v>0</v>
      </c>
      <c r="AR15" s="1886">
        <f>IF(人物卡!M55=人物卡!H35,人物卡!R35)</f>
        <v>25</v>
      </c>
      <c r="AS15" s="1886" t="b">
        <f>IF(人物卡!M55=人物卡!H39,人物卡!R39)</f>
        <v>0</v>
      </c>
      <c r="AT15" s="1935" t="b">
        <f>IF(AU15=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0</v>
      </c>
      <c r="AU15" s="1935">
        <f>MAX(AA15:AS15)</f>
        <v>25</v>
      </c>
      <c r="AV15" s="1936">
        <f t="shared" ref="AV15:AV17" si="3">IF(AU15=0,AT15,AU15)</f>
        <v>25</v>
      </c>
      <c r="BA15" s="1171"/>
    </row>
    <row r="16" ht="34" customHeight="1" spans="2:53">
      <c r="B16" s="1713"/>
      <c r="C16" s="1732" t="str">
        <f>IF(D16=A30,G20,L34)</f>
        <v>攀爬，格斗(斗殴)，射击(手枪)，急救，聆听，导航，(取悦，说服，恐吓)中选一项，潜行，投掷，侦查</v>
      </c>
      <c r="D16" s="1731">
        <f>人物卡!E117</f>
        <v>0</v>
      </c>
      <c r="E16" s="1766" t="str">
        <f>IF(B30=0,"","["&amp;D16&amp;"]经历包可选技能：")</f>
        <v>[0]经历包可选技能：</v>
      </c>
      <c r="F16" s="1704">
        <f>IF(人物卡!B13=E16,1,0)</f>
        <v>1</v>
      </c>
      <c r="G16" s="1733"/>
      <c r="H16" s="1733"/>
      <c r="J16" s="1704" t="s">
        <v>1324</v>
      </c>
      <c r="K16" s="1145"/>
      <c r="L16" s="1796" t="s">
        <v>1325</v>
      </c>
      <c r="M16" s="1830"/>
      <c r="O16" s="1831" t="s">
        <v>1326</v>
      </c>
      <c r="P16" s="1756"/>
      <c r="Q16" s="1791"/>
      <c r="U16" s="1723">
        <v>2</v>
      </c>
      <c r="V16" s="1171">
        <f>人物卡!H41</f>
        <v>0</v>
      </c>
      <c r="W16" s="1792">
        <f t="shared" si="2"/>
        <v>0</v>
      </c>
      <c r="Z16" s="1884"/>
      <c r="AA16" s="1885" t="str">
        <f>IF(人物卡!M56=AA14,"")</f>
        <v/>
      </c>
      <c r="AB16" s="1886" t="b">
        <f>IF(人物卡!M56=AB14,人物卡!AN44)</f>
        <v>0</v>
      </c>
      <c r="AC16" s="1886" t="b">
        <f>IF(人物卡!M56=AC14,人物卡!R32)</f>
        <v>0</v>
      </c>
      <c r="AD16" s="1713" t="b">
        <f>IF(人物卡!M56=AD14,人物卡!AN47)</f>
        <v>0</v>
      </c>
      <c r="AE16" s="1713" t="b">
        <f>IF(人物卡!M56=AE14,人物卡!AN40)</f>
        <v>0</v>
      </c>
      <c r="AF16" s="1713" t="b">
        <f>IF(ISBLANK(人物卡!H36),FALSE,IF(人物卡!M56=人物卡!H36,人物卡!R36))</f>
        <v>0</v>
      </c>
      <c r="AG16" s="1713"/>
      <c r="AH16" s="1713"/>
      <c r="AI16" s="1713" t="b">
        <f>IF(ISBLANK(人物卡!H37),FALSE,IF(人物卡!M56=人物卡!H37,人物卡!R37))</f>
        <v>0</v>
      </c>
      <c r="AJ16" s="1713"/>
      <c r="AK16" s="1713"/>
      <c r="AL16" s="1713" t="b">
        <f>IF(ISBLANK(人物卡!H38),FALSE,IF(人物卡!M56=人物卡!H38,人物卡!R38))</f>
        <v>0</v>
      </c>
      <c r="AM16" s="1713"/>
      <c r="AN16" s="1713"/>
      <c r="AO16" s="1928" t="b">
        <f>IF(ISBLANK(人物卡!H40),FALSE,IF(人物卡!M56=人物卡!H40,人物卡!R40))</f>
        <v>0</v>
      </c>
      <c r="AP16" s="1928" t="b">
        <f>IF(ISBLANK(人物卡!H41),FALSE,IF(人物卡!M56=人物卡!H41,人物卡!R41))</f>
        <v>0</v>
      </c>
      <c r="AQ16" s="1928" t="b">
        <f>IF(ISBLANK(人物卡!H42),FALSE,IF(人物卡!M56=人物卡!H42,人物卡!R42))</f>
        <v>0</v>
      </c>
      <c r="AR16" s="1886" t="b">
        <f>IF(人物卡!M56=AR14,人物卡!R35)</f>
        <v>0</v>
      </c>
      <c r="AS16" s="1886" t="b">
        <f>IF(人物卡!M56=AS14,人物卡!R39)</f>
        <v>0</v>
      </c>
      <c r="AT16" s="1937" t="str">
        <f>IF(AU16=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6" s="1937">
        <f>MAX(AA16:AS16)</f>
        <v>0</v>
      </c>
      <c r="AV16" s="1938" t="str">
        <f t="shared" si="3"/>
        <v/>
      </c>
      <c r="BA16" s="1171"/>
    </row>
    <row r="17" ht="17.25" customHeight="1" spans="2:53">
      <c r="B17" s="1733" t="str">
        <f>IF(AND(F16=1,A32=1),C16,C15)</f>
        <v>会计，两项社交技能（取悦、话术、恐吓、说服），法律，图书馆，聆听，锁匠，艺术及手艺（摄影），侦查，任意一项其他个人或时代特长</v>
      </c>
      <c r="C17" s="1733"/>
      <c r="D17" s="1733"/>
      <c r="E17" s="1733"/>
      <c r="F17" s="1733"/>
      <c r="G17" s="1733"/>
      <c r="H17" s="1732"/>
      <c r="I17" s="1732"/>
      <c r="J17" s="1732"/>
      <c r="K17" s="1732"/>
      <c r="L17" s="1797" t="s">
        <v>404</v>
      </c>
      <c r="M17" s="1832" t="s">
        <v>1320</v>
      </c>
      <c r="O17" s="1723" t="s">
        <v>1327</v>
      </c>
      <c r="Q17" s="1792"/>
      <c r="R17" s="1831" t="s">
        <v>47</v>
      </c>
      <c r="S17" s="1791" t="s">
        <v>48</v>
      </c>
      <c r="U17" s="1723">
        <v>3</v>
      </c>
      <c r="V17" s="1171">
        <f>人物卡!H42</f>
        <v>0</v>
      </c>
      <c r="W17" s="1792">
        <f t="shared" si="2"/>
        <v>0</v>
      </c>
      <c r="Z17" s="1884"/>
      <c r="AA17" s="1885" t="b">
        <f>IF(人物卡!M57=AA14,"")</f>
        <v>0</v>
      </c>
      <c r="AB17" s="1886" t="b">
        <f>IF(人物卡!M57=AB14,人物卡!AN44)</f>
        <v>0</v>
      </c>
      <c r="AC17" s="1886" t="b">
        <f>IF(人物卡!M57=AC14,人物卡!R32)</f>
        <v>0</v>
      </c>
      <c r="AD17" s="1713" t="b">
        <f>IF(人物卡!M57=AD14,人物卡!AN47)</f>
        <v>0</v>
      </c>
      <c r="AE17" s="1713" t="b">
        <f>IF(人物卡!M57=AE14,人物卡!AN40)</f>
        <v>0</v>
      </c>
      <c r="AF17" s="1713" t="b">
        <f>IF(ISBLANK(人物卡!H36),FALSE,IF(人物卡!M57=人物卡!H36,人物卡!R36))</f>
        <v>0</v>
      </c>
      <c r="AG17" s="1713"/>
      <c r="AH17" s="1713"/>
      <c r="AI17" s="1713" t="b">
        <f>IF(ISBLANK(人物卡!H37),FALSE,IF(人物卡!M57=人物卡!H37,人物卡!R37))</f>
        <v>0</v>
      </c>
      <c r="AJ17" s="1713"/>
      <c r="AK17" s="1713"/>
      <c r="AL17" s="1713" t="b">
        <f>IF(ISBLANK(人物卡!H38),FALSE,IF(人物卡!M57=人物卡!H38,人物卡!R38))</f>
        <v>0</v>
      </c>
      <c r="AM17" s="1713"/>
      <c r="AN17" s="1713"/>
      <c r="AO17" s="1928" t="b">
        <f>IF(ISBLANK(人物卡!H40),FALSE,IF(人物卡!M57=人物卡!H40,人物卡!R40))</f>
        <v>0</v>
      </c>
      <c r="AP17" s="1928" t="b">
        <f>IF(ISBLANK(人物卡!H41),FALSE,IF(人物卡!M57=人物卡!H41,人物卡!R41))</f>
        <v>0</v>
      </c>
      <c r="AQ17" s="1928" t="b">
        <f>IF(ISBLANK(人物卡!H42),FALSE,IF(人物卡!M57=人物卡!H42,人物卡!R42))</f>
        <v>0</v>
      </c>
      <c r="AR17" s="1886" t="b">
        <f>IF(人物卡!M57=AR14,人物卡!R35)</f>
        <v>0</v>
      </c>
      <c r="AS17" s="1886" t="b">
        <f>IF(人物卡!M57=AS14,人物卡!R39)</f>
        <v>0</v>
      </c>
      <c r="AT17" s="1937" t="str">
        <f>IF(AU17=0,IF(人物卡!M57=附表!U220,附表!V220,IF(人物卡!M57=附表!U221,附表!V221,IF(人物卡!M57=附表!U219,附表!V219,IF(人物卡!M57=附表!U224,附表!V224,IF(人物卡!M57=附表!U225,附表!V225,IF(人物卡!M57=附表!U223,附表!V223,IF(人物卡!M57=附表!U222,附表!V222,IF(人物卡!M57=附表!U226,技能注释!#REF!,IF(人物卡!M57=附表!Q220,附表!R220,IF(人物卡!M57=附表!Q221,附表!R221,IF(人物卡!M57=附表!Q222,附表!R222,IF(人物卡!M57=附表!Q223,附表!R223,IF(人物卡!M57=附表!Q224,附表!R224,IF(人物卡!M57=附表!Q219,附表!R219,IF(人物卡!M57=附表!Q225,附表!R225,""))))))))))))))))</f>
        <v/>
      </c>
      <c r="AU17" s="1937">
        <f>MAX(AA17:AS17)</f>
        <v>0</v>
      </c>
      <c r="AV17" s="1938" t="str">
        <f t="shared" si="3"/>
        <v/>
      </c>
      <c r="BA17" s="1171"/>
    </row>
    <row r="18" ht="17.25" customHeight="1" spans="2:53">
      <c r="B18" s="1174" t="s">
        <v>423</v>
      </c>
      <c r="C18" s="1175"/>
      <c r="D18" s="1175"/>
      <c r="E18" s="1175"/>
      <c r="F18" s="1175"/>
      <c r="G18" s="1175"/>
      <c r="H18" s="1756"/>
      <c r="I18" s="1756"/>
      <c r="J18" s="1756"/>
      <c r="K18" s="1791"/>
      <c r="L18" s="1798">
        <f>M14</f>
        <v>60</v>
      </c>
      <c r="M18" s="1833">
        <f>人物卡!P10</f>
        <v>99</v>
      </c>
      <c r="O18" s="1723" t="s">
        <v>1328</v>
      </c>
      <c r="Q18" s="1792"/>
      <c r="R18" s="1723" t="s">
        <v>297</v>
      </c>
      <c r="S18" s="1792" t="s">
        <v>323</v>
      </c>
      <c r="U18" s="1867" t="s">
        <v>1329</v>
      </c>
      <c r="V18" s="1728" t="str">
        <f>人物卡!AB49</f>
        <v>自定义技能</v>
      </c>
      <c r="W18" s="1793">
        <f>IF(V18="自定义技能",1,0)</f>
        <v>1</v>
      </c>
      <c r="Z18" s="1887"/>
      <c r="AA18" s="1888"/>
      <c r="AB18" s="1888"/>
      <c r="AC18" s="1888"/>
      <c r="AD18" s="1888"/>
      <c r="AE18" s="1888"/>
      <c r="AF18" s="1888"/>
      <c r="AG18" s="1888"/>
      <c r="AH18" s="1888"/>
      <c r="AI18" s="1888"/>
      <c r="AJ18" s="1888"/>
      <c r="AK18" s="1888"/>
      <c r="AL18" s="1926"/>
      <c r="AM18" s="1912"/>
      <c r="AN18" s="1912"/>
      <c r="AO18" s="1912"/>
      <c r="AP18" s="1912"/>
      <c r="AQ18" s="1912"/>
      <c r="AR18" s="1912"/>
      <c r="AS18" s="1912"/>
      <c r="AT18" s="1912"/>
      <c r="AU18" s="1937"/>
      <c r="AV18" s="1938"/>
      <c r="BA18" s="1171"/>
    </row>
    <row r="19" ht="17.25" customHeight="1" spans="2:53">
      <c r="B19" s="1734" t="s">
        <v>1330</v>
      </c>
      <c r="C19" s="1732" t="s">
        <v>388</v>
      </c>
      <c r="D19" s="1732" t="s">
        <v>345</v>
      </c>
      <c r="E19" s="1732" t="s">
        <v>124</v>
      </c>
      <c r="F19" s="1732" t="s">
        <v>1331</v>
      </c>
      <c r="G19" s="1732"/>
      <c r="H19" s="1732"/>
      <c r="I19" s="1799"/>
      <c r="J19" s="1732"/>
      <c r="K19" s="1800"/>
      <c r="L19" s="1801" t="s">
        <v>1332</v>
      </c>
      <c r="M19" s="1834"/>
      <c r="O19" s="1723" t="s">
        <v>1333</v>
      </c>
      <c r="Q19" s="1792"/>
      <c r="R19" s="1723" t="s">
        <v>295</v>
      </c>
      <c r="S19" s="1792" t="s">
        <v>325</v>
      </c>
      <c r="AZ19" s="1941"/>
      <c r="BA19" s="1171"/>
    </row>
    <row r="20" ht="17.25" customHeight="1" spans="2:53">
      <c r="B20" s="1734" t="s">
        <v>427</v>
      </c>
      <c r="C20" s="1732" t="s">
        <v>1334</v>
      </c>
      <c r="D20" s="1732">
        <v>70</v>
      </c>
      <c r="E20" s="1732" t="s">
        <v>1335</v>
      </c>
      <c r="F20" s="1767" t="s">
        <v>1336</v>
      </c>
      <c r="G20" s="1732" t="s">
        <v>1337</v>
      </c>
      <c r="H20" s="1732"/>
      <c r="I20" s="1732"/>
      <c r="J20" s="1732"/>
      <c r="K20" s="1800"/>
      <c r="L20" s="1802">
        <f>IF(L18&gt;M18,M18,L18)</f>
        <v>60</v>
      </c>
      <c r="M20" s="1835"/>
      <c r="O20" s="1723" t="s">
        <v>1338</v>
      </c>
      <c r="Q20" s="1792"/>
      <c r="R20" s="1723" t="s">
        <v>1339</v>
      </c>
      <c r="S20" s="1792" t="s">
        <v>327</v>
      </c>
      <c r="AA20" s="1167" t="s">
        <v>1340</v>
      </c>
      <c r="AB20" s="1167"/>
      <c r="AC20" s="1167"/>
      <c r="AD20" s="1167"/>
      <c r="AR20" s="1929" t="s">
        <v>1341</v>
      </c>
      <c r="BA20" s="1171"/>
    </row>
    <row r="21" ht="17.25" customHeight="1" spans="2:53">
      <c r="B21" s="1734" t="s">
        <v>432</v>
      </c>
      <c r="C21" s="1732" t="s">
        <v>1342</v>
      </c>
      <c r="D21" s="1732">
        <v>60</v>
      </c>
      <c r="E21" s="1768" t="s">
        <v>1343</v>
      </c>
      <c r="F21" s="1731" t="s">
        <v>434</v>
      </c>
      <c r="G21" s="1732"/>
      <c r="H21" s="1732"/>
      <c r="I21" s="1799"/>
      <c r="J21" s="1732"/>
      <c r="K21" s="1800"/>
      <c r="L21" s="1803"/>
      <c r="M21" s="1836"/>
      <c r="O21" s="1723" t="s">
        <v>1344</v>
      </c>
      <c r="Q21" s="1792"/>
      <c r="R21" s="1726" t="str">
        <f>IF(ISBLANK(人物卡!BK27),"",人物卡!BK27)</f>
        <v/>
      </c>
      <c r="S21" s="1793" t="str">
        <f>IF(ISBLANK(人物卡!BO27),"",人物卡!BO27)</f>
        <v/>
      </c>
      <c r="AA21" s="1831">
        <f>IF(ISBLANK(人物卡!BB19),0,1)</f>
        <v>0</v>
      </c>
      <c r="AB21" s="1791">
        <f>IF(ISBLANK(人物卡!BJ19),0,1)</f>
        <v>0</v>
      </c>
      <c r="AC21" s="1831" t="s">
        <v>1271</v>
      </c>
      <c r="AD21" s="1791" t="s">
        <v>1345</v>
      </c>
      <c r="AE21" s="1905" t="s">
        <v>1332</v>
      </c>
      <c r="AF21" s="1906"/>
      <c r="AG21" s="1906"/>
      <c r="AH21" s="1906"/>
      <c r="AI21" s="1906"/>
      <c r="AJ21" s="1906"/>
      <c r="AK21" s="1906"/>
      <c r="AL21" s="1906"/>
      <c r="AM21" s="1906"/>
      <c r="AN21" s="1906"/>
      <c r="AO21" s="1906"/>
      <c r="AP21" s="1906"/>
      <c r="AQ21" s="1906"/>
      <c r="AR21" s="1929">
        <f>人物卡!BL130</f>
        <v>1920</v>
      </c>
      <c r="AS21" s="1704" t="str">
        <f>IF(AR21="仅显示1890~2012","",VLOOKUP(AR21,AE33:AS155,15,FALSE))</f>
        <v>广播电台
茶包</v>
      </c>
      <c r="BA21" s="1171"/>
    </row>
    <row r="22" ht="17.25" customHeight="1" spans="2:53">
      <c r="B22" s="1734" t="s">
        <v>436</v>
      </c>
      <c r="C22" s="1732" t="s">
        <v>1342</v>
      </c>
      <c r="D22" s="1732">
        <v>60</v>
      </c>
      <c r="E22" s="1732" t="s">
        <v>1346</v>
      </c>
      <c r="F22" s="1769" t="s">
        <v>437</v>
      </c>
      <c r="G22" s="1732"/>
      <c r="H22" s="1732"/>
      <c r="I22" s="1732"/>
      <c r="J22" s="1732"/>
      <c r="K22" s="1732"/>
      <c r="M22" s="1837"/>
      <c r="O22" s="1723" t="s">
        <v>1347</v>
      </c>
      <c r="Q22" s="1792"/>
      <c r="AA22" s="1723">
        <f>IF(ISBLANK(人物卡!BB20),0,1)</f>
        <v>0</v>
      </c>
      <c r="AB22" s="1792">
        <f>IF(ISBLANK(人物卡!BJ20),0,1)</f>
        <v>0</v>
      </c>
      <c r="AC22" s="1723">
        <f>AA21+AA23+AA22+AA25+AA24+AB21+AB22+AB23+AB24+AB25</f>
        <v>0</v>
      </c>
      <c r="AD22" s="1792">
        <f>IF(人物卡!AU23="提示当前职业",0,1)</f>
        <v>0</v>
      </c>
      <c r="AE22" s="1907">
        <f>IF(AD32=1,"仅显示1890~2023",AE28)</f>
        <v>2023</v>
      </c>
      <c r="AF22" s="1171" t="str">
        <f>IF(AE22="仅显示1890~2023","",VLOOKUP(AE22,AE33:AS186,2,FALSE))</f>
        <v>——</v>
      </c>
      <c r="AG22" s="1171">
        <f>IF(AE22="仅显示1890~2023","",VLOOKUP(AE22,AE33:AS186,3,FALSE))</f>
        <v>0</v>
      </c>
      <c r="AH22" s="1171">
        <f>IF(AE22="仅显示1890~2023","",VLOOKUP(AE22,AE33:AS186,4,FALSE))</f>
        <v>0</v>
      </c>
      <c r="AI22" s="1171" t="str">
        <f>IF(AE22="仅显示1890~2023","",VLOOKUP(AE22,AE33:AS186,5,FALSE))</f>
        <v>——</v>
      </c>
      <c r="AJ22" s="1171">
        <f>IF(AE22="仅显示1890~2023","",VLOOKUP(AE22,AE33:AS186,6,FALSE))</f>
        <v>0</v>
      </c>
      <c r="AK22" s="1171">
        <f>IF(AE22="仅显示1890~2023","",VLOOKUP(AE22,AE33:AS186,7,FALSE))</f>
        <v>0</v>
      </c>
      <c r="AL22" s="1171" t="str">
        <f>IF(AE22="仅显示1890~2023","",VLOOKUP(AE22,AE33:AS186,8,FALSE))</f>
        <v>二十一世纪 二十年代</v>
      </c>
      <c r="AM22" s="1171" t="str">
        <f>IF(AE22="仅显示1890~2023","",VLOOKUP(AE22,AE33:AS186,9,FALSE))</f>
        <v>癸卯兔年</v>
      </c>
      <c r="AN22" s="1171" t="str">
        <f>IF(AE22="仅显示1890~2023","",VLOOKUP(AE22,AE33:AS186,10,FALSE))</f>
        <v>中华人民共和国74周年</v>
      </c>
      <c r="AO22" s="1171">
        <f>IF(AE22="仅显示1890~2023","",VLOOKUP(AE22,AE33:AS186,11,FALSE))</f>
        <v>0</v>
      </c>
      <c r="AP22" s="1171" t="str">
        <f>IF(AE22="仅显示1890~2023","",VLOOKUP(AE22,AE33:AS186,12,FALSE))</f>
        <v>总统：
   约瑟夫·拜登（民主党）</v>
      </c>
      <c r="AQ22" s="1167">
        <f>IF(AE22="仅显示1890~2023","",VLOOKUP(AE22,AE33:AS186,13,FALSE))</f>
        <v>0</v>
      </c>
      <c r="AR22" s="1167" t="str">
        <f>IF(AE22="仅显示1890~2023","",VLOOKUP(AE22,AE33:AS186,14,FALSE))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v>
      </c>
      <c r="AS22" s="1167">
        <f>IF(AE22="仅显示1890~2023","",VLOOKUP(AE22,AE33:AS186,15,FALSE))</f>
        <v>0</v>
      </c>
      <c r="BA22" s="1171"/>
    </row>
    <row r="23" ht="17.25" customHeight="1" spans="2:53">
      <c r="B23" s="1734" t="s">
        <v>439</v>
      </c>
      <c r="C23" s="1732" t="s">
        <v>1342</v>
      </c>
      <c r="D23" s="1732">
        <v>60</v>
      </c>
      <c r="E23" s="1732" t="s">
        <v>1348</v>
      </c>
      <c r="F23" s="1731" t="s">
        <v>440</v>
      </c>
      <c r="G23" s="1732"/>
      <c r="H23" s="1732"/>
      <c r="I23" s="1799"/>
      <c r="J23" s="1732"/>
      <c r="K23" s="1732"/>
      <c r="M23" s="1837"/>
      <c r="O23" s="1723" t="s">
        <v>1349</v>
      </c>
      <c r="Q23" s="1852" t="s">
        <v>229</v>
      </c>
      <c r="S23" s="1853" t="str">
        <f>".st "&amp;"力量"&amp;G14&amp;"str"&amp;G14&amp;"敏捷"&amp;J14&amp;"dex"&amp;J14&amp;"意志"&amp;M14&amp;"pow"&amp;M14&amp;"体质"&amp;H14&amp;"con"&amp;H14&amp;"外貌"&amp;K14&amp;"app"&amp;K14&amp;"教育"&amp;N14&amp;"知识"&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17&amp;人物卡!R17&amp;人物卡!F18&amp;人物卡!R18&amp;人物卡!F19&amp;人物卡!R19&amp;人物卡!F20&amp;人物卡!R20&amp;IF(人物卡!H21="","",人物卡!H21&amp;人物卡!R21)&amp;IF(人物卡!H22="","",人物卡!H22&amp;人物卡!R22)&amp;IF(人物卡!H23="","",人物卡!H23&amp;人物卡!R23)&amp;人物卡!F24&amp;人物卡!R24&amp;人物卡!F25&amp;人物卡!R25&amp;"计算机"&amp;人物卡!R26&amp;"计算机使用"&amp;人物卡!R26&amp;"电脑"&amp;人物卡!R26&amp;"信用"&amp;人物卡!R27&amp;"信誉"&amp;人物卡!R27&amp;"信用评级"&amp;人物卡!R27&amp;"克苏鲁"&amp;人物卡!R28&amp;"克苏鲁神话"&amp;人物卡!R28&amp;"cm"&amp;人物卡!R28&amp;人物卡!F29&amp;人物卡!R29&amp;人物卡!F30&amp;人物卡!R30&amp;"汽车"&amp;人物卡!R31&amp;"驾驶"&amp;人物卡!R31&amp;"汽车驾驶"&amp;人物卡!R31&amp;人物卡!F32&amp;人物卡!R32&amp;"电子学"&amp;人物卡!R33&amp;人物卡!F34&amp;人物卡!R34&amp;人物卡!H35&amp;人物卡!R35&amp;IF(人物卡!H36="","",人物卡!H36&amp;人物卡!R36)&amp;IF(人物卡!H37="","",人物卡!H37&amp;人物卡!R37)&amp;IF(人物卡!H38="","",人物卡!H37&amp;人物卡!R38)&amp;人物卡!H39&amp;人物卡!R39&amp;IF(W15=1,人物卡!AB40&amp;人物卡!R40&amp;"步枪"&amp;人物卡!R40&amp;"霰弹枪"&amp;人物卡!R40&amp;"步霰"&amp;人物卡!R40,IF(人物卡!H40="","",人物卡!H40&amp;人物卡!R40))&amp;IF(W16=1,人物卡!AB41&amp;人物卡!R41&amp;"步枪"&amp;人物卡!R41&amp;"霰弹枪"&amp;人物卡!R41&amp;"步霰"&amp;人物卡!R41,IF(人物卡!H41="","",人物卡!H41&amp;人物卡!R41))&amp;IF(W17=1,人物卡!AB42&amp;人物卡!R42&amp;"步枪"&amp;人物卡!R42&amp;"霰弹枪"&amp;人物卡!R42&amp;"步霰"&amp;人物卡!R42,IF(人物卡!H42="","",人物卡!H42&amp;人物卡!R42))&amp;人物卡!F43&amp;人物卡!R43&amp;人物卡!F44&amp;人物卡!R44&amp;人物卡!F45&amp;人物卡!R45&amp;人物卡!F46&amp;人物卡!R46&amp;IF(人物卡!H47="","",人物卡!H47&amp;人物卡!R47)&amp;IF(人物卡!H48="","",人物卡!H48&amp;人物卡!R48)&amp;IF(人物卡!H49="","",人物卡!H49&amp;人物卡!R49)&amp;人物卡!F50&amp;人物卡!R50&amp;人物卡!AB17&amp;人物卡!AN17&amp;"图书馆"&amp;人物卡!AN18&amp;"图书馆使用"&amp;人物卡!AN18&amp;人物卡!AB19&amp;人物卡!AN19&amp;"开锁"&amp;人物卡!AN20&amp;"撬锁"&amp;人物卡!AN20&amp;"锁匠"&amp;人物卡!AN20&amp;人物卡!AB21&amp;人物卡!AN21&amp;人物卡!AB22&amp;人物卡!AN22&amp;"博物学"&amp;人物卡!AN23&amp;"自然学"&amp;人物卡!AN23&amp;"领航"&amp;人物卡!AN24&amp;"导航"&amp;人物卡!AN24&amp;人物卡!AB25&amp;人物卡!AN25&amp;"重型操作"&amp;人物卡!AN26&amp;"重型机械"&amp;人物卡!AN26&amp;"操作重型机械"&amp;人物卡!AN26&amp;"重型"&amp;人物卡!AN26&amp;人物卡!AB27&amp;人物卡!AN27&amp;IF(人物卡!AD28="","",人物卡!AD28&amp;人物卡!AN28)&amp;人物卡!AB29&amp;人物卡!AN29&amp;人物卡!AB30&amp;人物卡!AN30&amp;人物卡!AB31&amp;人物卡!AN31&amp;IF(人物卡!AD32="","",人物卡!AD32&amp;人物卡!AN32)&amp;IF(人物卡!AD33="","",人物卡!AD33&amp;人物卡!AN33)&amp;IF(人物卡!AD34="","",人物卡!AD34&amp;人物卡!AN34)&amp;人物卡!AB35&amp;人物卡!AN35&amp;人物卡!AB36&amp;人物卡!AN36&amp;人物卡!AB37&amp;人物卡!AN37&amp;"生存"&amp;人物卡!AN38&amp;人物卡!AB39&amp;人物卡!AN39&amp;人物卡!AB40&amp;人物卡!AN40&amp;人物卡!AB41&amp;人物卡!AN41&amp;人物卡!AB42&amp;人物卡!AN42&amp;人物卡!AB43&amp;人物卡!AN43&amp;人物卡!AB44&amp;人物卡!AN44&amp;人物卡!AB45&amp;人物卡!AN45&amp;人物卡!AB46&amp;人物卡!AN46&amp;人物卡!AB47&amp;人物卡!AN47&amp;IF(人物卡!AD48="","",人物卡!AD48&amp;人物卡!AN48)&amp;IF(W18=1,"",人物卡!AB49&amp;人物卡!AN49)&amp;IF(人物卡!AB50="","",人物卡!AB50&amp;人物卡!AN50)</f>
        <v>.st 力量30str30敏捷70dex70意志60pow60体质50con50外貌80app80教育55知识55edu55体型55siz55智力80灵感80int80san60san值60理智60理智值60幸运50运气50mp12魔法12hp10体力10会计5人类学1估价5考古学1取悦70攀爬20计算机5计算机使用5电脑5信用20信誉20信用评级20克苏鲁0克苏鲁神话0cm0乔装5闪避60汽车20驾驶20汽车驾驶20电气维修10电子学1话术70斗殴25手枪20急救30历史5恐吓15跳跃20母语55法律5图书馆20图书馆使用20聆听70开锁71撬锁71锁匠71机械维修10医学1博物学10自然学10领航10导航10神秘学5重型操作1重型机械1操作重型机械1重型1说服10精神分析1心理学60骑术5妙手10侦查80潜行60生存10游泳20投掷20追踪10驯兽5潜水1爆破1读唇1催眠1炮术1</v>
      </c>
      <c r="T23" s="1853"/>
      <c r="U23" s="1853"/>
      <c r="V23" s="1853"/>
      <c r="AA23" s="1723">
        <f>IF(ISBLANK(人物卡!BB21),0,1)</f>
        <v>0</v>
      </c>
      <c r="AB23" s="1792">
        <f>IF(ISBLANK(人物卡!BJ21),0,1)</f>
        <v>0</v>
      </c>
      <c r="AC23" s="1723" t="s">
        <v>1350</v>
      </c>
      <c r="AD23" s="1792"/>
      <c r="AE23" s="1908" t="s">
        <v>1351</v>
      </c>
      <c r="AF23" s="1171"/>
      <c r="AG23" s="1171"/>
      <c r="AH23" s="1171"/>
      <c r="AI23" s="1171"/>
      <c r="AJ23" s="1171"/>
      <c r="AK23" s="1171"/>
      <c r="AL23" s="1171"/>
      <c r="AM23" s="1171"/>
      <c r="AN23" s="1171"/>
      <c r="AO23" s="1171"/>
      <c r="AP23" s="1171"/>
      <c r="AQ23" s="1167"/>
      <c r="AR23" s="1167"/>
      <c r="AS23" s="1167"/>
      <c r="BA23" s="1171"/>
    </row>
    <row r="24" ht="17.25" customHeight="1" spans="2:54">
      <c r="B24" s="1734" t="s">
        <v>442</v>
      </c>
      <c r="C24" s="1732" t="s">
        <v>1352</v>
      </c>
      <c r="D24" s="1732">
        <v>0</v>
      </c>
      <c r="E24" s="1732" t="s">
        <v>1353</v>
      </c>
      <c r="F24" s="1769" t="s">
        <v>178</v>
      </c>
      <c r="G24" s="1732"/>
      <c r="H24" s="1732"/>
      <c r="I24" s="1799"/>
      <c r="J24" s="1732"/>
      <c r="K24" s="1732"/>
      <c r="M24" s="1837"/>
      <c r="O24" s="1723" t="s">
        <v>1354</v>
      </c>
      <c r="Q24" s="1792" t="s">
        <v>241</v>
      </c>
      <c r="S24" s="1853"/>
      <c r="T24" s="1853"/>
      <c r="U24" s="1853"/>
      <c r="V24" s="1853"/>
      <c r="X24" s="1704" t="s">
        <v>1340</v>
      </c>
      <c r="AA24" s="1723">
        <f>IF(ISBLANK(人物卡!BB22),0,1)</f>
        <v>0</v>
      </c>
      <c r="AB24" s="1792">
        <f>IF(ISBLANK(人物卡!BJ22),0,1)</f>
        <v>0</v>
      </c>
      <c r="AC24" s="1723">
        <f>人物卡!F9-AC22</f>
        <v>1</v>
      </c>
      <c r="AD24" s="1792"/>
      <c r="AE24" s="1909">
        <f>人物卡!G8</f>
        <v>2023</v>
      </c>
      <c r="AF24" s="1171"/>
      <c r="AG24" s="1171"/>
      <c r="AH24" s="1171"/>
      <c r="AI24" s="1171"/>
      <c r="AJ24" s="1171"/>
      <c r="AK24" s="1171"/>
      <c r="AL24" s="1171"/>
      <c r="AM24" s="1171"/>
      <c r="AN24" s="1171"/>
      <c r="AO24" s="1171"/>
      <c r="AP24" s="1171"/>
      <c r="AQ24" s="1167"/>
      <c r="AR24" s="1167"/>
      <c r="AS24" s="1167"/>
      <c r="AT24" s="1831"/>
      <c r="AU24" s="1756"/>
      <c r="AV24" s="1756"/>
      <c r="AW24" s="1756"/>
      <c r="AX24" s="1943" t="s">
        <v>1295</v>
      </c>
      <c r="AY24" s="1944"/>
      <c r="AZ24" s="1945" t="s">
        <v>1355</v>
      </c>
      <c r="BA24" s="1945"/>
      <c r="BB24" s="1953"/>
    </row>
    <row r="25" ht="17.25" customHeight="1" spans="2:54">
      <c r="B25" s="1734" t="str">
        <f>IF(ISBLANK(人物卡!BC27),"自定义经历包",人物卡!BC27)</f>
        <v>自定义经历包</v>
      </c>
      <c r="C25" s="1732" t="str">
        <f>简化卡!E84</f>
        <v/>
      </c>
      <c r="D25" s="1732" t="str">
        <f>简化卡!H84</f>
        <v/>
      </c>
      <c r="E25" s="1732" t="str">
        <f>简化卡!J84</f>
        <v/>
      </c>
      <c r="F25" s="1732"/>
      <c r="G25" s="1732"/>
      <c r="H25" s="1770">
        <f>人物卡!BC31</f>
        <v>0</v>
      </c>
      <c r="I25" s="1732"/>
      <c r="J25" s="1732"/>
      <c r="K25" s="1732"/>
      <c r="M25" s="1837"/>
      <c r="O25" s="1723" t="s">
        <v>1356</v>
      </c>
      <c r="Q25" s="1792" t="s">
        <v>237</v>
      </c>
      <c r="S25" s="1853"/>
      <c r="T25" s="1853"/>
      <c r="U25" s="1853"/>
      <c r="V25" s="1853"/>
      <c r="X25" s="1868" t="s">
        <v>69</v>
      </c>
      <c r="Y25" s="1791"/>
      <c r="AA25" s="1726">
        <f>IF(ISBLANK(人物卡!BB23),0,1)</f>
        <v>0</v>
      </c>
      <c r="AB25" s="1793">
        <f>IF(ISBLANK(人物卡!BJ23),0,1)</f>
        <v>0</v>
      </c>
      <c r="AC25" s="1910" t="s">
        <v>1357</v>
      </c>
      <c r="AD25" s="1911">
        <f>IF(AD22=1," ",IF(AC24=0,"无",IF(AC24&lt;0,"过多！",AC24)))</f>
        <v>1</v>
      </c>
      <c r="AE25" s="1909" t="s">
        <v>1358</v>
      </c>
      <c r="AF25" s="1171"/>
      <c r="AG25" s="1171"/>
      <c r="AH25" s="1171"/>
      <c r="AI25" s="1171"/>
      <c r="AJ25" s="1171"/>
      <c r="AK25" s="1171"/>
      <c r="AL25" s="1171"/>
      <c r="AM25" s="1171"/>
      <c r="AN25" s="1171"/>
      <c r="AO25" s="1171"/>
      <c r="AP25" s="1171"/>
      <c r="AQ25" s="1167"/>
      <c r="AR25" s="1167"/>
      <c r="AS25" s="1167"/>
      <c r="AT25" s="1939" t="s">
        <v>309</v>
      </c>
      <c r="AV25" s="1704">
        <f>IF(AT25=人物卡!AZ130,1,0)</f>
        <v>1</v>
      </c>
      <c r="AX25" s="1946"/>
      <c r="AY25" s="1947"/>
      <c r="AZ25" s="1704">
        <v>1</v>
      </c>
      <c r="BA25" s="1941" t="s">
        <v>1359</v>
      </c>
      <c r="BB25" s="1792">
        <f>AQ22</f>
        <v>0</v>
      </c>
    </row>
    <row r="26" ht="17.25" customHeight="1" spans="2:54">
      <c r="B26" s="1734" t="s">
        <v>178</v>
      </c>
      <c r="C26" s="1732"/>
      <c r="D26" s="1732"/>
      <c r="E26" s="1732"/>
      <c r="F26" s="1732"/>
      <c r="G26" s="1732"/>
      <c r="H26" s="1732"/>
      <c r="I26" s="1732"/>
      <c r="J26" s="1732"/>
      <c r="K26" s="1732"/>
      <c r="M26" s="1837"/>
      <c r="O26" s="1723" t="s">
        <v>1360</v>
      </c>
      <c r="Q26" s="1792"/>
      <c r="S26" s="1853"/>
      <c r="T26" s="1853"/>
      <c r="U26" s="1853"/>
      <c r="V26" s="1853"/>
      <c r="X26" s="1869" t="s">
        <v>71</v>
      </c>
      <c r="Y26" s="1792"/>
      <c r="AE26" s="1909">
        <f>IF(人物卡!E8="公元前",人物卡!G8*2,0)</f>
        <v>0</v>
      </c>
      <c r="AF26" s="1171"/>
      <c r="AG26" s="1171"/>
      <c r="AH26" s="1171"/>
      <c r="AI26" s="1171"/>
      <c r="AJ26" s="1171"/>
      <c r="AK26" s="1171"/>
      <c r="AL26" s="1171"/>
      <c r="AM26" s="1171"/>
      <c r="AN26" s="1171"/>
      <c r="AO26" s="1171"/>
      <c r="AP26" s="1171"/>
      <c r="AQ26" s="1167"/>
      <c r="AR26" s="1167"/>
      <c r="AS26" s="1167"/>
      <c r="AT26" s="1939" t="s">
        <v>1361</v>
      </c>
      <c r="AV26" s="1704">
        <f>IF(AT26=人物卡!AZ130,2,0)</f>
        <v>0</v>
      </c>
      <c r="AX26" s="1946"/>
      <c r="AY26" s="1947"/>
      <c r="AZ26" s="1704">
        <v>2</v>
      </c>
      <c r="BA26" s="1941" t="s">
        <v>1362</v>
      </c>
      <c r="BB26" s="1792"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甲型H1N6 流感 希格斯玻色子 引力波</v>
      </c>
    </row>
    <row r="27" ht="17.25" customHeight="1" spans="2:54">
      <c r="B27" s="1734"/>
      <c r="C27" s="1735">
        <f>IF(人物卡!E115=B20,C20,0)</f>
        <v>0</v>
      </c>
      <c r="D27" s="1736">
        <f>IF(人物卡!E115=B20,D20,0)</f>
        <v>0</v>
      </c>
      <c r="E27" s="1771">
        <f>IF(人物卡!E115=B20,E20,0)</f>
        <v>0</v>
      </c>
      <c r="F27" s="1771"/>
      <c r="G27" s="1771"/>
      <c r="H27" s="1771"/>
      <c r="I27" s="1771"/>
      <c r="J27" s="1771"/>
      <c r="K27" s="1771"/>
      <c r="L27" s="1732">
        <f>IF(人物卡!E115=B20,IF(D16=B30,F20,G20),0)</f>
        <v>0</v>
      </c>
      <c r="M27" s="1800"/>
      <c r="O27" s="1723" t="s">
        <v>1363</v>
      </c>
      <c r="Q27" s="1792"/>
      <c r="S27" s="1853"/>
      <c r="T27" s="1853"/>
      <c r="U27" s="1853"/>
      <c r="V27" s="1853"/>
      <c r="X27" s="1869" t="s">
        <v>75</v>
      </c>
      <c r="Y27" s="1792"/>
      <c r="AB27" s="1889" t="s">
        <v>1364</v>
      </c>
      <c r="AC27" s="1912">
        <f>D34-SUM(人物卡!L17:L50,人物卡!AH17:AH50)</f>
        <v>0</v>
      </c>
      <c r="AD27" s="1756" t="s">
        <v>1332</v>
      </c>
      <c r="AE27" s="1909" t="s">
        <v>1365</v>
      </c>
      <c r="AF27" s="1171"/>
      <c r="AG27" s="1171"/>
      <c r="AH27" s="1171"/>
      <c r="AI27" s="1171"/>
      <c r="AJ27" s="1171"/>
      <c r="AK27" s="1171"/>
      <c r="AL27" s="1171"/>
      <c r="AM27" s="1171"/>
      <c r="AN27" s="1171"/>
      <c r="AO27" s="1171"/>
      <c r="AP27" s="1171"/>
      <c r="AQ27" s="1167"/>
      <c r="AR27" s="1167"/>
      <c r="AS27" s="1167"/>
      <c r="AT27" s="1939"/>
      <c r="AX27" s="1946">
        <f>AV25+AV26+AV28+AV29+AV30</f>
        <v>1</v>
      </c>
      <c r="AY27" s="1947"/>
      <c r="AZ27" s="1704">
        <v>3</v>
      </c>
      <c r="BA27" s="1704" t="s">
        <v>1366</v>
      </c>
      <c r="BB27" s="1792">
        <f>AS22</f>
        <v>0</v>
      </c>
    </row>
    <row r="28" ht="17.25" customHeight="1" spans="2:54">
      <c r="B28" s="1734"/>
      <c r="C28" s="1734">
        <f>IF(人物卡!E115=B21,C21,0)</f>
        <v>0</v>
      </c>
      <c r="D28" s="1732">
        <f>IF(人物卡!E115=B21,D21,0)</f>
        <v>0</v>
      </c>
      <c r="E28" s="1733">
        <f>IF(人物卡!E115=B21,E21,0)</f>
        <v>0</v>
      </c>
      <c r="F28" s="1733"/>
      <c r="G28" s="1733"/>
      <c r="H28" s="1733"/>
      <c r="I28" s="1733"/>
      <c r="J28" s="1733"/>
      <c r="K28" s="1733"/>
      <c r="L28" s="1732">
        <f>IF(人物卡!E115=B21,F21,0)</f>
        <v>0</v>
      </c>
      <c r="M28" s="1800"/>
      <c r="O28" s="1723" t="s">
        <v>1367</v>
      </c>
      <c r="Q28" s="1792"/>
      <c r="S28" s="1853"/>
      <c r="T28" s="1853"/>
      <c r="U28" s="1853"/>
      <c r="V28" s="1853"/>
      <c r="X28" s="1869" t="s">
        <v>78</v>
      </c>
      <c r="Y28" s="1792"/>
      <c r="AB28" s="1890" t="s">
        <v>1289</v>
      </c>
      <c r="AC28" s="1728" t="b">
        <f>ISNUMBER(AC27)</f>
        <v>1</v>
      </c>
      <c r="AD28" s="1728">
        <f>IF(AC28=FALSE,"0",AC27)</f>
        <v>0</v>
      </c>
      <c r="AE28" s="1913">
        <f>AE24-AE26</f>
        <v>2023</v>
      </c>
      <c r="AF28" s="1171"/>
      <c r="AG28" s="1171"/>
      <c r="AH28" s="1171"/>
      <c r="AI28" s="1171"/>
      <c r="AJ28" s="1171"/>
      <c r="AK28" s="1171"/>
      <c r="AL28" s="1171"/>
      <c r="AM28" s="1171"/>
      <c r="AN28" s="1171"/>
      <c r="AO28" s="1171"/>
      <c r="AP28" s="1171"/>
      <c r="AQ28" s="1167"/>
      <c r="AR28" s="1167"/>
      <c r="AS28" s="1167"/>
      <c r="AT28" s="1723" t="s">
        <v>1366</v>
      </c>
      <c r="AV28" s="1704">
        <f>IF(AT28=人物卡!AZ130,3,0)</f>
        <v>0</v>
      </c>
      <c r="AX28" s="1946"/>
      <c r="AY28" s="1947"/>
      <c r="AZ28" s="1704">
        <v>4</v>
      </c>
      <c r="BA28" s="1704" t="s">
        <v>1368</v>
      </c>
      <c r="BB28" s="1792" t="str">
        <f>AS21</f>
        <v>广播电台
茶包</v>
      </c>
    </row>
    <row r="29" ht="17.25" customHeight="1" spans="2:54">
      <c r="B29" s="1734"/>
      <c r="C29" s="1734">
        <f>IF(人物卡!E115=B22,C22,0)</f>
        <v>0</v>
      </c>
      <c r="D29" s="1732">
        <f>IF(人物卡!E115=B22,D22,0)</f>
        <v>0</v>
      </c>
      <c r="E29" s="1733">
        <f>IF(人物卡!E115=B22,E22,0)</f>
        <v>0</v>
      </c>
      <c r="F29" s="1733"/>
      <c r="G29" s="1733"/>
      <c r="H29" s="1733"/>
      <c r="I29" s="1733"/>
      <c r="J29" s="1733"/>
      <c r="K29" s="1733"/>
      <c r="L29" s="1732">
        <f>IF(人物卡!E115=B22,F22,0)</f>
        <v>0</v>
      </c>
      <c r="M29" s="1800"/>
      <c r="O29" s="1723" t="s">
        <v>1369</v>
      </c>
      <c r="Q29" s="1792"/>
      <c r="S29" s="1853"/>
      <c r="T29" s="1853"/>
      <c r="U29" s="1853"/>
      <c r="V29" s="1853"/>
      <c r="X29" s="1870" t="s">
        <v>80</v>
      </c>
      <c r="Y29" s="1792"/>
      <c r="AB29" s="1888"/>
      <c r="AC29" s="1893"/>
      <c r="AD29" s="1174" t="s">
        <v>1370</v>
      </c>
      <c r="AE29" s="1914"/>
      <c r="AF29" s="1171"/>
      <c r="AG29" s="1171"/>
      <c r="AH29" s="1171"/>
      <c r="AI29" s="1171"/>
      <c r="AJ29" s="1171"/>
      <c r="AK29" s="1171"/>
      <c r="AL29" s="1171"/>
      <c r="AM29" s="1171"/>
      <c r="AN29" s="1171"/>
      <c r="AO29" s="1171"/>
      <c r="AP29" s="1171"/>
      <c r="AQ29" s="1167"/>
      <c r="AR29" s="1167"/>
      <c r="AS29" s="1167"/>
      <c r="AT29" s="1723" t="s">
        <v>1368</v>
      </c>
      <c r="AV29" s="1704">
        <f>IF(AT29=人物卡!AZ130,4,0)</f>
        <v>0</v>
      </c>
      <c r="AX29" s="1946"/>
      <c r="AY29" s="1948"/>
      <c r="AZ29" s="1949">
        <v>5</v>
      </c>
      <c r="BA29" s="1949" t="s">
        <v>1371</v>
      </c>
      <c r="BB29" s="1954" t="s">
        <v>1372</v>
      </c>
    </row>
    <row r="30" ht="17.25" customHeight="1" spans="2:54">
      <c r="B30" s="1737" t="str">
        <f>IF(C27=0,IF(C28=0,IF(C29=0,IF(C30=0,IF(C31=0,IF(C32=0,"",IF(人物卡!E5=0,"请先填写调查员信息",人物卡!E5)),IF(人物卡!E5=0,"请先填写调查员信息",人物卡!E5)),"医务人员"),"罪犯"),"警务人员"),"军官")</f>
        <v/>
      </c>
      <c r="C30" s="1734">
        <f>IF(人物卡!E115=B23,C23,0)</f>
        <v>0</v>
      </c>
      <c r="D30" s="1732">
        <f>IF(人物卡!E115=B23,D23,0)</f>
        <v>0</v>
      </c>
      <c r="E30" s="1733">
        <f>IF(人物卡!E115=B23,E23,0)</f>
        <v>0</v>
      </c>
      <c r="F30" s="1733"/>
      <c r="G30" s="1733"/>
      <c r="H30" s="1733"/>
      <c r="I30" s="1733"/>
      <c r="J30" s="1733"/>
      <c r="K30" s="1733"/>
      <c r="L30" s="1732">
        <f>IF(人物卡!E115=B23,F23,0)</f>
        <v>0</v>
      </c>
      <c r="M30" s="1800"/>
      <c r="O30" s="1723" t="s">
        <v>1373</v>
      </c>
      <c r="Q30" s="1792"/>
      <c r="S30" s="1853"/>
      <c r="T30" s="1853"/>
      <c r="U30" s="1853"/>
      <c r="V30" s="1853"/>
      <c r="X30" s="1871" t="s">
        <v>82</v>
      </c>
      <c r="Y30" s="1792"/>
      <c r="AD30" s="1915">
        <f>IF(AE30="大",1,0)</f>
        <v>0</v>
      </c>
      <c r="AE30" s="1916" t="b">
        <f>IF(AE28&gt;2023,"大")</f>
        <v>0</v>
      </c>
      <c r="AF30" s="1171"/>
      <c r="AG30" s="1171"/>
      <c r="AH30" s="1171"/>
      <c r="AI30" s="1171"/>
      <c r="AJ30" s="1171"/>
      <c r="AK30" s="1171"/>
      <c r="AL30" s="1171"/>
      <c r="AM30" s="1171"/>
      <c r="AN30" s="1171"/>
      <c r="AO30" s="1171"/>
      <c r="AP30" s="1171"/>
      <c r="AQ30" s="1167"/>
      <c r="AR30" s="1167"/>
      <c r="AS30" s="1167"/>
      <c r="AT30" s="1704" t="s">
        <v>1374</v>
      </c>
      <c r="AU30" s="1726" t="s">
        <v>1371</v>
      </c>
      <c r="AV30" s="1728">
        <f>IF(AU30=人物卡!AZ130,5,0)</f>
        <v>0</v>
      </c>
      <c r="AW30" s="1728"/>
      <c r="AX30" s="1950"/>
      <c r="AY30" s="1728"/>
      <c r="AZ30" s="1728"/>
      <c r="BA30" s="1728"/>
      <c r="BB30" s="1793"/>
    </row>
    <row r="31" ht="17.25" customHeight="1" spans="1:45">
      <c r="A31" s="1704" t="s">
        <v>1375</v>
      </c>
      <c r="B31" s="1738" t="str">
        <f>IF(C27=0,"","普通士兵")</f>
        <v/>
      </c>
      <c r="C31" s="1739">
        <f>IF(人物卡!E115=B24,C24,0)</f>
        <v>0</v>
      </c>
      <c r="D31" s="1740">
        <f>IF(人物卡!E115=B24,D24,0)</f>
        <v>0</v>
      </c>
      <c r="E31" s="1772">
        <f>IF(人物卡!E115=B24,E24,0)</f>
        <v>0</v>
      </c>
      <c r="F31" s="1772"/>
      <c r="G31" s="1772"/>
      <c r="H31" s="1772"/>
      <c r="I31" s="1772"/>
      <c r="J31" s="1772"/>
      <c r="K31" s="1772"/>
      <c r="L31" s="1732">
        <f>IF(人物卡!E115=B24,F24,0)</f>
        <v>0</v>
      </c>
      <c r="M31" s="1800"/>
      <c r="O31" s="1723" t="s">
        <v>1376</v>
      </c>
      <c r="Q31" s="1792"/>
      <c r="S31" s="1853"/>
      <c r="T31" s="1853"/>
      <c r="U31" s="1853"/>
      <c r="V31" s="1853"/>
      <c r="X31" s="1870" t="s">
        <v>84</v>
      </c>
      <c r="Y31" s="1792"/>
      <c r="Z31" s="1704">
        <v>0</v>
      </c>
      <c r="AA31" s="1704" t="s">
        <v>1377</v>
      </c>
      <c r="AD31" s="1910">
        <f>IF(AE31="小",1,0)</f>
        <v>0</v>
      </c>
      <c r="AE31" s="1917" t="b">
        <f>IF(AE28&lt;1890,"小")</f>
        <v>0</v>
      </c>
      <c r="AF31" s="1145"/>
      <c r="AG31" s="1145"/>
      <c r="AH31" s="1145"/>
      <c r="AI31" s="1145"/>
      <c r="AJ31" s="1171"/>
      <c r="AK31" s="1171"/>
      <c r="AL31" s="1145"/>
      <c r="AM31" s="1171"/>
      <c r="AN31" s="1171"/>
      <c r="AO31" s="1145"/>
      <c r="AP31" s="1145"/>
      <c r="AQ31" s="1167"/>
      <c r="AR31" s="1167"/>
      <c r="AS31" s="1167"/>
    </row>
    <row r="32" ht="17.25" customHeight="1" spans="1:46">
      <c r="A32" s="1704">
        <f>IF(OR(B30=D16,B31=D16),1,0)</f>
        <v>0</v>
      </c>
      <c r="C32" s="1732">
        <f>IF(人物卡!E115=B25,C25,0)</f>
        <v>0</v>
      </c>
      <c r="D32" s="1732">
        <f>IF(人物卡!E115=B25,D25,0)</f>
        <v>0</v>
      </c>
      <c r="E32" s="1733">
        <f>IF(人物卡!E115=B25,E25,0)</f>
        <v>0</v>
      </c>
      <c r="F32" s="1733"/>
      <c r="G32" s="1733"/>
      <c r="H32" s="1733"/>
      <c r="I32" s="1733"/>
      <c r="J32" s="1733"/>
      <c r="K32" s="1733"/>
      <c r="L32" s="1732">
        <f>IF(人物卡!E115=B25,F25,0)</f>
        <v>0</v>
      </c>
      <c r="M32" s="1800"/>
      <c r="O32" s="1723" t="s">
        <v>1378</v>
      </c>
      <c r="Q32" s="1792"/>
      <c r="S32" s="1853"/>
      <c r="T32" s="1853"/>
      <c r="U32" s="1853"/>
      <c r="V32" s="1853"/>
      <c r="X32" s="1869" t="s">
        <v>87</v>
      </c>
      <c r="Y32" s="1792"/>
      <c r="Z32" s="1704">
        <v>1</v>
      </c>
      <c r="AA32" s="1704" t="s">
        <v>1379</v>
      </c>
      <c r="AD32" s="1918">
        <f>AD30+AD31</f>
        <v>0</v>
      </c>
      <c r="AE32" s="1919" t="s">
        <v>1380</v>
      </c>
      <c r="AF32" s="1920" t="s">
        <v>1381</v>
      </c>
      <c r="AG32" s="1920">
        <v>2</v>
      </c>
      <c r="AH32" s="1920">
        <v>3</v>
      </c>
      <c r="AI32" s="1920" t="s">
        <v>1382</v>
      </c>
      <c r="AJ32" s="1920"/>
      <c r="AK32" s="1920"/>
      <c r="AL32" s="1920" t="s">
        <v>201</v>
      </c>
      <c r="AM32" s="1920"/>
      <c r="AN32" s="1920"/>
      <c r="AO32" s="1920" t="s">
        <v>1383</v>
      </c>
      <c r="AP32" s="1930" t="s">
        <v>1384</v>
      </c>
      <c r="AQ32" s="1931" t="s">
        <v>1359</v>
      </c>
      <c r="AR32" s="1931" t="s">
        <v>1362</v>
      </c>
      <c r="AS32" s="1931" t="s">
        <v>1385</v>
      </c>
      <c r="AT32" s="599"/>
    </row>
    <row r="33" ht="17.25" customHeight="1" spans="3:46">
      <c r="C33" s="1732"/>
      <c r="D33" s="1732"/>
      <c r="E33" s="1732"/>
      <c r="F33" s="1732"/>
      <c r="G33" s="1732"/>
      <c r="H33" s="1732"/>
      <c r="I33" s="1732"/>
      <c r="J33" s="1732"/>
      <c r="K33" s="1732"/>
      <c r="L33" s="1732"/>
      <c r="M33" s="1838"/>
      <c r="O33" s="1723" t="s">
        <v>230</v>
      </c>
      <c r="Q33" s="1792"/>
      <c r="S33" s="1853"/>
      <c r="T33" s="1853"/>
      <c r="U33" s="1853"/>
      <c r="V33" s="1853"/>
      <c r="X33" s="1869" t="s">
        <v>90</v>
      </c>
      <c r="Y33" s="1792"/>
      <c r="Z33" s="1704">
        <v>2</v>
      </c>
      <c r="AA33" s="1704" t="s">
        <v>1386</v>
      </c>
      <c r="AE33" s="1921">
        <v>1890</v>
      </c>
      <c r="AF33" s="1144" t="s">
        <v>1387</v>
      </c>
      <c r="AG33" s="1144" t="s">
        <v>1388</v>
      </c>
      <c r="AH33" s="1144"/>
      <c r="AI33" s="1144" t="s">
        <v>100</v>
      </c>
      <c r="AJ33" s="1144"/>
      <c r="AK33" s="1144"/>
      <c r="AL33" s="1144" t="s">
        <v>1389</v>
      </c>
      <c r="AM33" s="1144" t="s">
        <v>1390</v>
      </c>
      <c r="AN33" s="1144" t="s">
        <v>1391</v>
      </c>
      <c r="AO33" s="1144" t="s">
        <v>1392</v>
      </c>
      <c r="AP33" s="1922" t="s">
        <v>1393</v>
      </c>
      <c r="AQ33" s="1145" t="s">
        <v>1394</v>
      </c>
      <c r="AR33" s="1704" t="s">
        <v>1395</v>
      </c>
      <c r="AS33" s="599" t="s">
        <v>1396</v>
      </c>
      <c r="AT33" s="1921">
        <v>1890</v>
      </c>
    </row>
    <row r="34" ht="17.25" customHeight="1" spans="2:46">
      <c r="B34" s="1739"/>
      <c r="C34" s="1740" t="str">
        <f>IF(C27=0,IF(C28=0,IF(C29=0,IF(C30=0,IF(C31=0,IF(C32=0,"",C32),C31),C30),C29),C28),C27)</f>
        <v/>
      </c>
      <c r="D34" s="1740">
        <f>IF(D27=0,IF(D28=0,IF(D29=0,IF(D30=0,IF(D31=0,IF(D32=0,0,D32),D31),D30),D29),D28),D27)</f>
        <v>0</v>
      </c>
      <c r="E34" s="1772" t="str">
        <f>IF(E27=0,IF(E28=0,IF(E29=0,IF(E30=0,IF(E31=0,IF(E32=0,"",E32),E31),E30),E29),E28),E27)</f>
        <v/>
      </c>
      <c r="F34" s="1772"/>
      <c r="G34" s="1772"/>
      <c r="H34" s="1772"/>
      <c r="I34" s="1772"/>
      <c r="J34" s="1772"/>
      <c r="K34" s="1772"/>
      <c r="L34" s="1804" t="str">
        <f>IF(L27=0,IF(L28=0,IF(L29=0,IF(L30=0,IF(L31=0,IF(L32=0,"",L32),L31),L30),L29),L28),L27)</f>
        <v/>
      </c>
      <c r="M34" s="1839"/>
      <c r="O34" s="1723" t="s">
        <v>245</v>
      </c>
      <c r="Q34" s="1792"/>
      <c r="S34" s="1853"/>
      <c r="T34" s="1853"/>
      <c r="U34" s="1853"/>
      <c r="V34" s="1853"/>
      <c r="X34" s="1869" t="s">
        <v>95</v>
      </c>
      <c r="Y34" s="1792"/>
      <c r="Z34" s="1704">
        <v>3</v>
      </c>
      <c r="AA34" s="1704" t="s">
        <v>1397</v>
      </c>
      <c r="AE34" s="1921">
        <v>1891</v>
      </c>
      <c r="AF34" s="1144" t="s">
        <v>1398</v>
      </c>
      <c r="AG34" s="1144"/>
      <c r="AH34" s="1144"/>
      <c r="AI34" s="1144" t="s">
        <v>100</v>
      </c>
      <c r="AJ34" s="1144"/>
      <c r="AK34" s="1144"/>
      <c r="AL34" s="1144" t="s">
        <v>1389</v>
      </c>
      <c r="AM34" s="1144" t="s">
        <v>1399</v>
      </c>
      <c r="AN34" s="1144" t="s">
        <v>1400</v>
      </c>
      <c r="AO34" s="1144" t="s">
        <v>1401</v>
      </c>
      <c r="AP34" s="1922" t="s">
        <v>1393</v>
      </c>
      <c r="AQ34" s="1145" t="s">
        <v>1402</v>
      </c>
      <c r="AR34" s="1145" t="s">
        <v>1403</v>
      </c>
      <c r="AS34" s="1922" t="s">
        <v>1404</v>
      </c>
      <c r="AT34" s="1921">
        <v>1891</v>
      </c>
    </row>
    <row r="35" ht="17.25" customHeight="1" spans="15:46">
      <c r="O35" s="1723" t="s">
        <v>242</v>
      </c>
      <c r="Q35" s="1792"/>
      <c r="S35" s="1853"/>
      <c r="T35" s="1853"/>
      <c r="U35" s="1853"/>
      <c r="V35" s="1853"/>
      <c r="X35" s="1869" t="s">
        <v>102</v>
      </c>
      <c r="Y35" s="1792"/>
      <c r="Z35" s="1704">
        <v>4</v>
      </c>
      <c r="AA35" s="1704" t="s">
        <v>1405</v>
      </c>
      <c r="AE35" s="1921">
        <v>1892</v>
      </c>
      <c r="AF35" s="1144" t="s">
        <v>100</v>
      </c>
      <c r="AG35" s="1144"/>
      <c r="AH35" s="1144"/>
      <c r="AI35" s="1144" t="s">
        <v>100</v>
      </c>
      <c r="AJ35" s="1144"/>
      <c r="AK35" s="1144"/>
      <c r="AL35" s="1144" t="s">
        <v>1389</v>
      </c>
      <c r="AM35" s="1144" t="s">
        <v>1406</v>
      </c>
      <c r="AN35" s="1144" t="s">
        <v>1407</v>
      </c>
      <c r="AO35" s="1144" t="s">
        <v>1408</v>
      </c>
      <c r="AP35" s="1144" t="s">
        <v>1409</v>
      </c>
      <c r="AQ35" s="1145" t="s">
        <v>1410</v>
      </c>
      <c r="AR35" s="1145" t="s">
        <v>1411</v>
      </c>
      <c r="AS35" s="1922" t="s">
        <v>1412</v>
      </c>
      <c r="AT35" s="1921">
        <v>1892</v>
      </c>
    </row>
    <row r="36" ht="17.25" customHeight="1" spans="2:71">
      <c r="B36" s="1741"/>
      <c r="C36" s="1742" t="s">
        <v>13</v>
      </c>
      <c r="D36" s="1742" t="s">
        <v>1332</v>
      </c>
      <c r="E36" s="1756"/>
      <c r="F36" s="1773"/>
      <c r="I36" s="1805" t="s">
        <v>1413</v>
      </c>
      <c r="J36" s="1805"/>
      <c r="K36" s="1805"/>
      <c r="L36" s="1805"/>
      <c r="M36" s="1805"/>
      <c r="O36" s="1723" t="s">
        <v>238</v>
      </c>
      <c r="Q36" s="1792"/>
      <c r="S36" s="1853"/>
      <c r="T36" s="1853"/>
      <c r="U36" s="1853"/>
      <c r="V36" s="1853"/>
      <c r="X36" s="1869" t="s">
        <v>104</v>
      </c>
      <c r="Y36" s="1792"/>
      <c r="Z36" s="1704">
        <v>5</v>
      </c>
      <c r="AA36" s="1704" t="s">
        <v>1414</v>
      </c>
      <c r="AE36" s="1921">
        <v>1893</v>
      </c>
      <c r="AF36" s="1144" t="s">
        <v>1415</v>
      </c>
      <c r="AG36" s="1144" t="s">
        <v>1416</v>
      </c>
      <c r="AH36" s="1144"/>
      <c r="AI36" s="1144" t="s">
        <v>100</v>
      </c>
      <c r="AJ36" s="1144"/>
      <c r="AK36" s="1144"/>
      <c r="AL36" s="1144" t="s">
        <v>1389</v>
      </c>
      <c r="AM36" s="1144" t="s">
        <v>1417</v>
      </c>
      <c r="AN36" s="1144" t="s">
        <v>1418</v>
      </c>
      <c r="AO36" s="1922" t="s">
        <v>1419</v>
      </c>
      <c r="AP36" s="1922" t="s">
        <v>1420</v>
      </c>
      <c r="AQ36" s="1145" t="s">
        <v>1421</v>
      </c>
      <c r="AR36" s="1145" t="s">
        <v>1422</v>
      </c>
      <c r="AS36" s="1922" t="s">
        <v>1423</v>
      </c>
      <c r="AT36" s="1921">
        <v>1893</v>
      </c>
      <c r="AV36" s="1145" t="s">
        <v>1424</v>
      </c>
      <c r="AZ36" s="1593"/>
      <c r="BA36" s="1593"/>
      <c r="BB36" s="1593"/>
      <c r="BC36" s="1593"/>
      <c r="BD36" s="1593"/>
      <c r="BE36" s="1593"/>
      <c r="BF36" s="1593"/>
      <c r="BG36" s="1593"/>
      <c r="BH36" s="1593"/>
      <c r="BI36" s="1593"/>
      <c r="BJ36" s="1593"/>
      <c r="BK36" s="1593"/>
      <c r="BL36" s="1593"/>
      <c r="BM36" s="1593"/>
      <c r="BN36" s="1593"/>
      <c r="BO36" s="1593"/>
      <c r="BP36" s="1593"/>
      <c r="BQ36" s="1593"/>
      <c r="BR36" s="1593"/>
      <c r="BS36" s="1593"/>
    </row>
    <row r="37" ht="17.25" customHeight="1" spans="2:71">
      <c r="B37" s="1743"/>
      <c r="C37" s="1744">
        <f>ABS(人物卡!E4)</f>
        <v>29</v>
      </c>
      <c r="D37" s="1744" t="str">
        <f>IF(ISBLANK(人物卡!AU38),IF(AND(C37&gt;=15,C37&lt;=19),D39,IF(AND(C37&gt;=20,C37&lt;=39),D40,IF(AND(C37&gt;=40,C37&lt;=49),D41,IF(AND(C37&gt;=50,C37&lt;=59),D42,IF(AND(C37&gt;=60,C37&lt;=69),D43,IF(AND(C37&gt;=70,C37&lt;=79),D44,IF(AND(C37&gt;=80,C37&lt;=89),D45,IF(ABS(C37)&gt;=90,D48,"请和kp商议")))))))),人物卡!AU38)</f>
        <v>教育进步*1</v>
      </c>
      <c r="F37" s="1774"/>
      <c r="I37" s="1806" t="s">
        <v>1425</v>
      </c>
      <c r="J37" s="1806" t="s">
        <v>1426</v>
      </c>
      <c r="K37" s="1806" t="s">
        <v>1427</v>
      </c>
      <c r="L37" s="1806" t="s">
        <v>171</v>
      </c>
      <c r="M37" s="1806" t="s">
        <v>124</v>
      </c>
      <c r="O37" s="1723" t="s">
        <v>247</v>
      </c>
      <c r="Q37" s="1792"/>
      <c r="S37" s="1853"/>
      <c r="T37" s="1853"/>
      <c r="U37" s="1853"/>
      <c r="V37" s="1853"/>
      <c r="X37" s="1869" t="s">
        <v>111</v>
      </c>
      <c r="Y37" s="1792"/>
      <c r="Z37" s="1704">
        <v>6</v>
      </c>
      <c r="AA37" s="1704" t="s">
        <v>1428</v>
      </c>
      <c r="AC37"/>
      <c r="AE37" s="1921">
        <v>1894</v>
      </c>
      <c r="AF37" s="1144" t="s">
        <v>1429</v>
      </c>
      <c r="AG37" s="1144" t="s">
        <v>1430</v>
      </c>
      <c r="AH37" s="1144"/>
      <c r="AI37" s="1144" t="s">
        <v>1431</v>
      </c>
      <c r="AJ37" s="1144" t="s">
        <v>1432</v>
      </c>
      <c r="AK37" s="1144"/>
      <c r="AL37" s="1144" t="s">
        <v>1389</v>
      </c>
      <c r="AM37" s="1144" t="s">
        <v>1433</v>
      </c>
      <c r="AN37" s="1144" t="s">
        <v>1434</v>
      </c>
      <c r="AO37" s="1144" t="s">
        <v>1435</v>
      </c>
      <c r="AP37" s="1922" t="s">
        <v>1436</v>
      </c>
      <c r="AQ37" s="1145" t="s">
        <v>1437</v>
      </c>
      <c r="AR37" s="1145" t="s">
        <v>1438</v>
      </c>
      <c r="AS37" s="1144" t="s">
        <v>1424</v>
      </c>
      <c r="AT37" s="1921">
        <v>1894</v>
      </c>
      <c r="AZ37" s="1593"/>
      <c r="BA37" s="1593"/>
      <c r="BB37" s="1593"/>
      <c r="BC37" s="1593"/>
      <c r="BD37" s="1593"/>
      <c r="BE37" s="1593"/>
      <c r="BF37" s="1593"/>
      <c r="BG37" s="1593"/>
      <c r="BH37" s="1593"/>
      <c r="BI37" s="1593"/>
      <c r="BJ37" s="1593"/>
      <c r="BK37" s="1593"/>
      <c r="BL37" s="1593"/>
      <c r="BM37" s="1593"/>
      <c r="BN37" s="1593"/>
      <c r="BO37" s="1593"/>
      <c r="BP37" s="1593"/>
      <c r="BQ37" s="1593"/>
      <c r="BR37" s="1593"/>
      <c r="BS37" s="1593"/>
    </row>
    <row r="38" ht="17.25" customHeight="1" spans="2:71">
      <c r="B38" s="1743"/>
      <c r="C38" s="1745" t="s">
        <v>1439</v>
      </c>
      <c r="D38" s="1746"/>
      <c r="E38" s="1775"/>
      <c r="F38" s="1774"/>
      <c r="I38" s="1022" t="s">
        <v>1440</v>
      </c>
      <c r="J38" s="369" t="s">
        <v>1441</v>
      </c>
      <c r="K38" s="369" t="s">
        <v>1442</v>
      </c>
      <c r="L38" s="369" t="s">
        <v>433</v>
      </c>
      <c r="M38" s="1840" t="s">
        <v>1443</v>
      </c>
      <c r="O38" s="1723" t="s">
        <v>1444</v>
      </c>
      <c r="Q38" s="1792"/>
      <c r="S38" s="1853"/>
      <c r="T38" s="1853"/>
      <c r="U38" s="1853"/>
      <c r="V38" s="1853"/>
      <c r="X38" s="1869" t="s">
        <v>113</v>
      </c>
      <c r="Y38" s="1792"/>
      <c r="Z38" s="1704">
        <v>7</v>
      </c>
      <c r="AA38" s="1891" t="s">
        <v>1445</v>
      </c>
      <c r="AC38" t="s">
        <v>1340</v>
      </c>
      <c r="AE38" s="1921">
        <v>1895</v>
      </c>
      <c r="AF38" s="1144" t="s">
        <v>1446</v>
      </c>
      <c r="AG38" s="1144" t="s">
        <v>1447</v>
      </c>
      <c r="AH38" s="1144"/>
      <c r="AI38" s="1144" t="s">
        <v>1448</v>
      </c>
      <c r="AJ38" s="1144" t="s">
        <v>1449</v>
      </c>
      <c r="AK38" s="1144"/>
      <c r="AL38" s="1144" t="s">
        <v>1389</v>
      </c>
      <c r="AM38" s="1144" t="s">
        <v>1450</v>
      </c>
      <c r="AN38" s="1144" t="s">
        <v>1451</v>
      </c>
      <c r="AO38" s="1144" t="s">
        <v>1452</v>
      </c>
      <c r="AP38" s="1922" t="s">
        <v>1436</v>
      </c>
      <c r="AQ38" s="1145" t="s">
        <v>1453</v>
      </c>
      <c r="AR38" s="1145" t="s">
        <v>1454</v>
      </c>
      <c r="AS38" s="1922" t="s">
        <v>1455</v>
      </c>
      <c r="AT38" s="1921">
        <v>1895</v>
      </c>
      <c r="AV38" s="1167">
        <f>IF(AV36="仅显示1890~2012","",VLOOKUP(AV36,AS33:AT155,2,FALSE))</f>
        <v>1894</v>
      </c>
      <c r="AZ38" s="1593"/>
      <c r="BA38" s="1593"/>
      <c r="BB38" s="1593"/>
      <c r="BC38" s="1593"/>
      <c r="BD38" s="1593"/>
      <c r="BE38" s="1593"/>
      <c r="BF38" s="1593"/>
      <c r="BG38" s="1593"/>
      <c r="BH38" s="1593"/>
      <c r="BI38" s="1593"/>
      <c r="BJ38" s="1593"/>
      <c r="BK38" s="1593"/>
      <c r="BL38" s="1593"/>
      <c r="BM38" s="1593"/>
      <c r="BN38" s="1593"/>
      <c r="BO38" s="1593"/>
      <c r="BP38" s="1593"/>
      <c r="BQ38" s="1593"/>
      <c r="BR38" s="1593"/>
      <c r="BS38" s="1593"/>
    </row>
    <row r="39" ht="17.25" customHeight="1" spans="2:71">
      <c r="B39" s="1743">
        <v>15</v>
      </c>
      <c r="C39" s="1747">
        <v>19</v>
      </c>
      <c r="D39" s="1744" t="s">
        <v>1456</v>
      </c>
      <c r="E39" s="1744"/>
      <c r="F39" s="1774"/>
      <c r="I39" s="1807" t="s">
        <v>1457</v>
      </c>
      <c r="J39" s="1808" t="s">
        <v>1458</v>
      </c>
      <c r="K39" s="1809" t="s">
        <v>1459</v>
      </c>
      <c r="L39" s="1809" t="s">
        <v>1460</v>
      </c>
      <c r="M39" s="1841" t="s">
        <v>1461</v>
      </c>
      <c r="O39" s="1723" t="s">
        <v>1462</v>
      </c>
      <c r="Q39" s="1792"/>
      <c r="S39" s="1853"/>
      <c r="T39" s="1853"/>
      <c r="U39" s="1853"/>
      <c r="V39" s="1853"/>
      <c r="X39" s="1869" t="s">
        <v>116</v>
      </c>
      <c r="Y39" s="1792"/>
      <c r="Z39" s="1704">
        <v>8</v>
      </c>
      <c r="AA39" s="1891" t="s">
        <v>1463</v>
      </c>
      <c r="AC39" t="s">
        <v>69</v>
      </c>
      <c r="AE39" s="1921">
        <v>1896</v>
      </c>
      <c r="AF39" s="1144" t="s">
        <v>1464</v>
      </c>
      <c r="AG39" s="1144"/>
      <c r="AH39" s="1144"/>
      <c r="AI39" s="1144" t="s">
        <v>1465</v>
      </c>
      <c r="AJ39" s="1144"/>
      <c r="AK39" s="1144"/>
      <c r="AL39" s="1144" t="s">
        <v>1389</v>
      </c>
      <c r="AM39" s="1144" t="s">
        <v>1466</v>
      </c>
      <c r="AN39" s="1144" t="s">
        <v>1467</v>
      </c>
      <c r="AO39" s="1922" t="s">
        <v>1468</v>
      </c>
      <c r="AP39" s="1922" t="s">
        <v>1436</v>
      </c>
      <c r="AQ39" s="1145" t="s">
        <v>1469</v>
      </c>
      <c r="AR39" s="1145" t="s">
        <v>1470</v>
      </c>
      <c r="AS39" s="1922" t="s">
        <v>1471</v>
      </c>
      <c r="AT39" s="1921">
        <v>1896</v>
      </c>
      <c r="AV39" s="1167"/>
      <c r="AZ39" s="1593"/>
      <c r="BA39" s="1593"/>
      <c r="BB39" s="1593"/>
      <c r="BC39" s="1593"/>
      <c r="BD39" s="1593"/>
      <c r="BE39" s="1593"/>
      <c r="BF39" s="1593"/>
      <c r="BG39" s="1593"/>
      <c r="BH39" s="1593"/>
      <c r="BI39" s="1593"/>
      <c r="BJ39" s="1593"/>
      <c r="BK39" s="1593"/>
      <c r="BL39" s="1593"/>
      <c r="BM39" s="1593"/>
      <c r="BN39" s="1593"/>
      <c r="BO39" s="1593"/>
      <c r="BP39" s="1593"/>
      <c r="BQ39" s="1593"/>
      <c r="BR39" s="1593"/>
      <c r="BS39" s="1593"/>
    </row>
    <row r="40" ht="17.25" customHeight="1" spans="2:48">
      <c r="B40" s="1743">
        <v>20</v>
      </c>
      <c r="C40" s="1747">
        <v>39</v>
      </c>
      <c r="D40" s="1744" t="s">
        <v>1472</v>
      </c>
      <c r="E40" s="1744"/>
      <c r="F40" s="1774"/>
      <c r="I40" s="1022" t="s">
        <v>1473</v>
      </c>
      <c r="J40" s="369" t="s">
        <v>1474</v>
      </c>
      <c r="K40" s="340" t="s">
        <v>1475</v>
      </c>
      <c r="L40" s="369" t="s">
        <v>1460</v>
      </c>
      <c r="M40" s="1840" t="s">
        <v>1476</v>
      </c>
      <c r="O40" s="1723" t="s">
        <v>1477</v>
      </c>
      <c r="Q40" s="1792"/>
      <c r="S40" s="1167" t="str">
        <f>IF(人物卡!J17=人物卡!R17,"",人物卡!F17&amp;人物卡!R17)</f>
        <v/>
      </c>
      <c r="T40" s="1167" t="str">
        <f>IF(人物卡!AF17=人物卡!AN17,"",人物卡!AB17&amp;人物卡!AN17)</f>
        <v/>
      </c>
      <c r="U40" s="1171"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S40&amp;S41&amp;S42&amp;S43&amp;S44&amp;S45&amp;S46&amp;S47&amp;S48&amp;S49&amp;S50&amp;S51&amp;S52&amp;S53&amp;S54&amp;S55&amp;S57&amp;S56&amp;S58&amp;S59&amp;S60&amp;S61&amp;S62&amp;S63&amp;S64&amp;S65&amp;S66&amp;S67&amp;S68&amp;S69&amp;S70&amp;S71&amp;S72&amp;S73&amp;T72&amp;T71&amp;T73&amp;T70&amp;T69&amp;T68&amp;T40&amp;T41&amp;T42&amp;T43&amp;T44&amp;T45&amp;T47&amp;T46&amp;T48&amp;T50&amp;T49&amp;T51&amp;T53&amp;T54&amp;T56&amp;T60&amp;T64&amp;T66&amp;T67&amp;T65&amp;T55&amp;T52&amp;T57&amp;T58&amp;T59&amp;T61&amp;T62&amp;T63</f>
        <v>.st 力量30str30敏捷70dex70意志60pow60体质50con50外貌80app80教育55edu55体型55siz55智力80灵感80int80san60san值60理智60理智值60幸运50运气50mp12魔法12hp10体力10取悦70信用评级20闪避60话术70聆听70锁匠71心理学60潜行60侦查80</v>
      </c>
      <c r="V40" s="1171"/>
      <c r="X40" s="1869" t="s">
        <v>118</v>
      </c>
      <c r="Y40" s="1792"/>
      <c r="Z40" s="1704">
        <v>9</v>
      </c>
      <c r="AA40" s="1891" t="s">
        <v>1478</v>
      </c>
      <c r="AC40" t="s">
        <v>71</v>
      </c>
      <c r="AE40" s="1921">
        <v>1897</v>
      </c>
      <c r="AF40" s="1144" t="s">
        <v>100</v>
      </c>
      <c r="AG40" s="1144"/>
      <c r="AH40" s="1144"/>
      <c r="AI40" s="1144" t="s">
        <v>100</v>
      </c>
      <c r="AJ40" s="1144"/>
      <c r="AK40" s="1144"/>
      <c r="AL40" s="1144" t="s">
        <v>1389</v>
      </c>
      <c r="AM40" s="1144" t="s">
        <v>1479</v>
      </c>
      <c r="AN40" s="1144" t="s">
        <v>1480</v>
      </c>
      <c r="AO40" s="1922" t="s">
        <v>1481</v>
      </c>
      <c r="AP40" s="1922" t="s">
        <v>1482</v>
      </c>
      <c r="AQ40" s="1145" t="s">
        <v>1483</v>
      </c>
      <c r="AR40" s="1145" t="s">
        <v>1484</v>
      </c>
      <c r="AS40" s="1922" t="s">
        <v>1485</v>
      </c>
      <c r="AT40" s="1921">
        <v>1897</v>
      </c>
      <c r="AV40" s="1167"/>
    </row>
    <row r="41" ht="17.25" customHeight="1" spans="2:48">
      <c r="B41" s="1743">
        <v>40</v>
      </c>
      <c r="C41" s="1747">
        <v>49</v>
      </c>
      <c r="D41" s="1744" t="s">
        <v>1486</v>
      </c>
      <c r="E41" s="1744"/>
      <c r="F41" s="1774"/>
      <c r="I41" s="1807" t="s">
        <v>1487</v>
      </c>
      <c r="J41" s="1809" t="s">
        <v>1488</v>
      </c>
      <c r="K41" s="1808" t="s">
        <v>1489</v>
      </c>
      <c r="L41" s="1809" t="s">
        <v>433</v>
      </c>
      <c r="M41" s="1842" t="s">
        <v>1490</v>
      </c>
      <c r="O41" s="1723" t="s">
        <v>1491</v>
      </c>
      <c r="Q41" s="1792"/>
      <c r="S41" s="1167" t="str">
        <f>IF(人物卡!J18=人物卡!R18,"",人物卡!F18&amp;人物卡!R18)</f>
        <v/>
      </c>
      <c r="T41" s="1167" t="str">
        <f>IF(人物卡!AF18=人物卡!AN18,"",人物卡!AB18&amp;人物卡!AN18)</f>
        <v/>
      </c>
      <c r="U41" s="1171"/>
      <c r="V41" s="1171"/>
      <c r="X41" s="1869" t="s">
        <v>120</v>
      </c>
      <c r="Y41" s="1792"/>
      <c r="AA41" s="1891"/>
      <c r="AC41" t="s">
        <v>75</v>
      </c>
      <c r="AE41" s="1921">
        <v>1898</v>
      </c>
      <c r="AF41" s="1144" t="s">
        <v>1492</v>
      </c>
      <c r="AG41" s="1924" t="s">
        <v>1493</v>
      </c>
      <c r="AH41" s="1144"/>
      <c r="AI41" s="1144" t="s">
        <v>1494</v>
      </c>
      <c r="AJ41" s="1144"/>
      <c r="AK41" s="1927"/>
      <c r="AL41" s="1144" t="s">
        <v>1495</v>
      </c>
      <c r="AM41" s="1144" t="s">
        <v>1496</v>
      </c>
      <c r="AN41" s="1144" t="s">
        <v>1497</v>
      </c>
      <c r="AO41" s="1144" t="s">
        <v>1498</v>
      </c>
      <c r="AP41" s="1922" t="s">
        <v>1499</v>
      </c>
      <c r="AQ41" s="1145" t="s">
        <v>1500</v>
      </c>
      <c r="AR41" s="1145" t="s">
        <v>1501</v>
      </c>
      <c r="AS41" s="1922" t="s">
        <v>1502</v>
      </c>
      <c r="AT41" s="1921">
        <v>1898</v>
      </c>
      <c r="AV41" s="1167"/>
    </row>
    <row r="42" ht="17.25" customHeight="1" spans="2:48">
      <c r="B42" s="1743">
        <v>50</v>
      </c>
      <c r="C42" s="1747">
        <v>59</v>
      </c>
      <c r="D42" s="1744" t="s">
        <v>1503</v>
      </c>
      <c r="E42" s="1744"/>
      <c r="F42" s="1774"/>
      <c r="I42" s="1022" t="s">
        <v>1504</v>
      </c>
      <c r="J42" s="369" t="s">
        <v>1505</v>
      </c>
      <c r="K42" s="340" t="s">
        <v>1506</v>
      </c>
      <c r="L42" s="369" t="s">
        <v>1507</v>
      </c>
      <c r="M42" s="1840" t="s">
        <v>1508</v>
      </c>
      <c r="O42" s="1723" t="s">
        <v>1509</v>
      </c>
      <c r="Q42" s="1792"/>
      <c r="S42" s="1167" t="str">
        <f>IF(人物卡!J19=人物卡!R19,"",人物卡!F19&amp;人物卡!R19)</f>
        <v/>
      </c>
      <c r="T42" s="1167" t="str">
        <f>IF(人物卡!AF19=人物卡!AN19,"",人物卡!AB19&amp;人物卡!AN19)</f>
        <v>聆听70</v>
      </c>
      <c r="U42" s="1171"/>
      <c r="V42" s="1171"/>
      <c r="X42" s="1869" t="s">
        <v>122</v>
      </c>
      <c r="Y42" s="1792"/>
      <c r="AA42" s="1891"/>
      <c r="AC42" t="s">
        <v>78</v>
      </c>
      <c r="AE42" s="1921">
        <v>1899</v>
      </c>
      <c r="AF42" s="1704" t="s">
        <v>1510</v>
      </c>
      <c r="AG42" s="1144"/>
      <c r="AH42" s="1144"/>
      <c r="AI42" s="1144" t="s">
        <v>100</v>
      </c>
      <c r="AJ42" s="1144"/>
      <c r="AK42" s="1144"/>
      <c r="AL42" s="1144" t="s">
        <v>1389</v>
      </c>
      <c r="AM42" s="1144" t="s">
        <v>1511</v>
      </c>
      <c r="AN42" s="1144" t="s">
        <v>1512</v>
      </c>
      <c r="AO42" s="1922" t="s">
        <v>1513</v>
      </c>
      <c r="AP42" s="1922" t="s">
        <v>1499</v>
      </c>
      <c r="AQ42" s="1145" t="s">
        <v>1514</v>
      </c>
      <c r="AR42" s="1145" t="s">
        <v>1515</v>
      </c>
      <c r="AS42" s="1922" t="s">
        <v>1516</v>
      </c>
      <c r="AT42" s="1921">
        <v>1899</v>
      </c>
      <c r="AV42" s="1167"/>
    </row>
    <row r="43" ht="17.25" customHeight="1" spans="2:48">
      <c r="B43" s="1743">
        <v>60</v>
      </c>
      <c r="C43" s="1747">
        <v>69</v>
      </c>
      <c r="D43" s="1744" t="s">
        <v>1517</v>
      </c>
      <c r="E43" s="1744"/>
      <c r="F43" s="1774"/>
      <c r="I43" s="1807" t="s">
        <v>1518</v>
      </c>
      <c r="J43" s="1809" t="s">
        <v>1519</v>
      </c>
      <c r="K43" s="1810" t="s">
        <v>1520</v>
      </c>
      <c r="L43" s="1808" t="s">
        <v>1460</v>
      </c>
      <c r="M43" s="1842" t="s">
        <v>1521</v>
      </c>
      <c r="O43" s="1723" t="s">
        <v>1522</v>
      </c>
      <c r="Q43" s="1792"/>
      <c r="S43" s="1167" t="str">
        <f>IF(人物卡!J20=人物卡!R20,"",人物卡!F20&amp;人物卡!R20)</f>
        <v/>
      </c>
      <c r="T43" s="1167" t="str">
        <f>IF(人物卡!AF20=人物卡!AN20,"",人物卡!AB20&amp;人物卡!AN20)</f>
        <v>锁匠71</v>
      </c>
      <c r="U43" s="1171"/>
      <c r="V43" s="1171"/>
      <c r="X43" s="1869" t="s">
        <v>125</v>
      </c>
      <c r="Y43" s="1792"/>
      <c r="AA43" s="1891"/>
      <c r="AC43" t="s">
        <v>1523</v>
      </c>
      <c r="AE43" s="1921">
        <v>1900</v>
      </c>
      <c r="AF43" s="1144" t="s">
        <v>1524</v>
      </c>
      <c r="AG43" s="1144" t="s">
        <v>1525</v>
      </c>
      <c r="AH43" s="1144"/>
      <c r="AI43" s="1144" t="s">
        <v>1526</v>
      </c>
      <c r="AJ43" s="1144" t="s">
        <v>1527</v>
      </c>
      <c r="AK43" s="1144"/>
      <c r="AL43" s="1144" t="s">
        <v>1528</v>
      </c>
      <c r="AM43" s="1144" t="s">
        <v>1529</v>
      </c>
      <c r="AN43" s="1144" t="s">
        <v>1530</v>
      </c>
      <c r="AO43" s="1922" t="s">
        <v>1531</v>
      </c>
      <c r="AP43" s="1922" t="s">
        <v>1499</v>
      </c>
      <c r="AQ43" s="1145" t="s">
        <v>1532</v>
      </c>
      <c r="AR43" s="1145" t="s">
        <v>1533</v>
      </c>
      <c r="AS43" s="1922" t="s">
        <v>1534</v>
      </c>
      <c r="AT43" s="1921">
        <v>1900</v>
      </c>
      <c r="AV43" s="1167"/>
    </row>
    <row r="44" ht="17.25" customHeight="1" spans="2:48">
      <c r="B44" s="1743">
        <v>70</v>
      </c>
      <c r="C44" s="1747">
        <v>79</v>
      </c>
      <c r="D44" s="1744" t="s">
        <v>1535</v>
      </c>
      <c r="E44" s="1744"/>
      <c r="F44" s="1774"/>
      <c r="I44" s="1022" t="s">
        <v>1536</v>
      </c>
      <c r="J44" s="369" t="s">
        <v>1505</v>
      </c>
      <c r="K44" s="1704" t="s">
        <v>1537</v>
      </c>
      <c r="L44" s="340" t="s">
        <v>1460</v>
      </c>
      <c r="M44" s="1840" t="s">
        <v>1538</v>
      </c>
      <c r="O44" s="1723" t="s">
        <v>1539</v>
      </c>
      <c r="Q44" s="1792"/>
      <c r="S44" s="1167" t="str">
        <f>IF(人物卡!J21=人物卡!R21,"",IF(ISBLANK(人物卡!H21),"技艺"&amp;人物卡!R21,人物卡!H21&amp;人物卡!R21))</f>
        <v/>
      </c>
      <c r="T44" s="1167" t="str">
        <f>IF(人物卡!AF21=人物卡!AN21,"",人物卡!AB21&amp;人物卡!AN21)</f>
        <v/>
      </c>
      <c r="U44" s="1171"/>
      <c r="V44" s="1171"/>
      <c r="X44" s="1871" t="s">
        <v>128</v>
      </c>
      <c r="Y44" s="1792"/>
      <c r="AA44" s="1891"/>
      <c r="AC44" t="s">
        <v>87</v>
      </c>
      <c r="AE44" s="1921">
        <v>1901</v>
      </c>
      <c r="AF44" s="1144" t="s">
        <v>1540</v>
      </c>
      <c r="AG44" s="1144"/>
      <c r="AH44" s="1144"/>
      <c r="AI44" s="1144" t="s">
        <v>1541</v>
      </c>
      <c r="AJ44" s="1144"/>
      <c r="AK44" s="1144"/>
      <c r="AL44" s="1144" t="s">
        <v>1528</v>
      </c>
      <c r="AM44" s="1144" t="s">
        <v>1542</v>
      </c>
      <c r="AN44" s="1144" t="s">
        <v>1543</v>
      </c>
      <c r="AO44" s="1922" t="s">
        <v>1544</v>
      </c>
      <c r="AP44" s="1922" t="s">
        <v>1545</v>
      </c>
      <c r="AQ44" s="1145" t="s">
        <v>1546</v>
      </c>
      <c r="AR44" s="1145" t="s">
        <v>1547</v>
      </c>
      <c r="AS44" s="1922" t="s">
        <v>1548</v>
      </c>
      <c r="AT44" s="1921">
        <v>1901</v>
      </c>
      <c r="AV44" s="1167"/>
    </row>
    <row r="45" ht="17.25" customHeight="1" spans="2:48">
      <c r="B45" s="1743">
        <v>80</v>
      </c>
      <c r="C45" s="1747">
        <v>89</v>
      </c>
      <c r="D45" s="1744" t="s">
        <v>1549</v>
      </c>
      <c r="E45" s="1744"/>
      <c r="F45" s="1774"/>
      <c r="I45" s="1807" t="s">
        <v>1550</v>
      </c>
      <c r="J45" s="1809" t="s">
        <v>1551</v>
      </c>
      <c r="K45" s="1808" t="s">
        <v>1552</v>
      </c>
      <c r="L45" s="1809" t="s">
        <v>1460</v>
      </c>
      <c r="M45" s="1842" t="s">
        <v>1553</v>
      </c>
      <c r="O45" s="1723" t="s">
        <v>1554</v>
      </c>
      <c r="Q45" s="1792"/>
      <c r="S45" s="1167" t="str">
        <f>IF(人物卡!J22=人物卡!R22,"",IF(ISBLANK(人物卡!H22),"技艺"&amp;人物卡!R22,人物卡!H22&amp;人物卡!R22))</f>
        <v/>
      </c>
      <c r="T45" s="1167" t="str">
        <f>IF(人物卡!AF22=人物卡!AN22,"",人物卡!AB22&amp;人物卡!AN22)</f>
        <v/>
      </c>
      <c r="U45" s="1171"/>
      <c r="V45" s="1171"/>
      <c r="X45" s="1869" t="s">
        <v>132</v>
      </c>
      <c r="Y45" s="1792"/>
      <c r="AA45" s="1891"/>
      <c r="AC45" t="s">
        <v>90</v>
      </c>
      <c r="AE45" s="1921">
        <v>1902</v>
      </c>
      <c r="AF45" s="1144" t="s">
        <v>1555</v>
      </c>
      <c r="AG45" s="1144"/>
      <c r="AH45" s="1144"/>
      <c r="AI45" s="1144" t="s">
        <v>100</v>
      </c>
      <c r="AJ45" s="1144"/>
      <c r="AK45" s="1144"/>
      <c r="AL45" s="1144" t="s">
        <v>1528</v>
      </c>
      <c r="AM45" s="1144" t="s">
        <v>1556</v>
      </c>
      <c r="AN45" s="1144" t="s">
        <v>1557</v>
      </c>
      <c r="AO45" s="1922" t="s">
        <v>1558</v>
      </c>
      <c r="AP45" s="1922" t="s">
        <v>1559</v>
      </c>
      <c r="AQ45" s="1145" t="s">
        <v>1560</v>
      </c>
      <c r="AR45" s="1145" t="s">
        <v>1561</v>
      </c>
      <c r="AS45" s="1922" t="s">
        <v>1562</v>
      </c>
      <c r="AT45" s="1921">
        <v>1902</v>
      </c>
      <c r="AV45" s="1167"/>
    </row>
    <row r="46" ht="17.25" customHeight="1" spans="2:54">
      <c r="B46" s="1743"/>
      <c r="C46" s="1748" t="s">
        <v>1563</v>
      </c>
      <c r="D46" s="1749" t="s">
        <v>1564</v>
      </c>
      <c r="E46" s="1776" t="s">
        <v>1565</v>
      </c>
      <c r="F46" s="1774"/>
      <c r="I46" s="1022" t="s">
        <v>1566</v>
      </c>
      <c r="J46" s="1704" t="s">
        <v>1519</v>
      </c>
      <c r="K46" s="340" t="s">
        <v>1567</v>
      </c>
      <c r="L46" s="1704" t="s">
        <v>1568</v>
      </c>
      <c r="M46" s="1843" t="s">
        <v>1569</v>
      </c>
      <c r="O46" s="1723" t="s">
        <v>1570</v>
      </c>
      <c r="Q46" s="1792"/>
      <c r="S46" s="1167" t="str">
        <f>IF(人物卡!J23=人物卡!R23,"",IF(ISBLANK(人物卡!H23),"技艺"&amp;人物卡!R23,人物卡!H23&amp;人物卡!R23))</f>
        <v/>
      </c>
      <c r="T46" s="1167" t="str">
        <f>IF(人物卡!AF23=人物卡!AN23,"",人物卡!AB23&amp;人物卡!AN23)</f>
        <v/>
      </c>
      <c r="U46" s="1171"/>
      <c r="V46" s="1171"/>
      <c r="X46" s="1869" t="s">
        <v>137</v>
      </c>
      <c r="Y46" s="1792"/>
      <c r="AA46" s="1891"/>
      <c r="AC46" t="s">
        <v>405</v>
      </c>
      <c r="AE46" s="1921">
        <v>1903</v>
      </c>
      <c r="AF46" s="1144" t="s">
        <v>100</v>
      </c>
      <c r="AG46" s="1144"/>
      <c r="AH46" s="1144"/>
      <c r="AI46" s="1144" t="s">
        <v>100</v>
      </c>
      <c r="AJ46" s="1144"/>
      <c r="AK46" s="1144"/>
      <c r="AL46" s="1144" t="s">
        <v>1528</v>
      </c>
      <c r="AM46" s="1144" t="s">
        <v>1571</v>
      </c>
      <c r="AN46" s="1144" t="s">
        <v>1572</v>
      </c>
      <c r="AO46" s="1144" t="s">
        <v>1573</v>
      </c>
      <c r="AP46" s="1922" t="s">
        <v>1559</v>
      </c>
      <c r="AQ46" s="1145" t="s">
        <v>1574</v>
      </c>
      <c r="AR46" s="1145" t="s">
        <v>1575</v>
      </c>
      <c r="AS46" s="1922" t="s">
        <v>1576</v>
      </c>
      <c r="AT46" s="1921">
        <v>1903</v>
      </c>
      <c r="AV46" s="1167"/>
      <c r="BB46" s="1145"/>
    </row>
    <row r="47" ht="17.25" customHeight="1" spans="2:54">
      <c r="B47" s="1743"/>
      <c r="C47" s="1750">
        <f>INT((C37-B45)/10)</f>
        <v>-6</v>
      </c>
      <c r="D47" s="1751">
        <f>80+80*C47</f>
        <v>-400</v>
      </c>
      <c r="E47" s="1777">
        <v>25</v>
      </c>
      <c r="F47" s="1774"/>
      <c r="I47" s="1810" t="s">
        <v>1577</v>
      </c>
      <c r="J47" s="1808" t="s">
        <v>1578</v>
      </c>
      <c r="K47" s="1808" t="s">
        <v>1579</v>
      </c>
      <c r="L47" s="1809" t="s">
        <v>1507</v>
      </c>
      <c r="M47" s="1842" t="s">
        <v>1580</v>
      </c>
      <c r="O47" s="1723" t="s">
        <v>1581</v>
      </c>
      <c r="Q47" s="1792"/>
      <c r="S47" s="1167" t="str">
        <f>IF(人物卡!J24=人物卡!R24,"",人物卡!F24&amp;人物卡!R24)</f>
        <v>取悦70</v>
      </c>
      <c r="T47" s="1167" t="str">
        <f>IF(人物卡!AF24=人物卡!AN24,"",人物卡!AB24&amp;人物卡!AN24)</f>
        <v/>
      </c>
      <c r="U47" s="1171"/>
      <c r="V47" s="1171"/>
      <c r="X47" s="1870" t="s">
        <v>139</v>
      </c>
      <c r="Y47" s="1792"/>
      <c r="AA47" s="1891"/>
      <c r="AC47" t="s">
        <v>102</v>
      </c>
      <c r="AE47" s="1921">
        <v>1904</v>
      </c>
      <c r="AF47" s="1144" t="s">
        <v>1582</v>
      </c>
      <c r="AG47" s="1144" t="s">
        <v>1583</v>
      </c>
      <c r="AH47" s="1144"/>
      <c r="AI47" s="1144" t="s">
        <v>100</v>
      </c>
      <c r="AJ47" s="1144"/>
      <c r="AK47" s="1144"/>
      <c r="AL47" s="1144" t="s">
        <v>1528</v>
      </c>
      <c r="AM47" s="1144" t="s">
        <v>1584</v>
      </c>
      <c r="AN47" s="1144" t="s">
        <v>1585</v>
      </c>
      <c r="AO47" s="1922" t="s">
        <v>1586</v>
      </c>
      <c r="AP47" s="1922" t="s">
        <v>1559</v>
      </c>
      <c r="AQ47" s="1145" t="s">
        <v>1587</v>
      </c>
      <c r="AR47" s="1145" t="s">
        <v>1588</v>
      </c>
      <c r="AS47" s="1704" t="s">
        <v>1589</v>
      </c>
      <c r="AT47" s="1921">
        <v>1904</v>
      </c>
      <c r="AV47" s="1167"/>
      <c r="BB47" s="1145"/>
    </row>
    <row r="48" ht="17.25" customHeight="1" spans="2:54">
      <c r="B48" s="1752"/>
      <c r="C48" s="1752">
        <f>C37</f>
        <v>29</v>
      </c>
      <c r="D48" s="1753" t="str">
        <f>"进步*4,SCD共-"&amp;D47&amp;" A-"&amp;E47</f>
        <v>进步*4,SCD共--400 A-25</v>
      </c>
      <c r="E48" s="1778"/>
      <c r="F48" s="1778"/>
      <c r="G48" s="1744"/>
      <c r="I48" s="1704" t="s">
        <v>1590</v>
      </c>
      <c r="J48" s="1704" t="s">
        <v>1591</v>
      </c>
      <c r="K48" s="340" t="s">
        <v>1592</v>
      </c>
      <c r="L48" s="1704" t="s">
        <v>1460</v>
      </c>
      <c r="M48" s="1843" t="s">
        <v>1593</v>
      </c>
      <c r="O48" s="1723" t="s">
        <v>1594</v>
      </c>
      <c r="Q48" s="1792"/>
      <c r="S48" s="1167" t="str">
        <f>IF(人物卡!J25=人物卡!R25,"",人物卡!F25&amp;人物卡!R25)</f>
        <v/>
      </c>
      <c r="T48" s="1167" t="str">
        <f>IF(人物卡!AF25=人物卡!AN25,"",人物卡!AB25&amp;人物卡!AN25)</f>
        <v/>
      </c>
      <c r="U48" s="1171"/>
      <c r="V48" s="1171"/>
      <c r="X48" s="1871" t="s">
        <v>1595</v>
      </c>
      <c r="Y48" s="1792"/>
      <c r="AA48" s="1891"/>
      <c r="AC48" t="s">
        <v>104</v>
      </c>
      <c r="AE48" s="1921">
        <v>1905</v>
      </c>
      <c r="AF48" s="1144" t="s">
        <v>1596</v>
      </c>
      <c r="AG48" s="1144"/>
      <c r="AH48" s="1144"/>
      <c r="AI48" s="1144" t="s">
        <v>100</v>
      </c>
      <c r="AJ48" s="1144"/>
      <c r="AK48" s="1144"/>
      <c r="AL48" s="1144" t="s">
        <v>1528</v>
      </c>
      <c r="AM48" s="1144" t="s">
        <v>1597</v>
      </c>
      <c r="AN48" s="1144" t="s">
        <v>1598</v>
      </c>
      <c r="AO48" s="1922" t="s">
        <v>1599</v>
      </c>
      <c r="AP48" s="1922" t="s">
        <v>1559</v>
      </c>
      <c r="AQ48" s="1145" t="s">
        <v>1600</v>
      </c>
      <c r="AR48" s="1145" t="s">
        <v>1601</v>
      </c>
      <c r="AS48" s="1704" t="s">
        <v>1602</v>
      </c>
      <c r="AT48" s="1921">
        <v>1905</v>
      </c>
      <c r="BB48" s="1145"/>
    </row>
    <row r="49" ht="17.25" customHeight="1" spans="9:54">
      <c r="I49" s="1704" t="s">
        <v>1603</v>
      </c>
      <c r="J49" s="340" t="s">
        <v>237</v>
      </c>
      <c r="K49" s="340" t="s">
        <v>237</v>
      </c>
      <c r="L49" s="340" t="s">
        <v>237</v>
      </c>
      <c r="M49" s="340" t="s">
        <v>237</v>
      </c>
      <c r="O49" s="1723" t="s">
        <v>1604</v>
      </c>
      <c r="Q49" s="1792"/>
      <c r="S49" s="1167" t="str">
        <f>IF(人物卡!J26=人物卡!R26,"","计算机使用"&amp;人物卡!R26)</f>
        <v/>
      </c>
      <c r="T49" s="1167" t="str">
        <f>IF(人物卡!AF26=人物卡!AN26,"",人物卡!AB26&amp;人物卡!AN26)</f>
        <v/>
      </c>
      <c r="U49" s="1171"/>
      <c r="V49" s="1171"/>
      <c r="X49" s="1870" t="s">
        <v>145</v>
      </c>
      <c r="Y49" s="1792"/>
      <c r="AA49" s="1891"/>
      <c r="AC49" t="s">
        <v>111</v>
      </c>
      <c r="AE49" s="1921">
        <v>1906</v>
      </c>
      <c r="AF49" s="1144" t="s">
        <v>1605</v>
      </c>
      <c r="AG49" s="1144" t="s">
        <v>1606</v>
      </c>
      <c r="AH49" s="1144"/>
      <c r="AI49" s="1144" t="s">
        <v>100</v>
      </c>
      <c r="AJ49" s="1144"/>
      <c r="AK49" s="1144"/>
      <c r="AL49" s="1144" t="s">
        <v>1528</v>
      </c>
      <c r="AM49" s="1144" t="s">
        <v>1607</v>
      </c>
      <c r="AN49" s="1144" t="s">
        <v>1608</v>
      </c>
      <c r="AO49" s="1922" t="s">
        <v>1609</v>
      </c>
      <c r="AP49" s="1922" t="s">
        <v>1559</v>
      </c>
      <c r="AQ49" s="1145" t="s">
        <v>1610</v>
      </c>
      <c r="AR49" s="1145" t="s">
        <v>1611</v>
      </c>
      <c r="AS49" s="1704" t="s">
        <v>1612</v>
      </c>
      <c r="AT49" s="1921">
        <v>1906</v>
      </c>
      <c r="BB49" s="1145"/>
    </row>
    <row r="50" ht="17.25" customHeight="1" spans="15:54">
      <c r="O50" s="1723" t="s">
        <v>1613</v>
      </c>
      <c r="Q50" s="1792"/>
      <c r="S50" s="1167" t="str">
        <f>IF(人物卡!J27=人物卡!R27,"",人物卡!F27&amp;人物卡!R27)</f>
        <v>信用评级20</v>
      </c>
      <c r="T50" s="1167" t="str">
        <f>IF(人物卡!AF27=人物卡!AN27,"",人物卡!AB27&amp;人物卡!AN27)</f>
        <v/>
      </c>
      <c r="U50" s="1171"/>
      <c r="V50" s="1171"/>
      <c r="X50" s="1870" t="s">
        <v>147</v>
      </c>
      <c r="Y50" s="1792"/>
      <c r="AA50" s="1891"/>
      <c r="AC50" t="s">
        <v>113</v>
      </c>
      <c r="AE50" s="1921">
        <v>1907</v>
      </c>
      <c r="AF50" s="1144" t="s">
        <v>100</v>
      </c>
      <c r="AG50" s="1144"/>
      <c r="AH50" s="1144"/>
      <c r="AI50" s="1144" t="s">
        <v>100</v>
      </c>
      <c r="AJ50" s="1144"/>
      <c r="AK50" s="1144"/>
      <c r="AL50" s="1144" t="s">
        <v>1528</v>
      </c>
      <c r="AM50" s="1144" t="s">
        <v>1614</v>
      </c>
      <c r="AN50" s="1144" t="s">
        <v>1615</v>
      </c>
      <c r="AO50" s="1922" t="s">
        <v>1616</v>
      </c>
      <c r="AP50" s="1922" t="s">
        <v>1559</v>
      </c>
      <c r="AQ50" s="1145" t="s">
        <v>1617</v>
      </c>
      <c r="AR50" s="1145" t="s">
        <v>1618</v>
      </c>
      <c r="AS50" s="1704" t="s">
        <v>1619</v>
      </c>
      <c r="AT50" s="1921">
        <v>1907</v>
      </c>
      <c r="BB50" s="1145"/>
    </row>
    <row r="51" ht="17.25" customHeight="1" spans="15:65">
      <c r="O51" s="1723" t="s">
        <v>1620</v>
      </c>
      <c r="Q51" s="1792"/>
      <c r="S51" s="1167" t="str">
        <f>IF(人物卡!J28=人物卡!R28,"",人物卡!F28&amp;人物卡!R28)</f>
        <v/>
      </c>
      <c r="T51" s="1167" t="str">
        <f>IF(人物卡!AF28=人物卡!AN28,"",IF(ISBLANK(人物卡!AD28),"驾驶"&amp;人物卡!AN28,人物卡!AD28&amp;人物卡!AN28))</f>
        <v/>
      </c>
      <c r="U51" s="1171"/>
      <c r="V51" s="1171"/>
      <c r="X51" s="1869" t="s">
        <v>149</v>
      </c>
      <c r="Y51" s="1792"/>
      <c r="AA51" s="1891"/>
      <c r="AC51" t="s">
        <v>116</v>
      </c>
      <c r="AE51" s="1921">
        <v>1908</v>
      </c>
      <c r="AF51" s="1144" t="s">
        <v>1621</v>
      </c>
      <c r="AG51" s="1144"/>
      <c r="AH51" s="1144"/>
      <c r="AI51" s="1144" t="s">
        <v>100</v>
      </c>
      <c r="AJ51" s="1144"/>
      <c r="AK51" s="1144"/>
      <c r="AL51" s="1144" t="s">
        <v>1528</v>
      </c>
      <c r="AM51" s="1144" t="s">
        <v>1622</v>
      </c>
      <c r="AN51" s="1144" t="s">
        <v>1623</v>
      </c>
      <c r="AO51" s="1922" t="s">
        <v>1624</v>
      </c>
      <c r="AP51" s="1922" t="s">
        <v>1559</v>
      </c>
      <c r="AQ51" s="1145" t="s">
        <v>1625</v>
      </c>
      <c r="AR51" s="1145" t="s">
        <v>1626</v>
      </c>
      <c r="AS51" s="1704" t="s">
        <v>1627</v>
      </c>
      <c r="AT51" s="1921">
        <v>1908</v>
      </c>
      <c r="BA51" s="1955"/>
      <c r="BB51" s="1145"/>
      <c r="BC51" s="1955"/>
      <c r="BD51" s="1955"/>
      <c r="BE51" s="1955"/>
      <c r="BF51" s="1955"/>
      <c r="BG51" s="1955"/>
      <c r="BH51" s="1955"/>
      <c r="BI51" s="1955"/>
      <c r="BJ51" s="1955"/>
      <c r="BK51" s="1955"/>
      <c r="BL51" s="1959"/>
      <c r="BM51" s="1959"/>
    </row>
    <row r="52" ht="17.25" customHeight="1" spans="5:65">
      <c r="E52" s="1779"/>
      <c r="F52" s="1780"/>
      <c r="G52" s="1780"/>
      <c r="H52" s="1781"/>
      <c r="I52" s="1811"/>
      <c r="J52" s="1812" t="str">
        <f>IF(人物卡!M5=0," ","["&amp;E59&amp;"]")</f>
        <v>[教育×2＋外貌或敏捷×2]</v>
      </c>
      <c r="K52" s="1813"/>
      <c r="L52" s="1704" t="s">
        <v>1628</v>
      </c>
      <c r="O52" s="1723" t="s">
        <v>1629</v>
      </c>
      <c r="Q52" s="1792"/>
      <c r="S52" s="1167" t="str">
        <f>IF(人物卡!J29=人物卡!R29,"",人物卡!F29&amp;人物卡!R29)</f>
        <v/>
      </c>
      <c r="T52" s="1167" t="str">
        <f>IF(人物卡!AF29=人物卡!AN29,"",人物卡!AB29&amp;人物卡!AN29)</f>
        <v/>
      </c>
      <c r="U52" s="1171"/>
      <c r="V52" s="1171"/>
      <c r="X52" s="1869" t="s">
        <v>151</v>
      </c>
      <c r="Y52" s="1792"/>
      <c r="AA52" s="1891"/>
      <c r="AC52" t="s">
        <v>118</v>
      </c>
      <c r="AE52" s="1921">
        <v>1909</v>
      </c>
      <c r="AF52" s="1144" t="s">
        <v>100</v>
      </c>
      <c r="AG52" s="1144"/>
      <c r="AH52" s="1144"/>
      <c r="AI52" s="1144" t="s">
        <v>100</v>
      </c>
      <c r="AJ52" s="1144"/>
      <c r="AK52" s="1144"/>
      <c r="AL52" s="1144" t="s">
        <v>1630</v>
      </c>
      <c r="AM52" s="1144" t="s">
        <v>1631</v>
      </c>
      <c r="AN52" s="1144" t="s">
        <v>1632</v>
      </c>
      <c r="AO52" s="1922" t="s">
        <v>1633</v>
      </c>
      <c r="AP52" s="1922" t="s">
        <v>1634</v>
      </c>
      <c r="AQ52" s="1145" t="s">
        <v>1635</v>
      </c>
      <c r="AR52" s="1145" t="s">
        <v>1636</v>
      </c>
      <c r="AS52" s="1704" t="s">
        <v>1637</v>
      </c>
      <c r="AT52" s="1921">
        <v>1909</v>
      </c>
      <c r="BA52" s="1951"/>
      <c r="BB52" s="1145"/>
      <c r="BD52" s="1956"/>
      <c r="BE52" s="1956"/>
      <c r="BF52" s="1951"/>
      <c r="BG52" s="1951"/>
      <c r="BH52" s="1951"/>
      <c r="BI52" s="1951"/>
      <c r="BJ52" s="1951"/>
      <c r="BK52" s="1951"/>
      <c r="BL52" s="1951"/>
      <c r="BM52" s="1951"/>
    </row>
    <row r="53" ht="17.25" customHeight="1" spans="2:65">
      <c r="B53" s="1704" t="s">
        <v>18</v>
      </c>
      <c r="E53" s="1782" t="str">
        <f>IF(人物卡!M5=0," ",LOOKUP(人物卡!M5,职业列表!A2:A232,职业列表!H2:H232))</f>
        <v>会计，两项社交技能（取悦、话术、恐吓、说服），法律，图书馆，聆听，锁匠，艺术及手艺（摄影），侦查，任意一项其他个人或时代特长</v>
      </c>
      <c r="F53" s="1783"/>
      <c r="G53" s="1783"/>
      <c r="H53" s="1783"/>
      <c r="I53" s="1814"/>
      <c r="J53" s="1815">
        <f>IF(人物卡!M5=0," ",VLOOKUP(人物卡!M5,职业列表!A2:H232,7,FALSE))</f>
        <v>270</v>
      </c>
      <c r="K53" s="1816"/>
      <c r="L53" s="1704">
        <f>人物卡!AA7+人物卡!AA7</f>
        <v>160</v>
      </c>
      <c r="O53" s="1723" t="s">
        <v>1638</v>
      </c>
      <c r="Q53" s="1792"/>
      <c r="S53" s="1167" t="str">
        <f>IF(人物卡!J30=人物卡!R30,"",人物卡!F30&amp;人物卡!R30)</f>
        <v>闪避60</v>
      </c>
      <c r="T53" s="1167" t="str">
        <f>IF(人物卡!AF30=人物卡!AN30,"",人物卡!AB30&amp;人物卡!AN30)</f>
        <v>心理学60</v>
      </c>
      <c r="U53" s="1171"/>
      <c r="V53" s="1171"/>
      <c r="X53" s="1869" t="s">
        <v>154</v>
      </c>
      <c r="Y53" s="1792"/>
      <c r="AA53" s="1891"/>
      <c r="AC53" t="s">
        <v>390</v>
      </c>
      <c r="AE53" s="1921">
        <v>1910</v>
      </c>
      <c r="AF53" s="1144" t="s">
        <v>100</v>
      </c>
      <c r="AG53" s="1144"/>
      <c r="AH53" s="1144"/>
      <c r="AI53" s="1144" t="s">
        <v>100</v>
      </c>
      <c r="AJ53" s="1144"/>
      <c r="AK53" s="1144"/>
      <c r="AL53" s="1144" t="s">
        <v>1639</v>
      </c>
      <c r="AM53" s="1144" t="s">
        <v>1640</v>
      </c>
      <c r="AN53" s="1144" t="s">
        <v>1641</v>
      </c>
      <c r="AO53" s="1922" t="s">
        <v>1642</v>
      </c>
      <c r="AP53" s="1922" t="s">
        <v>1643</v>
      </c>
      <c r="AQ53" s="1145" t="s">
        <v>1644</v>
      </c>
      <c r="AR53" s="1145" t="s">
        <v>1645</v>
      </c>
      <c r="AS53" s="1704" t="s">
        <v>1646</v>
      </c>
      <c r="AT53" s="1921">
        <v>1910</v>
      </c>
      <c r="BA53" s="1951"/>
      <c r="BB53" s="1145"/>
      <c r="BD53" s="1956"/>
      <c r="BE53" s="1956"/>
      <c r="BF53" s="1951"/>
      <c r="BG53" s="1951"/>
      <c r="BH53" s="1951"/>
      <c r="BI53" s="1951"/>
      <c r="BJ53" s="1951"/>
      <c r="BK53" s="1951"/>
      <c r="BL53" s="1951"/>
      <c r="BM53" s="1951"/>
    </row>
    <row r="54" ht="17.25" customHeight="1" spans="2:65">
      <c r="B54" s="1704">
        <f>人物卡!M5</f>
        <v>219</v>
      </c>
      <c r="E54" s="1784"/>
      <c r="F54" s="1785"/>
      <c r="G54" s="1785"/>
      <c r="H54" s="1785"/>
      <c r="I54" s="1817"/>
      <c r="J54" s="1818"/>
      <c r="K54" s="1819"/>
      <c r="L54" s="1704" t="s">
        <v>1647</v>
      </c>
      <c r="O54" s="1723" t="s">
        <v>1648</v>
      </c>
      <c r="Q54" s="1792"/>
      <c r="S54" s="1167" t="str">
        <f>IF(人物卡!J31=人物卡!R31,"",人物卡!F31&amp;人物卡!R31)</f>
        <v/>
      </c>
      <c r="T54" s="1167" t="str">
        <f>IF(人物卡!AF31=人物卡!AN31,"",人物卡!AB31&amp;人物卡!AN31)</f>
        <v/>
      </c>
      <c r="U54" s="1171"/>
      <c r="V54" s="1171"/>
      <c r="X54" s="1869" t="s">
        <v>156</v>
      </c>
      <c r="Y54" s="1792"/>
      <c r="AA54" s="1891"/>
      <c r="AC54" t="s">
        <v>122</v>
      </c>
      <c r="AE54" s="1921">
        <v>1911</v>
      </c>
      <c r="AF54" s="1144" t="s">
        <v>100</v>
      </c>
      <c r="AG54" s="1144"/>
      <c r="AH54" s="1144"/>
      <c r="AI54" s="1144" t="s">
        <v>1649</v>
      </c>
      <c r="AJ54" s="1144"/>
      <c r="AK54" s="1144"/>
      <c r="AL54" s="1144" t="s">
        <v>1650</v>
      </c>
      <c r="AM54" s="1144" t="s">
        <v>1651</v>
      </c>
      <c r="AN54" s="1144" t="s">
        <v>1652</v>
      </c>
      <c r="AO54" s="1922" t="s">
        <v>1653</v>
      </c>
      <c r="AP54" s="1144" t="s">
        <v>1654</v>
      </c>
      <c r="AQ54" s="1145" t="s">
        <v>1655</v>
      </c>
      <c r="AR54" s="1145" t="s">
        <v>1656</v>
      </c>
      <c r="AS54" s="1704" t="s">
        <v>1657</v>
      </c>
      <c r="AT54" s="1921">
        <v>1911</v>
      </c>
      <c r="BA54" s="1951"/>
      <c r="BB54" s="1145"/>
      <c r="BF54" s="1951"/>
      <c r="BG54" s="1951"/>
      <c r="BH54" s="1951"/>
      <c r="BI54" s="1951"/>
      <c r="BJ54" s="1951"/>
      <c r="BK54" s="1951"/>
      <c r="BL54" s="1951"/>
      <c r="BM54" s="1951"/>
    </row>
    <row r="55" ht="17.25" customHeight="1" spans="2:64">
      <c r="B55" s="1704" t="s">
        <v>1658</v>
      </c>
      <c r="E55" s="1784"/>
      <c r="F55" s="1785"/>
      <c r="G55" s="1785"/>
      <c r="H55" s="1785"/>
      <c r="I55" s="1817"/>
      <c r="J55" s="1818"/>
      <c r="K55" s="1819"/>
      <c r="L55" s="1704">
        <f>D34</f>
        <v>0</v>
      </c>
      <c r="O55" s="1723" t="s">
        <v>1659</v>
      </c>
      <c r="Q55" s="1792"/>
      <c r="S55" s="1167" t="str">
        <f>IF(人物卡!J32=人物卡!R32,"",人物卡!F32&amp;人物卡!R32)</f>
        <v/>
      </c>
      <c r="T55" s="1167" t="str">
        <f>IF(人物卡!AF32=人物卡!AN32,"",IF(ISBLANK(人物卡!AD32),"科学"&amp;人物卡!AN32,人物卡!AD32&amp;人物卡!AN32))</f>
        <v/>
      </c>
      <c r="U55" s="1171"/>
      <c r="V55" s="1171"/>
      <c r="X55" s="1870" t="s">
        <v>158</v>
      </c>
      <c r="Y55" s="1792"/>
      <c r="AA55" s="1891"/>
      <c r="AC55" t="s">
        <v>166</v>
      </c>
      <c r="AE55" s="1921">
        <v>1912</v>
      </c>
      <c r="AF55" s="1144" t="s">
        <v>1660</v>
      </c>
      <c r="AG55" s="1144"/>
      <c r="AH55" s="1144"/>
      <c r="AI55" s="1144" t="s">
        <v>1661</v>
      </c>
      <c r="AJ55" s="1144" t="s">
        <v>1662</v>
      </c>
      <c r="AK55" s="1144"/>
      <c r="AL55" s="1144" t="s">
        <v>1663</v>
      </c>
      <c r="AM55" s="1144" t="s">
        <v>1664</v>
      </c>
      <c r="AN55" s="1144" t="s">
        <v>1665</v>
      </c>
      <c r="AO55" s="1922" t="s">
        <v>1666</v>
      </c>
      <c r="AP55" s="1922" t="s">
        <v>1643</v>
      </c>
      <c r="AQ55" s="1145" t="s">
        <v>1667</v>
      </c>
      <c r="AR55" s="1704" t="s">
        <v>1668</v>
      </c>
      <c r="AS55" s="1704" t="s">
        <v>1669</v>
      </c>
      <c r="AT55" s="1921">
        <v>1912</v>
      </c>
      <c r="AZ55" s="1951"/>
      <c r="BB55" s="1145"/>
      <c r="BC55" s="1951"/>
      <c r="BD55" s="1951"/>
      <c r="BE55" s="1951"/>
      <c r="BF55" s="1951"/>
      <c r="BG55" s="1951"/>
      <c r="BH55" s="1951"/>
      <c r="BI55" s="1951"/>
      <c r="BJ55" s="1951"/>
      <c r="BK55" s="1951"/>
      <c r="BL55" s="1951"/>
    </row>
    <row r="56" ht="17.25" customHeight="1" spans="2:64">
      <c r="B56" s="1704">
        <f>E62+F62+G62+H62+I62+J62+K62</f>
        <v>994</v>
      </c>
      <c r="E56" s="1784"/>
      <c r="F56" s="1785"/>
      <c r="G56" s="1785"/>
      <c r="H56" s="1785"/>
      <c r="I56" s="1817"/>
      <c r="J56" s="1818"/>
      <c r="K56" s="1819"/>
      <c r="O56" s="1723" t="s">
        <v>1670</v>
      </c>
      <c r="Q56" s="1792"/>
      <c r="S56" s="1167" t="str">
        <f>IF(人物卡!J33=人物卡!R33,"","电子学"&amp;人物卡!R33)</f>
        <v/>
      </c>
      <c r="T56" s="1167" t="str">
        <f>IF(人物卡!AF33=人物卡!AN33,"",IF(ISBLANK(人物卡!AD33),"科学"&amp;人物卡!AN33,人物卡!AD33&amp;人物卡!AN33))</f>
        <v/>
      </c>
      <c r="U56" s="1171"/>
      <c r="V56" s="1171"/>
      <c r="X56" s="1871" t="s">
        <v>160</v>
      </c>
      <c r="Y56" s="1792"/>
      <c r="AA56" s="1891"/>
      <c r="AC56" t="s">
        <v>1671</v>
      </c>
      <c r="AE56" s="1921">
        <v>1913</v>
      </c>
      <c r="AF56" s="1144" t="s">
        <v>1672</v>
      </c>
      <c r="AG56" s="1144"/>
      <c r="AH56" s="1144"/>
      <c r="AI56" s="1144" t="s">
        <v>100</v>
      </c>
      <c r="AJ56" s="1144"/>
      <c r="AK56" s="1144"/>
      <c r="AL56" s="1922" t="s">
        <v>1673</v>
      </c>
      <c r="AM56" s="1144" t="s">
        <v>1674</v>
      </c>
      <c r="AN56" s="1144" t="s">
        <v>1675</v>
      </c>
      <c r="AO56" s="1922" t="s">
        <v>1676</v>
      </c>
      <c r="AP56" s="1922" t="s">
        <v>1677</v>
      </c>
      <c r="AQ56" s="1145" t="s">
        <v>1667</v>
      </c>
      <c r="AR56" s="1704" t="s">
        <v>1678</v>
      </c>
      <c r="AT56" s="1921">
        <v>1913</v>
      </c>
      <c r="AZ56" s="1951"/>
      <c r="BB56" s="1145"/>
      <c r="BE56" s="1951"/>
      <c r="BF56" s="1951"/>
      <c r="BG56" s="1951"/>
      <c r="BH56" s="1951"/>
      <c r="BI56" s="1951"/>
      <c r="BJ56" s="1951"/>
      <c r="BK56" s="1951"/>
      <c r="BL56" s="1951"/>
    </row>
    <row r="57" ht="17.25" customHeight="1" spans="2:64">
      <c r="B57" s="1704" t="s">
        <v>1679</v>
      </c>
      <c r="E57" s="1784"/>
      <c r="F57" s="1785"/>
      <c r="G57" s="1785"/>
      <c r="H57" s="1785"/>
      <c r="I57" s="1817"/>
      <c r="J57" s="1818"/>
      <c r="K57" s="1819"/>
      <c r="O57" s="1723" t="s">
        <v>214</v>
      </c>
      <c r="Q57" s="1792"/>
      <c r="S57" s="1167" t="str">
        <f>IF(人物卡!J34=人物卡!R34,"",人物卡!F34&amp;人物卡!R34)</f>
        <v>话术70</v>
      </c>
      <c r="T57" s="1167" t="str">
        <f>IF(人物卡!AF34=人物卡!AN34,"",IF(ISBLANK(人物卡!AD34),"科学"&amp;人物卡!AN34,人物卡!AD34&amp;人物卡!AN34))</f>
        <v/>
      </c>
      <c r="U57" s="1171"/>
      <c r="V57" s="1171"/>
      <c r="X57" s="1870" t="s">
        <v>162</v>
      </c>
      <c r="Y57" s="1792"/>
      <c r="AA57" s="1891"/>
      <c r="AC57" t="s">
        <v>149</v>
      </c>
      <c r="AE57" s="1921">
        <v>1914</v>
      </c>
      <c r="AF57" s="1922" t="s">
        <v>1680</v>
      </c>
      <c r="AG57" s="1922"/>
      <c r="AH57" s="1922"/>
      <c r="AI57" s="1144" t="s">
        <v>100</v>
      </c>
      <c r="AJ57" s="1144"/>
      <c r="AK57" s="1144"/>
      <c r="AL57" s="1922" t="s">
        <v>1673</v>
      </c>
      <c r="AM57" s="1144" t="s">
        <v>1681</v>
      </c>
      <c r="AN57" s="1144" t="s">
        <v>1682</v>
      </c>
      <c r="AO57" s="1144" t="s">
        <v>1683</v>
      </c>
      <c r="AP57" s="1922" t="s">
        <v>1684</v>
      </c>
      <c r="AQ57" s="1145" t="s">
        <v>1667</v>
      </c>
      <c r="AR57" s="1704" t="s">
        <v>1678</v>
      </c>
      <c r="AT57" s="1921">
        <v>1914</v>
      </c>
      <c r="AZ57" s="1952"/>
      <c r="BB57" s="1145"/>
      <c r="BC57" s="1931"/>
      <c r="BD57" s="1931"/>
      <c r="BE57" s="1951"/>
      <c r="BF57" s="1951"/>
      <c r="BG57" s="1951"/>
      <c r="BH57" s="1951"/>
      <c r="BI57" s="1951"/>
      <c r="BJ57" s="1951"/>
      <c r="BK57" s="1951"/>
      <c r="BL57" s="1951"/>
    </row>
    <row r="58" ht="17.25" customHeight="1" spans="2:65">
      <c r="B58" s="1704">
        <f>IF(人物卡!I13=E53,B54,IF(AND(L34=C16,A32=1,F16=1),B56,0))</f>
        <v>219</v>
      </c>
      <c r="E58" s="1786"/>
      <c r="F58" s="1787"/>
      <c r="G58" s="1787"/>
      <c r="H58" s="1787"/>
      <c r="I58" s="1820"/>
      <c r="J58" s="1821"/>
      <c r="K58" s="1822"/>
      <c r="O58" s="1726" t="s">
        <v>237</v>
      </c>
      <c r="P58" s="1728"/>
      <c r="Q58" s="1793"/>
      <c r="S58" s="1167" t="str">
        <f>IF(人物卡!J35=人物卡!R35,"",人物卡!H35&amp;人物卡!R35)</f>
        <v/>
      </c>
      <c r="T58" s="1167" t="str">
        <f>IF(人物卡!AF35=人物卡!AN35,"",人物卡!AB35&amp;人物卡!AN35)</f>
        <v/>
      </c>
      <c r="U58" s="1171"/>
      <c r="V58" s="1171"/>
      <c r="X58" s="1869" t="s">
        <v>164</v>
      </c>
      <c r="Y58" s="1792"/>
      <c r="AA58" s="1891"/>
      <c r="AC58" t="s">
        <v>151</v>
      </c>
      <c r="AE58" s="1921">
        <v>1915</v>
      </c>
      <c r="AF58" s="1922" t="s">
        <v>1680</v>
      </c>
      <c r="AG58" s="1922"/>
      <c r="AH58" s="1922"/>
      <c r="AI58" s="1144" t="s">
        <v>1685</v>
      </c>
      <c r="AJ58" s="1144"/>
      <c r="AK58" s="1144"/>
      <c r="AL58" s="1922" t="s">
        <v>1673</v>
      </c>
      <c r="AM58" s="1144" t="s">
        <v>1686</v>
      </c>
      <c r="AN58" s="1144" t="s">
        <v>1687</v>
      </c>
      <c r="AO58" s="1922" t="s">
        <v>1688</v>
      </c>
      <c r="AP58" s="1922" t="s">
        <v>1684</v>
      </c>
      <c r="AQ58" s="1145" t="s">
        <v>1689</v>
      </c>
      <c r="AR58" s="1704" t="s">
        <v>1678</v>
      </c>
      <c r="AS58" s="1704" t="s">
        <v>1690</v>
      </c>
      <c r="AT58" s="1921">
        <v>1915</v>
      </c>
      <c r="BA58" s="1940"/>
      <c r="BB58" s="1145"/>
      <c r="BC58" s="1952"/>
      <c r="BD58" s="1952"/>
      <c r="BE58" s="1952"/>
      <c r="BF58" s="1957"/>
      <c r="BG58" s="1957"/>
      <c r="BH58" s="1958"/>
      <c r="BI58" s="1958"/>
      <c r="BJ58" s="1957"/>
      <c r="BK58" s="1957"/>
      <c r="BL58" s="1958"/>
      <c r="BM58" s="1958"/>
    </row>
    <row r="59" ht="17.25" customHeight="1" spans="5:65">
      <c r="E59" s="1704" t="str">
        <f>IF(人物卡!M5=0,"",VLOOKUP(人物卡!M5,职业列表!A2:H232,6,FALSE))</f>
        <v>教育×2＋外貌或敏捷×2</v>
      </c>
      <c r="G59" s="1704" t="s">
        <v>1691</v>
      </c>
      <c r="S59" s="1167" t="str">
        <f>IF(人物卡!J36=人物卡!R36,"",IF(ISBLANK(人物卡!H36),"格斗"&amp;人物卡!R36,人物卡!H36&amp;人物卡!R36))</f>
        <v/>
      </c>
      <c r="T59" s="1167" t="str">
        <f>IF(人物卡!AF36=人物卡!AN36,"",人物卡!AB36&amp;人物卡!AN36)</f>
        <v>侦查80</v>
      </c>
      <c r="U59" s="1171"/>
      <c r="V59" s="1171"/>
      <c r="X59" s="1869" t="s">
        <v>70</v>
      </c>
      <c r="Y59" s="1792"/>
      <c r="AA59" s="1891"/>
      <c r="AC59" t="s">
        <v>154</v>
      </c>
      <c r="AE59" s="1921">
        <v>1916</v>
      </c>
      <c r="AF59" s="1922" t="s">
        <v>1680</v>
      </c>
      <c r="AG59" s="1144" t="s">
        <v>1692</v>
      </c>
      <c r="AH59" s="1144"/>
      <c r="AI59" s="1144" t="s">
        <v>1693</v>
      </c>
      <c r="AJ59" s="1144"/>
      <c r="AK59" s="1144"/>
      <c r="AL59" s="1922" t="s">
        <v>1673</v>
      </c>
      <c r="AM59" s="1144" t="s">
        <v>1694</v>
      </c>
      <c r="AN59" s="1144" t="s">
        <v>1695</v>
      </c>
      <c r="AO59" s="1922" t="s">
        <v>1696</v>
      </c>
      <c r="AP59" s="1922" t="s">
        <v>1684</v>
      </c>
      <c r="AQ59" s="1145" t="s">
        <v>1697</v>
      </c>
      <c r="AR59" s="1704" t="s">
        <v>1698</v>
      </c>
      <c r="AS59" s="1704" t="s">
        <v>1699</v>
      </c>
      <c r="AT59" s="1921">
        <v>1916</v>
      </c>
      <c r="BA59" s="1940"/>
      <c r="BB59" s="1145"/>
      <c r="BC59" s="1952"/>
      <c r="BD59" s="1952"/>
      <c r="BE59" s="1952"/>
      <c r="BF59" s="1957"/>
      <c r="BG59" s="1957"/>
      <c r="BH59" s="1958"/>
      <c r="BI59" s="1958"/>
      <c r="BJ59" s="1957"/>
      <c r="BK59" s="1957"/>
      <c r="BL59" s="1958"/>
      <c r="BM59" s="1958"/>
    </row>
    <row r="60" ht="17.25" customHeight="1" spans="7:64">
      <c r="G60" s="1704">
        <f>IF(人物卡!I13=E53,1,0)</f>
        <v>1</v>
      </c>
      <c r="H60" s="1788"/>
      <c r="I60" s="1788"/>
      <c r="J60" s="1788"/>
      <c r="L60" s="1823"/>
      <c r="M60" s="1823"/>
      <c r="N60" s="1823"/>
      <c r="O60" s="1823"/>
      <c r="P60" s="1704">
        <f>IF(ISNUMBER(P61+P62+P63+P64+P65+P66+O67+P68+P69+P70+P71),0,1)</f>
        <v>0</v>
      </c>
      <c r="S60" s="1167" t="str">
        <f>IF(人物卡!J37=人物卡!R37,"",IF(ISBLANK(人物卡!H37),"格斗"&amp;人物卡!R37,人物卡!H37&amp;人物卡!R37))</f>
        <v/>
      </c>
      <c r="T60" s="1167" t="str">
        <f>IF(人物卡!AF37=人物卡!AN37,"",人物卡!AB37&amp;人物卡!AN37)</f>
        <v>潜行60</v>
      </c>
      <c r="U60" s="1171"/>
      <c r="V60" s="1171"/>
      <c r="X60" s="1869" t="s">
        <v>72</v>
      </c>
      <c r="Y60" s="1792"/>
      <c r="AA60" s="1891"/>
      <c r="AC60" t="s">
        <v>156</v>
      </c>
      <c r="AE60" s="1921">
        <v>1917</v>
      </c>
      <c r="AF60" s="1922" t="s">
        <v>1680</v>
      </c>
      <c r="AG60" s="1144" t="s">
        <v>1700</v>
      </c>
      <c r="AH60" s="1144"/>
      <c r="AI60" s="1144" t="s">
        <v>1701</v>
      </c>
      <c r="AJ60" s="1144" t="s">
        <v>1702</v>
      </c>
      <c r="AK60" s="1144"/>
      <c r="AL60" s="1922" t="s">
        <v>1673</v>
      </c>
      <c r="AM60" s="1144" t="s">
        <v>1703</v>
      </c>
      <c r="AN60" s="1144" t="s">
        <v>1704</v>
      </c>
      <c r="AO60" s="1922" t="s">
        <v>1705</v>
      </c>
      <c r="AP60" s="1922" t="s">
        <v>1684</v>
      </c>
      <c r="AQ60" s="1145" t="s">
        <v>1706</v>
      </c>
      <c r="AR60" s="1704" t="s">
        <v>1707</v>
      </c>
      <c r="AS60" s="1704" t="s">
        <v>1708</v>
      </c>
      <c r="AT60" s="1921">
        <v>1917</v>
      </c>
      <c r="AV60" s="1940"/>
      <c r="AW60" s="1940"/>
      <c r="AX60" s="1940"/>
      <c r="AY60" s="1940"/>
      <c r="AZ60" s="1940"/>
      <c r="BA60" s="1952"/>
      <c r="BB60" s="1145"/>
      <c r="BC60" s="1952"/>
      <c r="BD60" s="1952"/>
      <c r="BE60" s="1957"/>
      <c r="BF60" s="1957"/>
      <c r="BG60" s="1958"/>
      <c r="BH60" s="1958"/>
      <c r="BI60" s="1957"/>
      <c r="BJ60" s="1957"/>
      <c r="BK60" s="1958"/>
      <c r="BL60" s="1958"/>
    </row>
    <row r="61" ht="17.25" customHeight="1" spans="5:65">
      <c r="E61" s="1167" t="s">
        <v>1709</v>
      </c>
      <c r="F61" s="1167" t="s">
        <v>1710</v>
      </c>
      <c r="G61" s="1789" t="s">
        <v>1711</v>
      </c>
      <c r="H61" s="1789" t="s">
        <v>1712</v>
      </c>
      <c r="I61" s="1789" t="s">
        <v>1713</v>
      </c>
      <c r="J61" s="1789" t="s">
        <v>1714</v>
      </c>
      <c r="K61" s="1824" t="s">
        <v>1329</v>
      </c>
      <c r="L61" s="1823"/>
      <c r="P61" s="1704">
        <f>IF(ISBLANK(职业列表!J3),职业列表!J3,IF(ISNUMBER(P62+P63+P64+P65+P66+P67+P68+P69+P70+P71+P72),职业列表!J3,职业列表!J3&amp;"，"))</f>
        <v>0</v>
      </c>
      <c r="Q61" s="1704" t="str">
        <f t="shared" ref="Q61:Q71" si="4">IF(ISNUMBER(P61),"",P61)</f>
        <v/>
      </c>
      <c r="S61" s="1167" t="str">
        <f>IF(人物卡!J38=人物卡!R38,"",IF(ISBLANK(人物卡!H38),"格斗"&amp;人物卡!R38,人物卡!H38&amp;人物卡!R38))</f>
        <v/>
      </c>
      <c r="T61" s="1167" t="str">
        <f>IF(人物卡!AF38=人物卡!AN38,"",IF(ISBLANK(人物卡!AD38),"生存"&amp;人物卡!AN38,人物卡!AD38&amp;人物卡!AN38))</f>
        <v/>
      </c>
      <c r="U61" s="1171"/>
      <c r="V61" s="1171"/>
      <c r="X61" s="1869" t="s">
        <v>76</v>
      </c>
      <c r="Y61" s="1792"/>
      <c r="AA61" s="1891"/>
      <c r="AC61" t="s">
        <v>1715</v>
      </c>
      <c r="AE61" s="1921">
        <v>1918</v>
      </c>
      <c r="AF61" s="1922" t="s">
        <v>1680</v>
      </c>
      <c r="AG61" s="1922"/>
      <c r="AH61" s="1922"/>
      <c r="AI61" s="1144" t="s">
        <v>100</v>
      </c>
      <c r="AJ61" s="1144"/>
      <c r="AK61" s="1144"/>
      <c r="AL61" s="1922" t="s">
        <v>1673</v>
      </c>
      <c r="AM61" s="1144" t="s">
        <v>1716</v>
      </c>
      <c r="AN61" s="1144" t="s">
        <v>1717</v>
      </c>
      <c r="AO61" s="1922" t="s">
        <v>1718</v>
      </c>
      <c r="AP61" s="1922" t="s">
        <v>1684</v>
      </c>
      <c r="AQ61" s="1145" t="s">
        <v>1719</v>
      </c>
      <c r="AR61" s="1704" t="s">
        <v>1720</v>
      </c>
      <c r="AS61" s="1704" t="s">
        <v>1721</v>
      </c>
      <c r="AT61" s="1921">
        <v>1918</v>
      </c>
      <c r="AV61" s="1940"/>
      <c r="AW61" s="1940"/>
      <c r="AX61" s="1940"/>
      <c r="AY61" s="1940"/>
      <c r="AZ61" s="1940"/>
      <c r="BA61" s="1940"/>
      <c r="BB61" s="1145"/>
      <c r="BC61" s="1952"/>
      <c r="BD61" s="1952"/>
      <c r="BE61" s="1952"/>
      <c r="BF61" s="1957"/>
      <c r="BG61" s="1957"/>
      <c r="BH61" s="1958"/>
      <c r="BI61" s="1958"/>
      <c r="BJ61" s="1957"/>
      <c r="BK61" s="1957"/>
      <c r="BL61" s="1958"/>
      <c r="BM61" s="1958"/>
    </row>
    <row r="62" ht="17.25" customHeight="1" spans="5:65">
      <c r="E62" s="1790">
        <f>IF(C16=F20,993,0)</f>
        <v>0</v>
      </c>
      <c r="F62" s="1790">
        <f>IF(C16=G20,994,0)</f>
        <v>994</v>
      </c>
      <c r="G62" s="1790">
        <f>IF(C16=F21,995,0)</f>
        <v>0</v>
      </c>
      <c r="H62" s="1790">
        <f>IF(C16=F22,996,0)</f>
        <v>0</v>
      </c>
      <c r="I62" s="1790">
        <f>IF(C16=F23,997,0)</f>
        <v>0</v>
      </c>
      <c r="J62" s="1790">
        <f>IF(C16=F24,998,0)</f>
        <v>0</v>
      </c>
      <c r="K62" s="1790">
        <f>IF(C16=F25,999,0)</f>
        <v>0</v>
      </c>
      <c r="L62" s="1823"/>
      <c r="P62" s="1704">
        <f>IF(ISBLANK(职业列表!J4),职业列表!J4,IF(ISNUMBER(P63+P64+P65+P66+P67+P68+P72+P69+P70+P71),职业列表!J4,职业列表!J4&amp;"，"))</f>
        <v>0</v>
      </c>
      <c r="Q62" s="1704" t="str">
        <f t="shared" si="4"/>
        <v/>
      </c>
      <c r="S62" s="1167" t="str">
        <f>IF(人物卡!J39=人物卡!R39,"",人物卡!H39&amp;人物卡!R39)</f>
        <v/>
      </c>
      <c r="T62" s="1167" t="str">
        <f>IF(人物卡!AF39=人物卡!AN39,"",人物卡!AB39&amp;人物卡!AN39)</f>
        <v/>
      </c>
      <c r="U62" s="1171"/>
      <c r="V62" s="1171"/>
      <c r="X62" s="1869" t="s">
        <v>79</v>
      </c>
      <c r="Y62" s="1792"/>
      <c r="AA62" s="1891"/>
      <c r="AC62" t="s">
        <v>164</v>
      </c>
      <c r="AE62" s="1921">
        <v>1919</v>
      </c>
      <c r="AF62" s="1144" t="s">
        <v>1722</v>
      </c>
      <c r="AG62" s="1144"/>
      <c r="AH62" s="1144"/>
      <c r="AI62" s="1144" t="s">
        <v>1723</v>
      </c>
      <c r="AJ62" s="1144"/>
      <c r="AK62" s="1144"/>
      <c r="AL62" s="1922" t="s">
        <v>1673</v>
      </c>
      <c r="AM62" s="1144" t="s">
        <v>1724</v>
      </c>
      <c r="AN62" s="1144" t="s">
        <v>1725</v>
      </c>
      <c r="AO62" s="1932" t="s">
        <v>1726</v>
      </c>
      <c r="AP62" s="1144" t="s">
        <v>1727</v>
      </c>
      <c r="AQ62" s="1145" t="s">
        <v>1728</v>
      </c>
      <c r="AR62" s="1704" t="s">
        <v>1729</v>
      </c>
      <c r="AS62" s="1941" t="s">
        <v>1730</v>
      </c>
      <c r="AT62" s="1921">
        <v>1919</v>
      </c>
      <c r="AV62" s="1940"/>
      <c r="AW62" s="1940"/>
      <c r="AX62" s="1940"/>
      <c r="AY62" s="1940"/>
      <c r="AZ62" s="1940"/>
      <c r="BA62" s="1940"/>
      <c r="BB62" s="1145"/>
      <c r="BC62" s="1952"/>
      <c r="BD62" s="1952"/>
      <c r="BE62" s="1952"/>
      <c r="BF62" s="1957"/>
      <c r="BG62" s="1957"/>
      <c r="BH62" s="1958"/>
      <c r="BI62" s="1958"/>
      <c r="BJ62" s="1957"/>
      <c r="BK62" s="1957"/>
      <c r="BL62" s="1958"/>
      <c r="BM62" s="1958"/>
    </row>
    <row r="63" ht="17.25" customHeight="1" spans="5:65">
      <c r="E63" s="1732"/>
      <c r="F63" s="1732"/>
      <c r="G63" s="1732"/>
      <c r="H63" s="1731"/>
      <c r="I63" s="1731"/>
      <c r="J63" s="1731"/>
      <c r="K63" s="1731"/>
      <c r="P63" s="1704">
        <f>IF(ISBLANK(职业列表!J5),职业列表!J5,IF(ISNUMBER(P64+P65+P66+P67+P68+P72+P69+P70+P71),职业列表!J5,职业列表!J5&amp;"，"))</f>
        <v>0</v>
      </c>
      <c r="Q63" s="1704" t="str">
        <f t="shared" si="4"/>
        <v/>
      </c>
      <c r="S63" s="1167" t="str">
        <f>IF(人物卡!J40=人物卡!R40,"",IF(ISBLANK(人物卡!H40),"射击"&amp;人物卡!R40,人物卡!H40&amp;人物卡!R40))</f>
        <v/>
      </c>
      <c r="T63" s="1167" t="str">
        <f>IF(人物卡!AF40=人物卡!AN40,"",人物卡!AB40&amp;人物卡!AN40)</f>
        <v/>
      </c>
      <c r="U63" s="1171"/>
      <c r="V63" s="1171"/>
      <c r="X63" s="1869" t="s">
        <v>81</v>
      </c>
      <c r="Y63" s="1792"/>
      <c r="AA63" s="1891"/>
      <c r="AC63" t="s">
        <v>70</v>
      </c>
      <c r="AE63" s="1921">
        <v>1920</v>
      </c>
      <c r="AF63" s="1144" t="s">
        <v>1731</v>
      </c>
      <c r="AG63" s="1144" t="s">
        <v>1732</v>
      </c>
      <c r="AH63" s="1144"/>
      <c r="AI63" s="1144" t="s">
        <v>1733</v>
      </c>
      <c r="AJ63" s="1144"/>
      <c r="AK63" s="1144"/>
      <c r="AL63" s="1144" t="s">
        <v>1734</v>
      </c>
      <c r="AM63" s="1144" t="s">
        <v>1735</v>
      </c>
      <c r="AN63" s="1144" t="s">
        <v>1736</v>
      </c>
      <c r="AO63" s="1922" t="s">
        <v>1737</v>
      </c>
      <c r="AP63" s="1922" t="s">
        <v>1738</v>
      </c>
      <c r="AQ63" s="1145" t="s">
        <v>1739</v>
      </c>
      <c r="AR63" s="1704" t="s">
        <v>1740</v>
      </c>
      <c r="AS63" s="1704" t="s">
        <v>1741</v>
      </c>
      <c r="AT63" s="1921">
        <v>1920</v>
      </c>
      <c r="AW63" s="1942"/>
      <c r="AY63" s="1941"/>
      <c r="BA63" s="1941"/>
      <c r="BB63" s="1145"/>
      <c r="BC63" s="1952"/>
      <c r="BD63" s="1952"/>
      <c r="BE63" s="1952"/>
      <c r="BF63" s="1957"/>
      <c r="BG63" s="1957"/>
      <c r="BH63" s="1958"/>
      <c r="BI63" s="1958"/>
      <c r="BJ63" s="1957"/>
      <c r="BK63" s="1957"/>
      <c r="BL63" s="1958"/>
      <c r="BM63" s="1958"/>
    </row>
    <row r="64" ht="17.25" customHeight="1" spans="5:65">
      <c r="E64" s="1732"/>
      <c r="F64" s="1732"/>
      <c r="G64" s="1731"/>
      <c r="H64" s="1731"/>
      <c r="I64" s="1731"/>
      <c r="J64" s="1731"/>
      <c r="K64" s="1731"/>
      <c r="P64" s="1704">
        <f>IF(ISBLANK(职业列表!J6),职业列表!J6,IF(ISNUMBER(P65+P66+P67+P68+P72+P69+P70+P71),职业列表!J6,职业列表!J6&amp;"，"))</f>
        <v>0</v>
      </c>
      <c r="Q64" s="1704" t="str">
        <f t="shared" si="4"/>
        <v/>
      </c>
      <c r="S64" s="1167" t="str">
        <f>IF(人物卡!J41=人物卡!R41,"",IF(ISBLANK(人物卡!H41),"射击"&amp;人物卡!R41,人物卡!H41&amp;人物卡!R41))</f>
        <v/>
      </c>
      <c r="T64" s="1167" t="str">
        <f>IF(人物卡!AF41=人物卡!AN41,"",人物卡!AB41&amp;人物卡!AN41)</f>
        <v/>
      </c>
      <c r="U64" s="1145"/>
      <c r="V64" s="1145"/>
      <c r="X64" s="1869" t="s">
        <v>83</v>
      </c>
      <c r="Y64" s="1792"/>
      <c r="AA64" s="1891"/>
      <c r="AC64" t="s">
        <v>72</v>
      </c>
      <c r="AE64" s="1921">
        <v>1921</v>
      </c>
      <c r="AF64" s="1144" t="s">
        <v>1731</v>
      </c>
      <c r="AG64" s="1144"/>
      <c r="AH64" s="1144"/>
      <c r="AI64" s="1144" t="s">
        <v>1742</v>
      </c>
      <c r="AJ64" s="1144"/>
      <c r="AK64" s="1144"/>
      <c r="AL64" s="1144" t="s">
        <v>1734</v>
      </c>
      <c r="AM64" s="1144" t="s">
        <v>1743</v>
      </c>
      <c r="AN64" s="1144" t="s">
        <v>1744</v>
      </c>
      <c r="AO64" s="1932" t="s">
        <v>1745</v>
      </c>
      <c r="AP64" s="1922" t="s">
        <v>1746</v>
      </c>
      <c r="AQ64" s="1145" t="s">
        <v>1747</v>
      </c>
      <c r="AR64" s="1704" t="s">
        <v>1748</v>
      </c>
      <c r="AS64" s="1941" t="s">
        <v>1749</v>
      </c>
      <c r="AT64" s="1921">
        <v>1921</v>
      </c>
      <c r="AV64" s="1942"/>
      <c r="AW64" s="1942"/>
      <c r="AX64" s="1941"/>
      <c r="AY64" s="1941"/>
      <c r="AZ64" s="1941"/>
      <c r="BA64" s="1941"/>
      <c r="BB64" s="1145"/>
      <c r="BC64" s="1952"/>
      <c r="BD64" s="1952"/>
      <c r="BE64" s="1952"/>
      <c r="BF64" s="1957"/>
      <c r="BG64" s="1957"/>
      <c r="BH64" s="1958"/>
      <c r="BI64" s="1958"/>
      <c r="BJ64" s="1957"/>
      <c r="BK64" s="1957"/>
      <c r="BL64" s="1958"/>
      <c r="BM64" s="1958"/>
    </row>
    <row r="65" ht="17.25" customHeight="1" spans="3:65">
      <c r="C65" s="1732"/>
      <c r="D65" s="1732"/>
      <c r="E65" s="1732"/>
      <c r="F65" s="1731"/>
      <c r="G65" s="1731"/>
      <c r="H65" s="1731"/>
      <c r="I65" s="1731"/>
      <c r="J65" s="1731"/>
      <c r="K65" s="1731"/>
      <c r="L65" s="1731"/>
      <c r="N65"/>
      <c r="O65"/>
      <c r="P65" s="1704">
        <f>IF(ISBLANK(职业列表!J7),职业列表!J7,IF(ISNUMBER(P66+P67+P68+P72+P69+P70+P71),职业列表!J7,职业列表!J7&amp;"，"))</f>
        <v>0</v>
      </c>
      <c r="Q65" s="1704" t="str">
        <f t="shared" si="4"/>
        <v/>
      </c>
      <c r="S65" s="1167" t="str">
        <f>IF(人物卡!J42=人物卡!R42,"",IF(ISBLANK(人物卡!H42),"射击"&amp;人物卡!R42,人物卡!H42&amp;人物卡!R42))</f>
        <v/>
      </c>
      <c r="T65" s="1167" t="str">
        <f>IF(人物卡!AF42=人物卡!AN42,"",人物卡!AB42&amp;人物卡!AN42)</f>
        <v/>
      </c>
      <c r="U65" s="1145"/>
      <c r="V65" s="1145"/>
      <c r="X65" s="1869" t="s">
        <v>85</v>
      </c>
      <c r="Y65" s="1792"/>
      <c r="AA65" s="1891"/>
      <c r="AC65" t="s">
        <v>76</v>
      </c>
      <c r="AE65" s="1921">
        <v>1922</v>
      </c>
      <c r="AF65" s="1144" t="s">
        <v>1731</v>
      </c>
      <c r="AG65" s="1144" t="s">
        <v>1750</v>
      </c>
      <c r="AH65" s="1144"/>
      <c r="AI65" s="1144" t="s">
        <v>100</v>
      </c>
      <c r="AJ65" s="1144"/>
      <c r="AK65" s="1144"/>
      <c r="AL65" s="1144" t="s">
        <v>1734</v>
      </c>
      <c r="AM65" s="1144" t="s">
        <v>1751</v>
      </c>
      <c r="AN65" s="1144" t="s">
        <v>1752</v>
      </c>
      <c r="AO65" s="1932" t="s">
        <v>1753</v>
      </c>
      <c r="AP65" s="1144" t="s">
        <v>1754</v>
      </c>
      <c r="AQ65" s="1145" t="s">
        <v>1755</v>
      </c>
      <c r="AR65" s="1704" t="s">
        <v>1756</v>
      </c>
      <c r="AS65" s="1941" t="s">
        <v>1757</v>
      </c>
      <c r="AT65" s="1921">
        <v>1922</v>
      </c>
      <c r="AV65" s="1942"/>
      <c r="AW65" s="1942"/>
      <c r="AX65" s="1941"/>
      <c r="AY65" s="1941"/>
      <c r="AZ65" s="1941"/>
      <c r="BA65" s="1941"/>
      <c r="BB65" s="1145"/>
      <c r="BC65" s="1952"/>
      <c r="BD65" s="1952"/>
      <c r="BE65" s="1952"/>
      <c r="BF65" s="1957"/>
      <c r="BG65" s="1957"/>
      <c r="BH65" s="1958"/>
      <c r="BI65" s="1958"/>
      <c r="BJ65" s="1957"/>
      <c r="BK65" s="1957"/>
      <c r="BL65" s="1958"/>
      <c r="BM65" s="1958"/>
    </row>
    <row r="66" ht="17.25" customHeight="1" spans="2:65">
      <c r="B66" s="1960"/>
      <c r="C66" s="1961"/>
      <c r="D66" s="1961"/>
      <c r="E66" s="1961"/>
      <c r="F66" s="1732"/>
      <c r="G66" s="1769"/>
      <c r="H66" s="1769"/>
      <c r="I66" s="1769"/>
      <c r="J66" s="1769"/>
      <c r="K66" s="1769"/>
      <c r="L66" s="1769"/>
      <c r="N66"/>
      <c r="O66"/>
      <c r="P66" s="1704">
        <f>IF(ISBLANK(职业列表!J8),职业列表!J8,IF(ISNUMBER(P67+P68+P72+P69+P70+P71),职业列表!J8,职业列表!J8&amp;"，"))</f>
        <v>0</v>
      </c>
      <c r="Q66" s="1704" t="str">
        <f t="shared" si="4"/>
        <v/>
      </c>
      <c r="S66" s="1167" t="str">
        <f>IF(人物卡!J43=人物卡!R43,"",人物卡!F43&amp;人物卡!R43)</f>
        <v/>
      </c>
      <c r="T66" s="1167" t="str">
        <f>IF(人物卡!AF43=人物卡!AN43,"",人物卡!AB43&amp;人物卡!AN43)</f>
        <v/>
      </c>
      <c r="U66" s="1145"/>
      <c r="V66" s="1145"/>
      <c r="X66" s="1869" t="s">
        <v>88</v>
      </c>
      <c r="Y66" s="1792"/>
      <c r="AA66" s="1891"/>
      <c r="AC66" t="s">
        <v>79</v>
      </c>
      <c r="AE66" s="1921">
        <v>1923</v>
      </c>
      <c r="AF66" s="1144" t="s">
        <v>1731</v>
      </c>
      <c r="AG66" s="1144"/>
      <c r="AH66" s="1144"/>
      <c r="AI66" s="1144" t="s">
        <v>100</v>
      </c>
      <c r="AJ66" s="1144"/>
      <c r="AK66" s="1144"/>
      <c r="AL66" s="1144" t="s">
        <v>1734</v>
      </c>
      <c r="AM66" s="1144" t="s">
        <v>1758</v>
      </c>
      <c r="AN66" s="1144" t="s">
        <v>1759</v>
      </c>
      <c r="AO66" s="1932" t="s">
        <v>1760</v>
      </c>
      <c r="AP66" s="1922" t="s">
        <v>1761</v>
      </c>
      <c r="AQ66" s="1145" t="s">
        <v>1762</v>
      </c>
      <c r="AR66" s="1704" t="s">
        <v>1763</v>
      </c>
      <c r="AS66" s="1941" t="s">
        <v>1764</v>
      </c>
      <c r="AT66" s="1921">
        <v>1923</v>
      </c>
      <c r="AV66" s="1942"/>
      <c r="AW66" s="1942"/>
      <c r="AX66" s="1941"/>
      <c r="AY66" s="1941"/>
      <c r="AZ66" s="1941"/>
      <c r="BA66" s="1941"/>
      <c r="BB66" s="1145"/>
      <c r="BC66" s="1952"/>
      <c r="BD66" s="1952"/>
      <c r="BE66" s="1952"/>
      <c r="BF66" s="1957"/>
      <c r="BG66" s="1957"/>
      <c r="BH66" s="1958"/>
      <c r="BI66" s="1958"/>
      <c r="BJ66" s="1957"/>
      <c r="BK66" s="1957"/>
      <c r="BL66" s="1958"/>
      <c r="BM66" s="1958"/>
    </row>
    <row r="67" ht="17.25" customHeight="1" spans="3:65">
      <c r="C67" s="1732"/>
      <c r="D67" s="1732"/>
      <c r="E67" s="1732"/>
      <c r="F67" s="1769"/>
      <c r="G67" s="1769"/>
      <c r="H67" s="1769"/>
      <c r="I67" s="1769"/>
      <c r="J67" s="1769"/>
      <c r="K67" s="1769"/>
      <c r="L67" s="1769"/>
      <c r="N67"/>
      <c r="O67" s="1704">
        <f>IF(ISBLANK(职业列表!J9),职业列表!J9,IF(ISNUMBER(P68+P72+P69+P70+P71),职业列表!J9,职业列表!J9&amp;"，"))</f>
        <v>0</v>
      </c>
      <c r="P67" s="1704">
        <f>IF(ISBLANK(职业列表!J9),职业列表!J9,IF(ISNUMBER(P68+P72+P69+P70+P71),职业列表!J9,职业列表!J9&amp;"，"))</f>
        <v>0</v>
      </c>
      <c r="Q67" s="1704" t="str">
        <f t="shared" si="4"/>
        <v/>
      </c>
      <c r="S67" s="1167" t="str">
        <f>IF(人物卡!J44=人物卡!R44,"",人物卡!F44&amp;人物卡!R44)</f>
        <v/>
      </c>
      <c r="T67" s="1167" t="str">
        <f>IF(人物卡!AF44=人物卡!AN44,"",人物卡!AB44&amp;人物卡!AN44)</f>
        <v/>
      </c>
      <c r="U67" s="1145"/>
      <c r="V67" s="1145"/>
      <c r="X67" s="1869" t="s">
        <v>91</v>
      </c>
      <c r="Y67" s="1792"/>
      <c r="AA67" s="1891"/>
      <c r="AC67" t="s">
        <v>81</v>
      </c>
      <c r="AE67" s="1921">
        <v>1924</v>
      </c>
      <c r="AF67" s="1144" t="s">
        <v>1731</v>
      </c>
      <c r="AG67" s="1144" t="s">
        <v>1524</v>
      </c>
      <c r="AH67" s="1144"/>
      <c r="AI67" s="1144" t="s">
        <v>1765</v>
      </c>
      <c r="AJ67" s="1144"/>
      <c r="AK67" s="1144"/>
      <c r="AL67" s="1144" t="s">
        <v>1734</v>
      </c>
      <c r="AM67" s="1144" t="s">
        <v>1766</v>
      </c>
      <c r="AN67" s="1144" t="s">
        <v>1767</v>
      </c>
      <c r="AO67" s="1922" t="s">
        <v>1768</v>
      </c>
      <c r="AP67" s="1922" t="s">
        <v>1769</v>
      </c>
      <c r="AQ67" s="1145" t="s">
        <v>1770</v>
      </c>
      <c r="AR67" s="1704" t="s">
        <v>1771</v>
      </c>
      <c r="AS67" s="1704" t="s">
        <v>1772</v>
      </c>
      <c r="AT67" s="1921">
        <v>1924</v>
      </c>
      <c r="AY67" s="1941"/>
      <c r="BA67" s="1941"/>
      <c r="BB67" s="1145"/>
      <c r="BC67" s="1952"/>
      <c r="BD67" s="1952"/>
      <c r="BE67" s="1952"/>
      <c r="BF67" s="1957"/>
      <c r="BG67" s="1957"/>
      <c r="BH67" s="1958"/>
      <c r="BI67" s="1958"/>
      <c r="BJ67" s="1957"/>
      <c r="BK67" s="1957"/>
      <c r="BL67" s="1958"/>
      <c r="BM67" s="1958"/>
    </row>
    <row r="68" ht="17.25" customHeight="1" spans="3:65">
      <c r="C68" s="1732"/>
      <c r="D68" s="1732"/>
      <c r="E68" s="1732"/>
      <c r="F68" s="1769"/>
      <c r="G68" s="1769"/>
      <c r="H68" s="1769"/>
      <c r="I68" s="1769"/>
      <c r="J68" s="1769"/>
      <c r="K68" s="1769"/>
      <c r="L68" s="1769"/>
      <c r="N68"/>
      <c r="O68"/>
      <c r="P68" s="1704">
        <f>IF(ISBLANK(职业列表!J10),职业列表!J10,IF(ISNUMBER(P72+P69+P70+P71),职业列表!J10,职业列表!J10&amp;"，"))</f>
        <v>0</v>
      </c>
      <c r="Q68" s="1704" t="str">
        <f t="shared" si="4"/>
        <v/>
      </c>
      <c r="S68" s="1167" t="str">
        <f>IF(人物卡!J45=人物卡!R45,"",人物卡!F45&amp;人物卡!R45)</f>
        <v/>
      </c>
      <c r="T68" s="1167" t="str">
        <f>IF(人物卡!AF45=人物卡!AN45,"",人物卡!AB45&amp;人物卡!AN45)</f>
        <v/>
      </c>
      <c r="U68" s="1145"/>
      <c r="V68" s="1145"/>
      <c r="X68" s="1869" t="s">
        <v>96</v>
      </c>
      <c r="Y68" s="1792"/>
      <c r="AA68" s="1891"/>
      <c r="AC68" t="s">
        <v>83</v>
      </c>
      <c r="AE68" s="1921">
        <v>1925</v>
      </c>
      <c r="AF68" s="1144" t="s">
        <v>1731</v>
      </c>
      <c r="AG68" s="1144"/>
      <c r="AH68" s="1144"/>
      <c r="AI68" s="1144" t="s">
        <v>1773</v>
      </c>
      <c r="AJ68" s="1144"/>
      <c r="AK68" s="1144"/>
      <c r="AL68" s="1144" t="s">
        <v>1734</v>
      </c>
      <c r="AM68" s="1144" t="s">
        <v>1774</v>
      </c>
      <c r="AN68" s="1144" t="s">
        <v>1775</v>
      </c>
      <c r="AO68" s="1983" t="s">
        <v>1776</v>
      </c>
      <c r="AP68" s="1922" t="s">
        <v>1777</v>
      </c>
      <c r="AQ68" s="1145" t="s">
        <v>1778</v>
      </c>
      <c r="AR68" s="1704" t="s">
        <v>1779</v>
      </c>
      <c r="AS68" s="1941" t="s">
        <v>1780</v>
      </c>
      <c r="AT68" s="1921">
        <v>1925</v>
      </c>
      <c r="AV68" s="1942"/>
      <c r="AW68" s="1942"/>
      <c r="AX68" s="1941"/>
      <c r="AY68" s="1941"/>
      <c r="AZ68" s="1941"/>
      <c r="BA68" s="1941"/>
      <c r="BB68" s="1145"/>
      <c r="BC68" s="1952"/>
      <c r="BD68" s="1952"/>
      <c r="BE68" s="1952"/>
      <c r="BF68" s="1957"/>
      <c r="BG68" s="1957"/>
      <c r="BH68" s="1958"/>
      <c r="BI68" s="1958"/>
      <c r="BJ68" s="1957"/>
      <c r="BK68" s="1957"/>
      <c r="BL68" s="1958"/>
      <c r="BM68" s="1958"/>
    </row>
    <row r="69" ht="17.25" customHeight="1" spans="3:65">
      <c r="C69" s="1732"/>
      <c r="D69" s="1732"/>
      <c r="E69" s="1732"/>
      <c r="F69" s="1732"/>
      <c r="G69" s="1731"/>
      <c r="H69" s="1731"/>
      <c r="I69" s="1731"/>
      <c r="J69" s="1731"/>
      <c r="K69" s="1731"/>
      <c r="L69" s="1731"/>
      <c r="N69"/>
      <c r="O69"/>
      <c r="P69" s="1704">
        <f>IF(ISBLANK(职业列表!V17),职业列表!V17,IF(ISNUMBER(P72+P70+P71),职业列表!V17,职业列表!V17&amp;"，"))</f>
        <v>0</v>
      </c>
      <c r="Q69" s="1704" t="str">
        <f t="shared" si="4"/>
        <v/>
      </c>
      <c r="S69" s="1167" t="str">
        <f>IF(人物卡!J46=人物卡!R46,"",人物卡!F46&amp;人物卡!R46)</f>
        <v/>
      </c>
      <c r="T69" s="1167" t="str">
        <f>IF(人物卡!AF46=人物卡!AN46,"",人物卡!AB46&amp;人物卡!AN46)</f>
        <v/>
      </c>
      <c r="U69" s="1145"/>
      <c r="V69" s="1145"/>
      <c r="X69" s="1869" t="s">
        <v>103</v>
      </c>
      <c r="Y69" s="1792"/>
      <c r="AA69" s="1891"/>
      <c r="AC69" t="s">
        <v>85</v>
      </c>
      <c r="AE69" s="1921">
        <v>1926</v>
      </c>
      <c r="AF69" s="1144" t="s">
        <v>1731</v>
      </c>
      <c r="AG69" s="1144" t="s">
        <v>1781</v>
      </c>
      <c r="AH69" s="1144"/>
      <c r="AI69" s="1144" t="s">
        <v>1782</v>
      </c>
      <c r="AJ69" s="1144"/>
      <c r="AK69" s="1144"/>
      <c r="AL69" s="1144" t="s">
        <v>1734</v>
      </c>
      <c r="AM69" s="1144" t="s">
        <v>1783</v>
      </c>
      <c r="AN69" s="1144" t="s">
        <v>1784</v>
      </c>
      <c r="AO69" s="1932" t="s">
        <v>1785</v>
      </c>
      <c r="AP69" s="1144" t="s">
        <v>1786</v>
      </c>
      <c r="AQ69" s="1145" t="s">
        <v>1787</v>
      </c>
      <c r="AR69" s="1704" t="s">
        <v>1788</v>
      </c>
      <c r="AS69" s="1941" t="s">
        <v>1789</v>
      </c>
      <c r="AT69" s="1921">
        <v>1926</v>
      </c>
      <c r="AV69" s="1942"/>
      <c r="AW69" s="1942"/>
      <c r="AX69" s="1941"/>
      <c r="AY69" s="1941"/>
      <c r="AZ69" s="1941"/>
      <c r="BA69" s="1941"/>
      <c r="BB69" s="1145"/>
      <c r="BC69" s="1952"/>
      <c r="BD69" s="1952"/>
      <c r="BE69" s="1952"/>
      <c r="BF69" s="1957"/>
      <c r="BG69" s="1957"/>
      <c r="BH69" s="1958"/>
      <c r="BI69" s="1958"/>
      <c r="BJ69" s="1957"/>
      <c r="BK69" s="1957"/>
      <c r="BL69" s="1958"/>
      <c r="BM69" s="1958"/>
    </row>
    <row r="70" ht="17.25" customHeight="1" spans="3:65">
      <c r="C70" s="1732"/>
      <c r="D70" s="1732"/>
      <c r="E70" s="1732"/>
      <c r="F70" s="1731"/>
      <c r="G70" s="1731"/>
      <c r="H70" s="1731"/>
      <c r="I70" s="1731"/>
      <c r="J70" s="1731"/>
      <c r="K70" s="1731"/>
      <c r="L70" s="1731"/>
      <c r="N70"/>
      <c r="O70"/>
      <c r="P70" s="1704">
        <f>IF(ISBLANK(职业列表!V18),职业列表!V18,IF(ISNUMBER(P72+P71),职业列表!V18,职业列表!V18&amp;"，"))</f>
        <v>0</v>
      </c>
      <c r="Q70" s="1704" t="str">
        <f t="shared" si="4"/>
        <v/>
      </c>
      <c r="S70" s="1167" t="str">
        <f>IF(人物卡!J47=人物卡!R47,"",IF(ISBLANK(人物卡!H47),"外语"&amp;人物卡!R47,人物卡!H47&amp;人物卡!R47))</f>
        <v/>
      </c>
      <c r="T70" s="1167" t="str">
        <f>IF(人物卡!AF47=人物卡!AN47,"",人物卡!AB47&amp;人物卡!AN47)</f>
        <v/>
      </c>
      <c r="U70" s="1145"/>
      <c r="V70" s="1145"/>
      <c r="X70" s="1869" t="s">
        <v>105</v>
      </c>
      <c r="Y70" s="1792"/>
      <c r="AA70" s="1891"/>
      <c r="AC70" t="s">
        <v>88</v>
      </c>
      <c r="AE70" s="1921">
        <v>1927</v>
      </c>
      <c r="AF70" s="1144" t="s">
        <v>1731</v>
      </c>
      <c r="AG70" s="1144"/>
      <c r="AH70" s="1144"/>
      <c r="AI70" s="1144" t="s">
        <v>1790</v>
      </c>
      <c r="AJ70" s="1144" t="s">
        <v>1791</v>
      </c>
      <c r="AK70" s="1144"/>
      <c r="AL70" s="1144" t="s">
        <v>1734</v>
      </c>
      <c r="AM70" s="1144" t="s">
        <v>1792</v>
      </c>
      <c r="AN70" s="1144" t="s">
        <v>1793</v>
      </c>
      <c r="AO70" s="1932" t="s">
        <v>1794</v>
      </c>
      <c r="AP70" s="1144" t="s">
        <v>1795</v>
      </c>
      <c r="AQ70" s="1145" t="s">
        <v>1796</v>
      </c>
      <c r="AR70" s="1704" t="s">
        <v>1797</v>
      </c>
      <c r="AS70" s="1941" t="s">
        <v>1798</v>
      </c>
      <c r="AT70" s="1921">
        <v>1927</v>
      </c>
      <c r="AV70" s="1942"/>
      <c r="AW70" s="1942"/>
      <c r="AX70" s="1941"/>
      <c r="AY70" s="1941"/>
      <c r="AZ70" s="1941"/>
      <c r="BA70" s="1941"/>
      <c r="BB70" s="1145"/>
      <c r="BC70" s="1952"/>
      <c r="BD70" s="1952"/>
      <c r="BE70" s="1952"/>
      <c r="BF70" s="1957"/>
      <c r="BG70" s="1957"/>
      <c r="BH70" s="1958"/>
      <c r="BI70" s="1958"/>
      <c r="BJ70" s="1957"/>
      <c r="BK70" s="1957"/>
      <c r="BL70" s="1958"/>
      <c r="BM70" s="1958"/>
    </row>
    <row r="71" ht="17.25" customHeight="1" spans="3:65">
      <c r="C71" s="1732"/>
      <c r="D71" s="1732"/>
      <c r="E71" s="1732"/>
      <c r="F71" s="1731"/>
      <c r="G71" s="1731"/>
      <c r="H71" s="1731"/>
      <c r="I71" s="1731"/>
      <c r="J71" s="1731"/>
      <c r="K71" s="1731"/>
      <c r="L71" s="1731"/>
      <c r="N71"/>
      <c r="O71"/>
      <c r="P71" s="1704">
        <f>IF(ISBLANK(职业列表!V19),职业列表!V19,IF(ISNUMBER(P72),职业列表!V19,职业列表!V19&amp;"，"))</f>
        <v>0</v>
      </c>
      <c r="Q71" s="1704" t="str">
        <f t="shared" si="4"/>
        <v/>
      </c>
      <c r="S71" s="1167" t="str">
        <f>IF(人物卡!J48=人物卡!R48,"",IF(ISBLANK(人物卡!H48),"外语"&amp;人物卡!R48,人物卡!H48&amp;人物卡!R48))</f>
        <v/>
      </c>
      <c r="T71" s="1167" t="str">
        <f>IF(人物卡!AF48=人物卡!AN48,"",IF(ISBLANK(人物卡!AD48),"学问"&amp;人物卡!AN48,人物卡!AD48&amp;人物卡!AN48))</f>
        <v/>
      </c>
      <c r="U71" s="1145"/>
      <c r="V71" s="1145"/>
      <c r="X71" s="1869" t="s">
        <v>112</v>
      </c>
      <c r="Y71" s="1792"/>
      <c r="AA71" s="1891"/>
      <c r="AC71" t="s">
        <v>91</v>
      </c>
      <c r="AE71" s="1921">
        <v>1928</v>
      </c>
      <c r="AF71" s="1144" t="s">
        <v>1731</v>
      </c>
      <c r="AG71" s="1144" t="s">
        <v>1799</v>
      </c>
      <c r="AH71" s="1144"/>
      <c r="AI71" s="1144" t="s">
        <v>1800</v>
      </c>
      <c r="AJ71" s="1144"/>
      <c r="AK71" s="1144"/>
      <c r="AL71" s="1144" t="s">
        <v>1734</v>
      </c>
      <c r="AM71" s="1144" t="s">
        <v>1801</v>
      </c>
      <c r="AN71" s="1144" t="s">
        <v>1802</v>
      </c>
      <c r="AO71" s="1144" t="s">
        <v>1803</v>
      </c>
      <c r="AP71" s="1922" t="s">
        <v>1804</v>
      </c>
      <c r="AQ71" s="1145" t="s">
        <v>1805</v>
      </c>
      <c r="AR71" s="1704" t="s">
        <v>1806</v>
      </c>
      <c r="AS71" s="1704" t="s">
        <v>1807</v>
      </c>
      <c r="AT71" s="1921">
        <v>1928</v>
      </c>
      <c r="AW71" s="1984"/>
      <c r="AY71" s="1984"/>
      <c r="BA71" s="1984"/>
      <c r="BB71" s="1145"/>
      <c r="BC71" s="1952"/>
      <c r="BD71" s="1952"/>
      <c r="BE71" s="1952"/>
      <c r="BF71" s="1957"/>
      <c r="BG71" s="1957"/>
      <c r="BH71" s="1958"/>
      <c r="BI71" s="1958"/>
      <c r="BJ71" s="1957"/>
      <c r="BK71" s="1957"/>
      <c r="BL71" s="1958"/>
      <c r="BM71" s="1958"/>
    </row>
    <row r="72" ht="17.25" customHeight="1" spans="3:65">
      <c r="C72" s="1732"/>
      <c r="D72" s="1732"/>
      <c r="E72" s="1732"/>
      <c r="F72" s="1732"/>
      <c r="G72" s="1769"/>
      <c r="H72" s="1769"/>
      <c r="I72" s="1769"/>
      <c r="J72" s="1769"/>
      <c r="K72" s="1769"/>
      <c r="L72" s="1769"/>
      <c r="N72"/>
      <c r="O72"/>
      <c r="P72" s="1704">
        <f>IF(ISBLANK(职业列表!K11),0,"哈哈")</f>
        <v>0</v>
      </c>
      <c r="Q72" s="1704" t="str">
        <f>IF(P72=0,"",VLOOKUP(职业列表!K11,Z31:AA41,2,FALSE)&amp;"项"&amp;"任意特长")</f>
        <v/>
      </c>
      <c r="S72" s="1167" t="str">
        <f>IF(人物卡!J49=人物卡!R49,"",IF(ISBLANK(人物卡!H49),"外语"&amp;人物卡!R49,人物卡!H49&amp;人物卡!R49))</f>
        <v/>
      </c>
      <c r="T72" s="1167" t="str">
        <f>IF(ISBLANK(人物卡!AB49),"",IF(人物卡!AF49=人物卡!AN49,"",人物卡!AB49&amp;人物卡!AN49))</f>
        <v/>
      </c>
      <c r="U72" s="1145"/>
      <c r="V72" s="1145"/>
      <c r="X72" s="1869" t="s">
        <v>114</v>
      </c>
      <c r="Y72" s="1792"/>
      <c r="AA72" s="1891"/>
      <c r="AB72" s="599"/>
      <c r="AC72" t="s">
        <v>96</v>
      </c>
      <c r="AE72" s="1921">
        <v>1929</v>
      </c>
      <c r="AF72" s="1144" t="s">
        <v>1731</v>
      </c>
      <c r="AG72" s="1144" t="s">
        <v>1808</v>
      </c>
      <c r="AH72" s="1144"/>
      <c r="AI72" s="1144" t="s">
        <v>100</v>
      </c>
      <c r="AJ72" s="1144"/>
      <c r="AK72" s="1144"/>
      <c r="AL72" s="1144" t="s">
        <v>1734</v>
      </c>
      <c r="AM72" s="1144" t="s">
        <v>1809</v>
      </c>
      <c r="AN72" s="1144" t="s">
        <v>1810</v>
      </c>
      <c r="AO72" s="1932" t="s">
        <v>1811</v>
      </c>
      <c r="AP72" s="1144" t="s">
        <v>1812</v>
      </c>
      <c r="AQ72" s="1145" t="s">
        <v>1813</v>
      </c>
      <c r="AR72" s="1704" t="s">
        <v>1814</v>
      </c>
      <c r="AS72" s="1941" t="s">
        <v>1815</v>
      </c>
      <c r="AT72" s="1921">
        <v>1929</v>
      </c>
      <c r="AV72" s="1984"/>
      <c r="AW72" s="1984"/>
      <c r="AX72" s="1984"/>
      <c r="AY72" s="1984"/>
      <c r="AZ72" s="1984"/>
      <c r="BA72" s="1984"/>
      <c r="BB72" s="1145"/>
      <c r="BC72" s="1952"/>
      <c r="BD72" s="1952"/>
      <c r="BE72" s="1952"/>
      <c r="BF72" s="1957"/>
      <c r="BG72" s="1957"/>
      <c r="BH72" s="1958"/>
      <c r="BI72" s="1958"/>
      <c r="BJ72" s="1957"/>
      <c r="BK72" s="1957"/>
      <c r="BL72" s="1958"/>
      <c r="BM72" s="1958"/>
    </row>
    <row r="73" ht="17.25" customHeight="1" spans="3:65">
      <c r="C73" s="1732"/>
      <c r="D73" s="1732"/>
      <c r="E73" s="1732"/>
      <c r="F73" s="1769"/>
      <c r="G73" s="1769"/>
      <c r="H73" s="1769"/>
      <c r="I73" s="1769"/>
      <c r="J73" s="1769"/>
      <c r="K73" s="1769"/>
      <c r="L73" s="1769"/>
      <c r="S73" s="1167" t="str">
        <f>IF(人物卡!J50=人物卡!R50,"",IF(ISBLANK(人物卡!H50),人物卡!F50&amp;人物卡!R50,人物卡!H50&amp;人物卡!R50))</f>
        <v/>
      </c>
      <c r="T73" s="1167" t="str">
        <f>IF(ISBLANK(人物卡!AB50),"",IF(人物卡!AF50=人物卡!AN50,"",人物卡!AB50&amp;人物卡!AN50))</f>
        <v/>
      </c>
      <c r="U73" s="1145"/>
      <c r="V73" s="1145"/>
      <c r="X73" s="1869" t="s">
        <v>117</v>
      </c>
      <c r="Y73" s="1792"/>
      <c r="AA73" s="1891"/>
      <c r="AB73" s="599"/>
      <c r="AC73" t="s">
        <v>103</v>
      </c>
      <c r="AE73" s="1921">
        <v>1930</v>
      </c>
      <c r="AF73" s="1144" t="s">
        <v>100</v>
      </c>
      <c r="AG73" s="1144"/>
      <c r="AH73" s="1144"/>
      <c r="AI73" s="1144" t="s">
        <v>100</v>
      </c>
      <c r="AJ73" s="1144"/>
      <c r="AK73" s="1144"/>
      <c r="AL73" s="1144" t="s">
        <v>1816</v>
      </c>
      <c r="AM73" s="1144" t="s">
        <v>1817</v>
      </c>
      <c r="AN73" s="1144" t="s">
        <v>1818</v>
      </c>
      <c r="AO73" s="1932" t="s">
        <v>1819</v>
      </c>
      <c r="AP73" s="1144" t="s">
        <v>1820</v>
      </c>
      <c r="AQ73" s="1145" t="s">
        <v>1821</v>
      </c>
      <c r="AR73" s="1704" t="s">
        <v>1822</v>
      </c>
      <c r="AS73" s="1941" t="s">
        <v>1823</v>
      </c>
      <c r="AT73" s="1921">
        <v>1930</v>
      </c>
      <c r="AV73" s="1984"/>
      <c r="AW73" s="1984"/>
      <c r="AX73" s="1984"/>
      <c r="AY73" s="1984"/>
      <c r="AZ73" s="1984"/>
      <c r="BA73" s="1984"/>
      <c r="BB73" s="1145"/>
      <c r="BC73" s="1952"/>
      <c r="BD73" s="1952"/>
      <c r="BE73" s="1952"/>
      <c r="BF73" s="1957"/>
      <c r="BG73" s="1957"/>
      <c r="BH73" s="1958"/>
      <c r="BI73" s="1958"/>
      <c r="BJ73" s="1957"/>
      <c r="BK73" s="1957"/>
      <c r="BL73" s="1958"/>
      <c r="BM73" s="1958"/>
    </row>
    <row r="74" ht="17.25" customHeight="1" spans="3:65">
      <c r="C74" s="1732"/>
      <c r="D74" s="1732"/>
      <c r="E74" s="1732"/>
      <c r="F74" s="1769"/>
      <c r="G74" s="1769"/>
      <c r="H74" s="1769"/>
      <c r="I74" s="1769"/>
      <c r="J74" s="1769"/>
      <c r="K74" s="1769"/>
      <c r="L74" s="1769"/>
      <c r="O74" s="1704" t="str">
        <f>VLOOKUP(职业列表!K31,Z31:AA41,2,FALSE)&amp;"项"&amp;职业列表!I31</f>
        <v>一项社交技能</v>
      </c>
      <c r="P74" s="1704">
        <f>SUM(IF(ISBLANK(职业列表!I31),0,1),IF(ISBLANK(职业列表!K31),0,2))</f>
        <v>3</v>
      </c>
      <c r="X74" s="1871" t="s">
        <v>119</v>
      </c>
      <c r="Y74" s="1792"/>
      <c r="AA74" s="1891"/>
      <c r="AB74" s="599"/>
      <c r="AC74" t="s">
        <v>385</v>
      </c>
      <c r="AE74" s="1921">
        <v>1931</v>
      </c>
      <c r="AF74" s="1144" t="s">
        <v>100</v>
      </c>
      <c r="AG74" s="1144"/>
      <c r="AH74" s="1144"/>
      <c r="AI74" s="1982" t="s">
        <v>1824</v>
      </c>
      <c r="AJ74" s="1982" t="s">
        <v>1825</v>
      </c>
      <c r="AK74" s="1982"/>
      <c r="AL74" s="1144" t="s">
        <v>1816</v>
      </c>
      <c r="AM74" s="1144" t="s">
        <v>1826</v>
      </c>
      <c r="AN74" s="1144" t="s">
        <v>1827</v>
      </c>
      <c r="AO74" s="1932" t="s">
        <v>1828</v>
      </c>
      <c r="AP74" s="1144" t="s">
        <v>1829</v>
      </c>
      <c r="AQ74" s="1145" t="s">
        <v>1830</v>
      </c>
      <c r="AR74" s="1704" t="s">
        <v>1831</v>
      </c>
      <c r="AS74" s="1941" t="s">
        <v>1832</v>
      </c>
      <c r="AT74" s="1921">
        <v>1931</v>
      </c>
      <c r="AV74" s="1984"/>
      <c r="AW74" s="1984"/>
      <c r="AX74" s="1984"/>
      <c r="AY74" s="1984"/>
      <c r="AZ74" s="1984"/>
      <c r="BA74" s="1984"/>
      <c r="BB74" s="1145"/>
      <c r="BC74" s="1952"/>
      <c r="BD74" s="1952"/>
      <c r="BE74" s="1952"/>
      <c r="BF74" s="1957"/>
      <c r="BG74" s="1957"/>
      <c r="BH74" s="1958"/>
      <c r="BI74" s="1958"/>
      <c r="BJ74" s="1957"/>
      <c r="BK74" s="1957"/>
      <c r="BL74" s="1958"/>
      <c r="BM74" s="1958"/>
    </row>
    <row r="75" ht="17.25" customHeight="1" spans="3:65">
      <c r="C75" s="1732"/>
      <c r="D75" s="1732"/>
      <c r="E75" s="1732"/>
      <c r="F75" s="1769" t="str">
        <f>IF(ISBLANK(人物卡!AY22),"",人物卡!AY22)</f>
        <v/>
      </c>
      <c r="G75" s="1769"/>
      <c r="H75" s="1769"/>
      <c r="I75" s="1769"/>
      <c r="J75" s="1769"/>
      <c r="K75" s="1769"/>
      <c r="L75" s="1769"/>
      <c r="O75" s="1704" t="str">
        <f>职业列表!I31&amp;"内任选"</f>
        <v>社交技能内任选</v>
      </c>
      <c r="P75" s="1704" t="str">
        <f>IF(ISNUMBER(O77+O78+O79+O80+O81+O82+O83+O84+O85),"",":(")</f>
        <v>:(</v>
      </c>
      <c r="X75" s="1871" t="s">
        <v>121</v>
      </c>
      <c r="Y75" s="1792"/>
      <c r="AA75" s="1891"/>
      <c r="AB75" s="599"/>
      <c r="AC75" t="s">
        <v>112</v>
      </c>
      <c r="AE75" s="1921">
        <v>1932</v>
      </c>
      <c r="AF75" s="1980" t="s">
        <v>1833</v>
      </c>
      <c r="AG75" s="1144" t="s">
        <v>1834</v>
      </c>
      <c r="AH75" s="1980"/>
      <c r="AI75" s="1144" t="s">
        <v>1835</v>
      </c>
      <c r="AK75" s="1144"/>
      <c r="AL75" s="1144" t="s">
        <v>1816</v>
      </c>
      <c r="AM75" s="1144" t="s">
        <v>1836</v>
      </c>
      <c r="AN75" s="1144" t="s">
        <v>1837</v>
      </c>
      <c r="AO75" s="1932" t="s">
        <v>1838</v>
      </c>
      <c r="AP75" s="1144" t="s">
        <v>1839</v>
      </c>
      <c r="AQ75" s="1145" t="s">
        <v>1840</v>
      </c>
      <c r="AR75" s="1704" t="s">
        <v>1841</v>
      </c>
      <c r="AS75" s="1941" t="s">
        <v>1842</v>
      </c>
      <c r="AT75" s="1921">
        <v>1932</v>
      </c>
      <c r="AV75" s="1984"/>
      <c r="AW75" s="1984"/>
      <c r="AX75" s="1984"/>
      <c r="AY75" s="1984"/>
      <c r="AZ75" s="1984"/>
      <c r="BA75" s="1984"/>
      <c r="BB75" s="1145"/>
      <c r="BC75" s="1952"/>
      <c r="BD75" s="1952"/>
      <c r="BE75" s="1952"/>
      <c r="BF75" s="1957"/>
      <c r="BG75" s="1957"/>
      <c r="BH75" s="1958"/>
      <c r="BI75" s="1958"/>
      <c r="BJ75" s="1957"/>
      <c r="BK75" s="1957"/>
      <c r="BL75" s="1958"/>
      <c r="BM75" s="1958"/>
    </row>
    <row r="76" ht="17.25" customHeight="1" spans="3:65">
      <c r="C76" s="1732"/>
      <c r="D76" s="1732"/>
      <c r="E76" s="1732"/>
      <c r="F76" s="1769"/>
      <c r="G76" s="1769"/>
      <c r="H76" s="1769"/>
      <c r="I76" s="1769"/>
      <c r="J76" s="1769"/>
      <c r="K76" s="1769"/>
      <c r="L76" s="1769"/>
      <c r="O76" s="1704" t="str">
        <f>"以下任选"&amp;VLOOKUP(职业列表!K31,Z31:AA41,2,FALSE)&amp;"项"</f>
        <v>以下任选一项</v>
      </c>
      <c r="P76" s="1704" t="str">
        <f t="shared" ref="P76:P84" si="5">IF(ISNUMBER(O77),"",O77)</f>
        <v>恐吓、</v>
      </c>
      <c r="X76" s="1869" t="s">
        <v>123</v>
      </c>
      <c r="Y76" s="1792"/>
      <c r="AA76" s="1891"/>
      <c r="AB76" s="599"/>
      <c r="AC76" t="s">
        <v>114</v>
      </c>
      <c r="AE76" s="1921">
        <v>1933</v>
      </c>
      <c r="AF76" s="1980" t="s">
        <v>1843</v>
      </c>
      <c r="AG76" s="1980"/>
      <c r="AH76" s="1980"/>
      <c r="AI76" s="1144" t="s">
        <v>1844</v>
      </c>
      <c r="AJ76" s="1144"/>
      <c r="AK76" s="1144"/>
      <c r="AL76" s="1144" t="s">
        <v>1816</v>
      </c>
      <c r="AM76" s="1144" t="s">
        <v>1845</v>
      </c>
      <c r="AN76" s="1144" t="s">
        <v>1846</v>
      </c>
      <c r="AO76" s="1932" t="s">
        <v>1847</v>
      </c>
      <c r="AP76" s="1144" t="s">
        <v>1848</v>
      </c>
      <c r="AQ76" s="1145" t="s">
        <v>1849</v>
      </c>
      <c r="AR76" s="1704" t="s">
        <v>1850</v>
      </c>
      <c r="AS76" s="1941" t="s">
        <v>1851</v>
      </c>
      <c r="AT76" s="1921">
        <v>1933</v>
      </c>
      <c r="AV76" s="1984"/>
      <c r="AW76" s="1984"/>
      <c r="AX76" s="1984"/>
      <c r="AY76" s="1984"/>
      <c r="AZ76" s="1984"/>
      <c r="BA76" s="1984"/>
      <c r="BB76" s="1145"/>
      <c r="BC76" s="1952"/>
      <c r="BD76" s="1952"/>
      <c r="BE76" s="1952"/>
      <c r="BF76" s="1957"/>
      <c r="BG76" s="1957"/>
      <c r="BH76" s="1958"/>
      <c r="BI76" s="1958"/>
      <c r="BJ76" s="1957"/>
      <c r="BK76" s="1957"/>
      <c r="BL76" s="1958"/>
      <c r="BM76" s="1958"/>
    </row>
    <row r="77" ht="17.25" customHeight="1" spans="1:65">
      <c r="A77"/>
      <c r="F77" s="1966"/>
      <c r="G77" s="1966"/>
      <c r="H77" s="1966"/>
      <c r="I77" s="1966"/>
      <c r="J77" s="1966"/>
      <c r="K77" s="1966"/>
      <c r="L77" s="1966"/>
      <c r="O77" s="1704" t="str">
        <f>IF(ISBLANK(职业列表!J31),职业列表!J31,IF(ISNUMBER(O78+O79+O80+O81+O82+O83+O84+O85),职业列表!J31,职业列表!J31&amp;"、"))</f>
        <v>恐吓、</v>
      </c>
      <c r="P77" s="1704" t="str">
        <f t="shared" si="5"/>
        <v>说服、</v>
      </c>
      <c r="X77" s="1869" t="s">
        <v>127</v>
      </c>
      <c r="Y77" s="1792"/>
      <c r="AA77" s="1891"/>
      <c r="AB77" s="599"/>
      <c r="AC77" t="s">
        <v>117</v>
      </c>
      <c r="AE77" s="1921">
        <v>1934</v>
      </c>
      <c r="AF77" s="1144" t="s">
        <v>100</v>
      </c>
      <c r="AG77" s="1144"/>
      <c r="AH77" s="1144"/>
      <c r="AI77" s="1982" t="s">
        <v>1852</v>
      </c>
      <c r="AJ77" s="1982"/>
      <c r="AK77" s="1982"/>
      <c r="AL77" s="1144" t="s">
        <v>1816</v>
      </c>
      <c r="AM77" s="1144" t="s">
        <v>1853</v>
      </c>
      <c r="AN77" s="1144" t="s">
        <v>1854</v>
      </c>
      <c r="AO77" s="1932" t="s">
        <v>1855</v>
      </c>
      <c r="AP77" s="1922" t="s">
        <v>1856</v>
      </c>
      <c r="AQ77" s="1145" t="s">
        <v>1857</v>
      </c>
      <c r="AR77" s="1704" t="s">
        <v>1858</v>
      </c>
      <c r="AS77" s="1941" t="s">
        <v>1859</v>
      </c>
      <c r="AT77" s="1921">
        <v>1934</v>
      </c>
      <c r="AV77" s="1984"/>
      <c r="AW77" s="1984"/>
      <c r="AX77" s="1984"/>
      <c r="AY77" s="1984"/>
      <c r="AZ77" s="1984"/>
      <c r="BA77" s="1984"/>
      <c r="BB77" s="1145"/>
      <c r="BC77" s="1952"/>
      <c r="BD77" s="1952"/>
      <c r="BE77" s="1952"/>
      <c r="BF77" s="1957"/>
      <c r="BG77" s="1957"/>
      <c r="BH77" s="1958"/>
      <c r="BI77" s="1958"/>
      <c r="BJ77" s="1957"/>
      <c r="BK77" s="1957"/>
      <c r="BL77" s="1958"/>
      <c r="BM77" s="1958"/>
    </row>
    <row r="78" ht="17.25" customHeight="1" spans="15:65">
      <c r="O78" s="1704" t="str">
        <f>IF(ISBLANK(职业列表!J32),职业列表!J32,IF(ISNUMBER(O79+O80+O81+O82+O83+O84+O85),职业列表!J32,职业列表!J32&amp;"、"))</f>
        <v>说服、</v>
      </c>
      <c r="P78" s="1704" t="str">
        <f t="shared" si="5"/>
        <v>话术、</v>
      </c>
      <c r="X78" s="1869" t="s">
        <v>129</v>
      </c>
      <c r="Y78" s="1792"/>
      <c r="AA78" s="1891"/>
      <c r="AB78" s="599"/>
      <c r="AC78" t="s">
        <v>1860</v>
      </c>
      <c r="AE78" s="1921">
        <v>1935</v>
      </c>
      <c r="AF78" s="1144" t="s">
        <v>100</v>
      </c>
      <c r="AG78" s="1144"/>
      <c r="AH78" s="1144"/>
      <c r="AI78" s="1982" t="s">
        <v>1861</v>
      </c>
      <c r="AJ78" s="1982" t="s">
        <v>1862</v>
      </c>
      <c r="AK78" s="1982"/>
      <c r="AL78" s="1144" t="s">
        <v>1816</v>
      </c>
      <c r="AM78" s="1144" t="s">
        <v>1863</v>
      </c>
      <c r="AN78" s="1144" t="s">
        <v>1864</v>
      </c>
      <c r="AO78" s="1922" t="s">
        <v>1865</v>
      </c>
      <c r="AP78" s="1922" t="s">
        <v>1856</v>
      </c>
      <c r="AQ78" s="1145" t="s">
        <v>1866</v>
      </c>
      <c r="AR78" s="1704" t="s">
        <v>1867</v>
      </c>
      <c r="AS78" s="1704" t="s">
        <v>1868</v>
      </c>
      <c r="AT78" s="1921">
        <v>1935</v>
      </c>
      <c r="AV78" s="1952"/>
      <c r="AW78" s="1952"/>
      <c r="AX78" s="1985"/>
      <c r="AY78" s="1985"/>
      <c r="AZ78" s="1985"/>
      <c r="BA78" s="1985"/>
      <c r="BB78" s="1145"/>
      <c r="BC78" s="1952"/>
      <c r="BD78" s="1952"/>
      <c r="BE78" s="1952"/>
      <c r="BF78" s="1957"/>
      <c r="BG78" s="1957"/>
      <c r="BH78" s="1958"/>
      <c r="BI78" s="1958"/>
      <c r="BJ78" s="1957"/>
      <c r="BK78" s="1957"/>
      <c r="BL78" s="1958"/>
      <c r="BM78" s="1958"/>
    </row>
    <row r="79" ht="17.25" customHeight="1" spans="7:65">
      <c r="G79" s="340"/>
      <c r="H79" s="340"/>
      <c r="I79" s="369"/>
      <c r="O79" s="1704" t="str">
        <f>IF(ISBLANK(职业列表!J33),职业列表!J33,IF(ISNUMBER(O80+O81+O82+O83+O84+O85),职业列表!J33,职业列表!J33&amp;"、"))</f>
        <v>话术、</v>
      </c>
      <c r="P79" s="1704" t="str">
        <f t="shared" si="5"/>
        <v>取悦</v>
      </c>
      <c r="X79" s="1869" t="s">
        <v>133</v>
      </c>
      <c r="Y79" s="1792"/>
      <c r="AA79" s="1891"/>
      <c r="AB79" s="599"/>
      <c r="AC79" t="s">
        <v>127</v>
      </c>
      <c r="AE79" s="1921">
        <v>1936</v>
      </c>
      <c r="AF79" s="1981" t="s">
        <v>1869</v>
      </c>
      <c r="AG79" s="1981"/>
      <c r="AH79" s="1981"/>
      <c r="AI79" s="1982" t="s">
        <v>1870</v>
      </c>
      <c r="AJ79" s="1982" t="s">
        <v>1871</v>
      </c>
      <c r="AK79" s="1982"/>
      <c r="AL79" s="1144" t="s">
        <v>1816</v>
      </c>
      <c r="AM79" s="1144" t="s">
        <v>1872</v>
      </c>
      <c r="AN79" s="1144" t="s">
        <v>1873</v>
      </c>
      <c r="AO79" s="1932" t="s">
        <v>1874</v>
      </c>
      <c r="AP79" s="1922" t="s">
        <v>1856</v>
      </c>
      <c r="AQ79" s="1145" t="s">
        <v>1875</v>
      </c>
      <c r="AR79" s="1704" t="s">
        <v>1876</v>
      </c>
      <c r="AS79" s="1941" t="s">
        <v>1877</v>
      </c>
      <c r="AT79" s="1921">
        <v>1936</v>
      </c>
      <c r="AV79" s="1952"/>
      <c r="AW79" s="1952"/>
      <c r="AX79" s="1985"/>
      <c r="AY79" s="1985"/>
      <c r="AZ79" s="1985"/>
      <c r="BA79" s="1985"/>
      <c r="BB79" s="1145"/>
      <c r="BC79" s="1952"/>
      <c r="BD79" s="1952"/>
      <c r="BE79" s="1952"/>
      <c r="BF79" s="1957"/>
      <c r="BG79" s="1957"/>
      <c r="BH79" s="1958"/>
      <c r="BI79" s="1958"/>
      <c r="BJ79" s="1957"/>
      <c r="BK79" s="1957"/>
      <c r="BL79" s="1958"/>
      <c r="BM79" s="1958"/>
    </row>
    <row r="80" ht="17.25" customHeight="1" spans="7:65">
      <c r="G80" s="340"/>
      <c r="H80" s="340"/>
      <c r="I80" s="340"/>
      <c r="O80" s="1704" t="str">
        <f>IF(ISBLANK(职业列表!J34),职业列表!J34,IF(ISNUMBER(O81+O82+O83+O84+O85),职业列表!J34,职业列表!J34&amp;"、"))</f>
        <v>取悦</v>
      </c>
      <c r="P80" s="1704" t="str">
        <f t="shared" si="5"/>
        <v/>
      </c>
      <c r="X80" s="1869" t="s">
        <v>138</v>
      </c>
      <c r="Y80" s="1792"/>
      <c r="AA80" s="1891"/>
      <c r="AB80" s="599"/>
      <c r="AC80" t="s">
        <v>129</v>
      </c>
      <c r="AE80" s="1921">
        <v>1937</v>
      </c>
      <c r="AF80" s="1144" t="s">
        <v>100</v>
      </c>
      <c r="AG80" s="1144"/>
      <c r="AH80" s="1144"/>
      <c r="AI80" s="1982" t="s">
        <v>1878</v>
      </c>
      <c r="AJ80" s="1982" t="s">
        <v>1879</v>
      </c>
      <c r="AK80" s="1982" t="s">
        <v>1880</v>
      </c>
      <c r="AL80" s="1144" t="s">
        <v>1816</v>
      </c>
      <c r="AM80" s="1144" t="s">
        <v>1881</v>
      </c>
      <c r="AN80" s="1144" t="s">
        <v>1882</v>
      </c>
      <c r="AO80" s="1932" t="s">
        <v>1883</v>
      </c>
      <c r="AP80" s="1922" t="s">
        <v>1856</v>
      </c>
      <c r="AQ80" s="1145" t="s">
        <v>1884</v>
      </c>
      <c r="AR80" s="1704" t="s">
        <v>1885</v>
      </c>
      <c r="AS80" s="1941" t="s">
        <v>1886</v>
      </c>
      <c r="AT80" s="1921">
        <v>1937</v>
      </c>
      <c r="AV80" s="1952"/>
      <c r="AW80" s="1952"/>
      <c r="AX80" s="1985"/>
      <c r="AY80" s="1985"/>
      <c r="AZ80" s="1985"/>
      <c r="BA80" s="1985"/>
      <c r="BB80" s="1145"/>
      <c r="BC80" s="1952"/>
      <c r="BD80" s="1952"/>
      <c r="BE80" s="1952"/>
      <c r="BF80" s="1960"/>
      <c r="BG80" s="1960"/>
      <c r="BH80" s="1987"/>
      <c r="BI80" s="1987"/>
      <c r="BJ80" s="1960"/>
      <c r="BK80" s="1960"/>
      <c r="BL80" s="1987"/>
      <c r="BM80" s="1987"/>
    </row>
    <row r="81" ht="17.25" customHeight="1" spans="6:65">
      <c r="F81" s="340"/>
      <c r="G81" s="340"/>
      <c r="H81" s="340"/>
      <c r="I81" s="369"/>
      <c r="O81" s="1704">
        <f>IF(ISBLANK(职业列表!J35),职业列表!J35,IF(ISNUMBER(O82+O83+O84+O85),职业列表!J35,职业列表!J35&amp;"、"))</f>
        <v>0</v>
      </c>
      <c r="P81" s="1704" t="str">
        <f t="shared" si="5"/>
        <v/>
      </c>
      <c r="X81" s="1869" t="s">
        <v>141</v>
      </c>
      <c r="Y81" s="1792"/>
      <c r="AA81" s="1891"/>
      <c r="AB81" s="599"/>
      <c r="AC81" t="s">
        <v>133</v>
      </c>
      <c r="AE81" s="1921">
        <v>1938</v>
      </c>
      <c r="AF81" s="1144" t="s">
        <v>100</v>
      </c>
      <c r="AG81" s="1144"/>
      <c r="AH81" s="1144"/>
      <c r="AI81" s="1982" t="s">
        <v>1887</v>
      </c>
      <c r="AJ81" s="1982" t="s">
        <v>1888</v>
      </c>
      <c r="AK81" s="1982"/>
      <c r="AL81" s="1144" t="s">
        <v>1816</v>
      </c>
      <c r="AM81" s="1144" t="s">
        <v>1889</v>
      </c>
      <c r="AN81" s="1144" t="s">
        <v>1890</v>
      </c>
      <c r="AO81" s="1932" t="s">
        <v>1891</v>
      </c>
      <c r="AP81" s="1922" t="s">
        <v>1856</v>
      </c>
      <c r="AQ81" s="1145" t="s">
        <v>1892</v>
      </c>
      <c r="AR81" s="1704" t="s">
        <v>1893</v>
      </c>
      <c r="AS81" s="1941" t="s">
        <v>1894</v>
      </c>
      <c r="AT81" s="1921">
        <v>1938</v>
      </c>
      <c r="AV81" s="1952"/>
      <c r="AW81" s="1952"/>
      <c r="AX81" s="1985"/>
      <c r="AY81" s="1985"/>
      <c r="AZ81" s="1985"/>
      <c r="BA81" s="1985"/>
      <c r="BB81" s="1145"/>
      <c r="BC81" s="1952"/>
      <c r="BD81" s="1952"/>
      <c r="BE81" s="1952"/>
      <c r="BF81" s="1960"/>
      <c r="BG81" s="1960"/>
      <c r="BH81" s="1987"/>
      <c r="BI81" s="1987"/>
      <c r="BJ81" s="1960"/>
      <c r="BK81" s="1960"/>
      <c r="BL81" s="1987"/>
      <c r="BM81" s="1987"/>
    </row>
    <row r="82" ht="17.25" customHeight="1" spans="3:65">
      <c r="C82" s="369"/>
      <c r="E82" s="340"/>
      <c r="F82" s="340"/>
      <c r="G82" s="340"/>
      <c r="H82" s="340"/>
      <c r="I82" s="340"/>
      <c r="O82" s="1704">
        <f>IF(ISBLANK(职业列表!J36),职业列表!J36,IF(ISNUMBER(O83+O84+O85),职业列表!J36,职业列表!J36&amp;"、"))</f>
        <v>0</v>
      </c>
      <c r="P82" s="1704" t="str">
        <f t="shared" si="5"/>
        <v/>
      </c>
      <c r="X82" s="1869" t="s">
        <v>144</v>
      </c>
      <c r="Y82" s="1792"/>
      <c r="AA82" s="1891"/>
      <c r="AB82" s="599"/>
      <c r="AC82" t="s">
        <v>418</v>
      </c>
      <c r="AE82" s="1921">
        <v>1939</v>
      </c>
      <c r="AF82" s="1982" t="s">
        <v>1895</v>
      </c>
      <c r="AG82" s="1982"/>
      <c r="AH82" s="1982"/>
      <c r="AI82" s="1144" t="s">
        <v>100</v>
      </c>
      <c r="AJ82" s="1144"/>
      <c r="AK82" s="1144"/>
      <c r="AL82" s="1144" t="s">
        <v>1816</v>
      </c>
      <c r="AM82" s="1144" t="s">
        <v>1896</v>
      </c>
      <c r="AN82" s="1144" t="s">
        <v>1897</v>
      </c>
      <c r="AO82" s="1932" t="s">
        <v>1898</v>
      </c>
      <c r="AP82" s="1922" t="s">
        <v>1856</v>
      </c>
      <c r="AQ82" s="1145" t="s">
        <v>1899</v>
      </c>
      <c r="AR82" s="1704" t="s">
        <v>1900</v>
      </c>
      <c r="AS82" s="1941" t="s">
        <v>1901</v>
      </c>
      <c r="AT82" s="1921">
        <v>1939</v>
      </c>
      <c r="AV82" s="1952"/>
      <c r="AW82" s="1952"/>
      <c r="AX82" s="1985"/>
      <c r="AY82" s="1985"/>
      <c r="AZ82" s="1985"/>
      <c r="BA82" s="1985"/>
      <c r="BB82" s="1145"/>
      <c r="BC82" s="1952"/>
      <c r="BD82" s="1952"/>
      <c r="BE82" s="1952"/>
      <c r="BF82" s="1960"/>
      <c r="BG82" s="1960"/>
      <c r="BH82" s="1987"/>
      <c r="BI82" s="1987"/>
      <c r="BJ82" s="1960"/>
      <c r="BK82" s="1960"/>
      <c r="BL82" s="1987"/>
      <c r="BM82" s="1987"/>
    </row>
    <row r="83" ht="17.25" customHeight="1" spans="3:65">
      <c r="C83" s="369"/>
      <c r="F83" s="340"/>
      <c r="G83" s="340"/>
      <c r="H83" s="340"/>
      <c r="I83" s="369"/>
      <c r="O83" s="1704">
        <f>IF(ISBLANK(职业列表!J37),职业列表!J37,IF(ISNUMBER(O84+O85),职业列表!J37,职业列表!J37&amp;"、"))</f>
        <v>0</v>
      </c>
      <c r="P83" s="1704" t="str">
        <f t="shared" si="5"/>
        <v/>
      </c>
      <c r="X83" s="1869" t="s">
        <v>146</v>
      </c>
      <c r="Y83" s="1792"/>
      <c r="AA83" s="1891"/>
      <c r="AB83" s="599"/>
      <c r="AC83" t="s">
        <v>141</v>
      </c>
      <c r="AD83" s="1167"/>
      <c r="AE83" s="1921">
        <v>1940</v>
      </c>
      <c r="AF83" s="1982" t="s">
        <v>1895</v>
      </c>
      <c r="AG83" s="1982" t="s">
        <v>1692</v>
      </c>
      <c r="AH83" s="1982"/>
      <c r="AI83" s="1144" t="s">
        <v>1902</v>
      </c>
      <c r="AJ83" s="1144"/>
      <c r="AK83" s="1144"/>
      <c r="AL83" s="1144" t="s">
        <v>1903</v>
      </c>
      <c r="AM83" s="1144" t="s">
        <v>1904</v>
      </c>
      <c r="AN83" s="1144" t="s">
        <v>1905</v>
      </c>
      <c r="AO83" s="1932" t="s">
        <v>1906</v>
      </c>
      <c r="AP83" s="1144" t="s">
        <v>1907</v>
      </c>
      <c r="AQ83" s="1145" t="s">
        <v>1908</v>
      </c>
      <c r="AR83" s="1704" t="s">
        <v>1909</v>
      </c>
      <c r="AS83" s="1941" t="s">
        <v>1910</v>
      </c>
      <c r="AT83" s="1921">
        <v>1940</v>
      </c>
      <c r="AV83" s="1952"/>
      <c r="AW83" s="1952"/>
      <c r="AX83" s="1985"/>
      <c r="AY83" s="1985"/>
      <c r="AZ83" s="1985"/>
      <c r="BA83" s="1985"/>
      <c r="BB83" s="1145"/>
      <c r="BC83" s="1952"/>
      <c r="BD83" s="1952"/>
      <c r="BE83" s="1952"/>
      <c r="BF83" s="1960"/>
      <c r="BG83" s="1960"/>
      <c r="BH83" s="1987"/>
      <c r="BI83" s="1987"/>
      <c r="BJ83" s="1960"/>
      <c r="BK83" s="1960"/>
      <c r="BL83" s="1987"/>
      <c r="BM83" s="1987"/>
    </row>
    <row r="84" ht="17.25" customHeight="1" spans="2:65">
      <c r="B84" s="369"/>
      <c r="C84" s="340"/>
      <c r="E84" s="369"/>
      <c r="F84" s="369"/>
      <c r="G84" s="369"/>
      <c r="H84" s="369"/>
      <c r="I84" s="369"/>
      <c r="O84" s="1704">
        <f>IF(ISBLANK(职业列表!J38),职业列表!J38,IF(ISNUMBER(O85),职业列表!J38,职业列表!J38&amp;"、"))</f>
        <v>0</v>
      </c>
      <c r="P84" s="1704" t="str">
        <f t="shared" si="5"/>
        <v/>
      </c>
      <c r="X84" s="1871" t="s">
        <v>148</v>
      </c>
      <c r="Y84" s="1792"/>
      <c r="AA84" s="1891"/>
      <c r="AB84" s="599"/>
      <c r="AC84" t="s">
        <v>144</v>
      </c>
      <c r="AE84" s="1921">
        <v>1941</v>
      </c>
      <c r="AF84" s="1982" t="s">
        <v>1895</v>
      </c>
      <c r="AG84" s="1982"/>
      <c r="AH84" s="1982"/>
      <c r="AI84" s="1144" t="s">
        <v>1911</v>
      </c>
      <c r="AJ84" s="1144"/>
      <c r="AK84" s="1144"/>
      <c r="AL84" s="1144" t="s">
        <v>1903</v>
      </c>
      <c r="AM84" s="1144" t="s">
        <v>1912</v>
      </c>
      <c r="AN84" s="1144" t="s">
        <v>1913</v>
      </c>
      <c r="AO84" s="1932" t="s">
        <v>1914</v>
      </c>
      <c r="AP84" s="1922" t="s">
        <v>1856</v>
      </c>
      <c r="AQ84" s="1145" t="s">
        <v>1915</v>
      </c>
      <c r="AR84" s="1704" t="s">
        <v>1916</v>
      </c>
      <c r="AS84" s="1941" t="s">
        <v>1917</v>
      </c>
      <c r="AT84" s="1921">
        <v>1941</v>
      </c>
      <c r="AV84" s="1952"/>
      <c r="AW84" s="1952"/>
      <c r="AX84" s="1985"/>
      <c r="AY84" s="1985"/>
      <c r="AZ84" s="1985"/>
      <c r="BA84" s="1985"/>
      <c r="BB84" s="1145"/>
      <c r="BC84" s="1952"/>
      <c r="BD84" s="1952"/>
      <c r="BE84" s="1952"/>
      <c r="BF84" s="1960"/>
      <c r="BG84" s="1960"/>
      <c r="BH84" s="1987"/>
      <c r="BI84" s="1987"/>
      <c r="BJ84" s="1960"/>
      <c r="BK84" s="1960"/>
      <c r="BL84" s="1987"/>
      <c r="BM84" s="1987"/>
    </row>
    <row r="85" ht="17.25" customHeight="1" spans="3:65">
      <c r="C85" s="369"/>
      <c r="F85" s="340"/>
      <c r="G85" s="340"/>
      <c r="H85" s="340"/>
      <c r="I85" s="369"/>
      <c r="O85" s="1704">
        <f>职业列表!J39</f>
        <v>0</v>
      </c>
      <c r="P85" s="1704" t="str">
        <f>IF(ISNUMBER(O77+O78+O79+O80+O81+O82+O83+O84+O85),"",")")</f>
        <v>)</v>
      </c>
      <c r="Q85" s="1704" t="str">
        <f>P75&amp;P76&amp;P77&amp;P78&amp;P79&amp;P80&amp;P81&amp;P82&amp;P83&amp;P84&amp;P85</f>
        <v>:(恐吓、说服、话术、取悦)</v>
      </c>
      <c r="X85" s="1871" t="s">
        <v>150</v>
      </c>
      <c r="Y85" s="1792"/>
      <c r="AA85" s="1891"/>
      <c r="AB85" s="599"/>
      <c r="AC85" t="s">
        <v>146</v>
      </c>
      <c r="AE85" s="1921">
        <v>1942</v>
      </c>
      <c r="AF85" s="1982" t="s">
        <v>1895</v>
      </c>
      <c r="AG85" s="1982"/>
      <c r="AH85" s="1982"/>
      <c r="AI85" s="1144" t="s">
        <v>100</v>
      </c>
      <c r="AJ85" s="1144"/>
      <c r="AK85" s="1144"/>
      <c r="AL85" s="1144" t="s">
        <v>1903</v>
      </c>
      <c r="AM85" s="1144" t="s">
        <v>1918</v>
      </c>
      <c r="AN85" s="1144" t="s">
        <v>1919</v>
      </c>
      <c r="AO85" s="1932" t="s">
        <v>1920</v>
      </c>
      <c r="AP85" s="1922" t="s">
        <v>1856</v>
      </c>
      <c r="AQ85" s="1145" t="s">
        <v>1921</v>
      </c>
      <c r="AR85" s="1704" t="s">
        <v>1922</v>
      </c>
      <c r="AS85" s="1941" t="s">
        <v>1923</v>
      </c>
      <c r="AT85" s="1921">
        <v>1942</v>
      </c>
      <c r="AV85" s="1952"/>
      <c r="AW85" s="1952"/>
      <c r="AX85" s="1985"/>
      <c r="AY85" s="1985"/>
      <c r="AZ85" s="1985"/>
      <c r="BA85" s="1985"/>
      <c r="BB85" s="1145"/>
      <c r="BC85" s="1952"/>
      <c r="BD85" s="1952"/>
      <c r="BE85" s="1952"/>
      <c r="BF85" s="1960"/>
      <c r="BG85" s="1960"/>
      <c r="BH85" s="1988"/>
      <c r="BI85" s="1988"/>
      <c r="BJ85" s="1960"/>
      <c r="BK85" s="1960"/>
      <c r="BL85" s="1988"/>
      <c r="BM85" s="1988"/>
    </row>
    <row r="86" ht="17.25" customHeight="1" spans="2:65">
      <c r="B86" s="340"/>
      <c r="C86" s="369"/>
      <c r="E86" s="340"/>
      <c r="F86" s="340"/>
      <c r="G86" s="340"/>
      <c r="H86" s="340"/>
      <c r="I86" s="340"/>
      <c r="O86" s="1704" t="str">
        <f>VLOOKUP(职业列表!K43,Z31:AA41,2,FALSE)&amp;"项"&amp;职业列表!I43</f>
        <v>零项</v>
      </c>
      <c r="P86" s="1704">
        <f>SUM(IF(ISBLANK(职业列表!I43),0,1),IF(ISBLANK(职业列表!K43),0,2))</f>
        <v>0</v>
      </c>
      <c r="X86" s="1871" t="s">
        <v>152</v>
      </c>
      <c r="Y86" s="1792"/>
      <c r="AA86" s="1891"/>
      <c r="AB86" s="599"/>
      <c r="AC86" t="s">
        <v>148</v>
      </c>
      <c r="AE86" s="1921">
        <v>1943</v>
      </c>
      <c r="AF86" s="1982" t="s">
        <v>1895</v>
      </c>
      <c r="AG86" s="1982"/>
      <c r="AH86" s="1982"/>
      <c r="AI86" s="1144" t="s">
        <v>100</v>
      </c>
      <c r="AJ86" s="1144"/>
      <c r="AK86" s="1144"/>
      <c r="AL86" s="1144" t="s">
        <v>1903</v>
      </c>
      <c r="AM86" s="1144" t="s">
        <v>1924</v>
      </c>
      <c r="AN86" s="1144" t="s">
        <v>1925</v>
      </c>
      <c r="AO86" s="1932" t="s">
        <v>1926</v>
      </c>
      <c r="AP86" s="1144" t="s">
        <v>1927</v>
      </c>
      <c r="AQ86" s="1145" t="s">
        <v>1928</v>
      </c>
      <c r="AR86" s="1704" t="s">
        <v>1929</v>
      </c>
      <c r="AS86" s="1941" t="s">
        <v>1930</v>
      </c>
      <c r="AT86" s="1921">
        <v>1943</v>
      </c>
      <c r="AV86" s="1952"/>
      <c r="AW86" s="1952"/>
      <c r="AX86" s="1985"/>
      <c r="AY86" s="1985"/>
      <c r="AZ86" s="1985"/>
      <c r="BA86" s="1985"/>
      <c r="BB86" s="1145"/>
      <c r="BC86" s="1952"/>
      <c r="BD86" s="1952"/>
      <c r="BE86" s="1952"/>
      <c r="BF86" s="1960"/>
      <c r="BG86" s="1960"/>
      <c r="BH86" s="1988"/>
      <c r="BI86" s="1988"/>
      <c r="BJ86" s="1960"/>
      <c r="BK86" s="1960"/>
      <c r="BL86" s="1988"/>
      <c r="BM86" s="1988"/>
    </row>
    <row r="87" ht="17.25" customHeight="1" spans="2:65">
      <c r="B87" s="1022"/>
      <c r="C87" s="369"/>
      <c r="F87" s="340"/>
      <c r="G87" s="340"/>
      <c r="H87" s="340"/>
      <c r="I87" s="129"/>
      <c r="O87" s="1704" t="str">
        <f>职业列表!I43&amp;"内任选"</f>
        <v>内任选</v>
      </c>
      <c r="P87" s="1704" t="str">
        <f>IF(ISNUMBER(O89+O90+O91+O92+O93+O94+O95+O96+O97),"",":(")</f>
        <v/>
      </c>
      <c r="X87" s="1871" t="s">
        <v>155</v>
      </c>
      <c r="Y87" s="1792"/>
      <c r="AA87" s="1891"/>
      <c r="AB87" s="599"/>
      <c r="AC87" t="s">
        <v>150</v>
      </c>
      <c r="AD87" s="599"/>
      <c r="AE87" s="1921">
        <v>1944</v>
      </c>
      <c r="AF87" s="1982" t="s">
        <v>1895</v>
      </c>
      <c r="AG87" s="1982" t="s">
        <v>1692</v>
      </c>
      <c r="AH87" s="1982"/>
      <c r="AI87" s="1144" t="s">
        <v>100</v>
      </c>
      <c r="AJ87" s="1144"/>
      <c r="AK87" s="1144"/>
      <c r="AL87" s="1144" t="s">
        <v>1903</v>
      </c>
      <c r="AM87" s="1144" t="s">
        <v>1931</v>
      </c>
      <c r="AN87" s="1144" t="s">
        <v>1932</v>
      </c>
      <c r="AO87" s="1932" t="s">
        <v>1933</v>
      </c>
      <c r="AP87" s="1922" t="s">
        <v>1856</v>
      </c>
      <c r="AQ87" s="1145" t="s">
        <v>1934</v>
      </c>
      <c r="AR87" s="1704" t="s">
        <v>1935</v>
      </c>
      <c r="AS87" s="1941" t="s">
        <v>1936</v>
      </c>
      <c r="AT87" s="1921">
        <v>1944</v>
      </c>
      <c r="AV87" s="1984"/>
      <c r="AW87" s="1984"/>
      <c r="AX87" s="1952"/>
      <c r="AY87" s="1952"/>
      <c r="AZ87" s="1984"/>
      <c r="BA87" s="1984"/>
      <c r="BB87" s="1145"/>
      <c r="BC87" s="1952"/>
      <c r="BD87" s="1952"/>
      <c r="BE87" s="1952"/>
      <c r="BF87" s="1960"/>
      <c r="BG87" s="1960"/>
      <c r="BH87" s="1988"/>
      <c r="BI87" s="1988"/>
      <c r="BJ87" s="1960"/>
      <c r="BK87" s="1960"/>
      <c r="BL87" s="1988"/>
      <c r="BM87" s="1988"/>
    </row>
    <row r="88" ht="17.25" customHeight="1" spans="2:65">
      <c r="B88" s="369"/>
      <c r="C88" s="369"/>
      <c r="E88" s="369"/>
      <c r="F88" s="369"/>
      <c r="G88" s="369"/>
      <c r="H88" s="369"/>
      <c r="I88" s="369"/>
      <c r="O88" s="1704" t="str">
        <f>"以下任选"&amp;VLOOKUP(职业列表!K43,Z31:AA41,2,FALSE)&amp;"项"</f>
        <v>以下任选零项</v>
      </c>
      <c r="P88" s="1704" t="str">
        <f t="shared" ref="P88:P96" si="6">IF(ISNUMBER(O89),"",O89)</f>
        <v/>
      </c>
      <c r="X88" s="1871" t="s">
        <v>157</v>
      </c>
      <c r="Y88" s="1792"/>
      <c r="AA88" s="1891"/>
      <c r="AB88" s="599"/>
      <c r="AC88" t="s">
        <v>152</v>
      </c>
      <c r="AD88" s="599"/>
      <c r="AE88" s="1921">
        <v>1945</v>
      </c>
      <c r="AF88" s="1982" t="s">
        <v>1895</v>
      </c>
      <c r="AG88" s="1982"/>
      <c r="AH88" s="1982"/>
      <c r="AI88" s="1983" t="s">
        <v>1937</v>
      </c>
      <c r="AJ88" s="1983" t="s">
        <v>1938</v>
      </c>
      <c r="AK88" s="1983" t="s">
        <v>1939</v>
      </c>
      <c r="AL88" s="1144" t="s">
        <v>1903</v>
      </c>
      <c r="AM88" s="1144" t="s">
        <v>1940</v>
      </c>
      <c r="AN88" s="1144" t="s">
        <v>1941</v>
      </c>
      <c r="AO88" s="1932" t="s">
        <v>1942</v>
      </c>
      <c r="AP88" s="1922" t="s">
        <v>1943</v>
      </c>
      <c r="AQ88" s="1145" t="s">
        <v>1944</v>
      </c>
      <c r="AR88" s="1704" t="s">
        <v>1945</v>
      </c>
      <c r="AS88" s="1960" t="s">
        <v>1946</v>
      </c>
      <c r="AT88" s="1921">
        <v>1945</v>
      </c>
      <c r="AV88" s="1984"/>
      <c r="AW88" s="1984"/>
      <c r="AX88" s="1952"/>
      <c r="AY88" s="1952"/>
      <c r="AZ88" s="1984"/>
      <c r="BA88" s="1984"/>
      <c r="BB88" s="1145"/>
      <c r="BC88" s="1952"/>
      <c r="BD88" s="1952"/>
      <c r="BE88" s="1952"/>
      <c r="BF88" s="1960"/>
      <c r="BG88" s="1960"/>
      <c r="BH88" s="1988"/>
      <c r="BI88" s="1988"/>
      <c r="BJ88" s="1960"/>
      <c r="BK88" s="1960"/>
      <c r="BL88" s="1988"/>
      <c r="BM88" s="1988"/>
    </row>
    <row r="89" ht="17.25" customHeight="1" spans="2:65">
      <c r="B89" s="369"/>
      <c r="C89" s="369"/>
      <c r="F89" s="340"/>
      <c r="G89" s="340"/>
      <c r="H89" s="340"/>
      <c r="I89" s="369"/>
      <c r="O89" s="1704">
        <f>IF(ISBLANK(职业列表!J43),职业列表!J43,IF(ISNUMBER(O90+O91+O92+O93+O94+O95+O96+O97),职业列表!J43,职业列表!J43&amp;"、"))</f>
        <v>0</v>
      </c>
      <c r="P89" s="1704" t="str">
        <f t="shared" si="6"/>
        <v/>
      </c>
      <c r="X89" s="1871" t="s">
        <v>159</v>
      </c>
      <c r="Y89" s="1792"/>
      <c r="AA89" s="1891"/>
      <c r="AB89" s="599"/>
      <c r="AC89" t="s">
        <v>155</v>
      </c>
      <c r="AD89" s="599"/>
      <c r="AE89" s="1921">
        <v>1946</v>
      </c>
      <c r="AF89" s="1144" t="s">
        <v>100</v>
      </c>
      <c r="AG89" s="1144"/>
      <c r="AH89" s="1144"/>
      <c r="AI89" s="1144" t="s">
        <v>1947</v>
      </c>
      <c r="AJ89" s="1144"/>
      <c r="AK89" s="1144"/>
      <c r="AL89" s="1144" t="s">
        <v>1903</v>
      </c>
      <c r="AM89" s="1144" t="s">
        <v>1948</v>
      </c>
      <c r="AN89" s="1144" t="s">
        <v>1949</v>
      </c>
      <c r="AO89" s="1922" t="s">
        <v>1950</v>
      </c>
      <c r="AP89" s="1922" t="s">
        <v>1951</v>
      </c>
      <c r="AQ89" s="1145" t="s">
        <v>1952</v>
      </c>
      <c r="AR89" s="1704" t="s">
        <v>1953</v>
      </c>
      <c r="AS89" s="1704" t="s">
        <v>1954</v>
      </c>
      <c r="AT89" s="1921">
        <v>1946</v>
      </c>
      <c r="BB89" s="1145"/>
      <c r="BE89" s="1952"/>
      <c r="BF89" s="1960"/>
      <c r="BG89" s="1960"/>
      <c r="BH89" s="1988"/>
      <c r="BI89" s="1988"/>
      <c r="BJ89" s="1960"/>
      <c r="BK89" s="1960"/>
      <c r="BL89" s="1988"/>
      <c r="BM89" s="1988"/>
    </row>
    <row r="90" ht="17.25" customHeight="1" spans="2:65">
      <c r="B90" s="369"/>
      <c r="C90" s="369"/>
      <c r="D90" s="369"/>
      <c r="E90" s="369"/>
      <c r="F90" s="369"/>
      <c r="G90" s="369"/>
      <c r="H90" s="369"/>
      <c r="I90" s="369"/>
      <c r="O90" s="1704">
        <f>IF(ISBLANK(职业列表!J44),职业列表!J44,IF(ISNUMBER(O91+O92+O93+O94+O95+O96+O97),职业列表!J44,职业列表!J44&amp;"、"))</f>
        <v>0</v>
      </c>
      <c r="P90" s="1704" t="str">
        <f t="shared" si="6"/>
        <v/>
      </c>
      <c r="X90" s="1871" t="s">
        <v>161</v>
      </c>
      <c r="Y90" s="1792"/>
      <c r="AA90" s="1891"/>
      <c r="AB90" s="599"/>
      <c r="AC90" t="s">
        <v>157</v>
      </c>
      <c r="AD90" s="599"/>
      <c r="AE90" s="1921">
        <v>1947</v>
      </c>
      <c r="AF90" s="1983" t="s">
        <v>1955</v>
      </c>
      <c r="AG90" s="1983"/>
      <c r="AH90" s="1983"/>
      <c r="AI90" s="1144" t="s">
        <v>100</v>
      </c>
      <c r="AJ90" s="1144"/>
      <c r="AK90" s="1144"/>
      <c r="AL90" s="1144" t="s">
        <v>1903</v>
      </c>
      <c r="AM90" s="1144" t="s">
        <v>1956</v>
      </c>
      <c r="AN90" s="1144" t="s">
        <v>1957</v>
      </c>
      <c r="AO90" s="1922" t="s">
        <v>1958</v>
      </c>
      <c r="AP90" s="1922" t="s">
        <v>1951</v>
      </c>
      <c r="AQ90" s="1145" t="s">
        <v>1959</v>
      </c>
      <c r="AR90" s="1704" t="s">
        <v>1960</v>
      </c>
      <c r="AS90" s="1704" t="s">
        <v>1961</v>
      </c>
      <c r="AT90" s="1921">
        <v>1947</v>
      </c>
      <c r="BB90" s="1145"/>
      <c r="BE90" s="1952"/>
      <c r="BF90" s="1960"/>
      <c r="BG90" s="1960"/>
      <c r="BH90" s="1988"/>
      <c r="BI90" s="1988"/>
      <c r="BJ90" s="1960"/>
      <c r="BK90" s="1960"/>
      <c r="BL90" s="1988"/>
      <c r="BM90" s="1988"/>
    </row>
    <row r="91" ht="17.25" customHeight="1" spans="8:65">
      <c r="H91" s="1967"/>
      <c r="O91" s="1704">
        <f>IF(ISBLANK(职业列表!J45),职业列表!J45,IF(ISNUMBER(O92+O93+O94+O95+O96+O97),职业列表!J45,职业列表!J45&amp;"、"))</f>
        <v>0</v>
      </c>
      <c r="P91" s="1704" t="str">
        <f t="shared" si="6"/>
        <v/>
      </c>
      <c r="X91" s="1723" t="str">
        <f>IF(ISBLANK(人物卡!AB49),"",人物卡!AB49)</f>
        <v>自定义技能</v>
      </c>
      <c r="Y91" s="1792"/>
      <c r="AA91" s="1891"/>
      <c r="AB91" s="599"/>
      <c r="AC91" t="s">
        <v>159</v>
      </c>
      <c r="AD91" s="599"/>
      <c r="AE91" s="1921">
        <v>1948</v>
      </c>
      <c r="AF91" s="1983" t="s">
        <v>1962</v>
      </c>
      <c r="AG91" s="1983" t="s">
        <v>1621</v>
      </c>
      <c r="AH91" s="1983"/>
      <c r="AI91" s="1144" t="s">
        <v>1963</v>
      </c>
      <c r="AJ91" s="1144"/>
      <c r="AK91" s="1144"/>
      <c r="AL91" s="1144" t="s">
        <v>1903</v>
      </c>
      <c r="AM91" s="1144" t="s">
        <v>1964</v>
      </c>
      <c r="AN91" s="1144" t="s">
        <v>1965</v>
      </c>
      <c r="AO91" s="1922" t="s">
        <v>1966</v>
      </c>
      <c r="AP91" s="1922" t="s">
        <v>1951</v>
      </c>
      <c r="AQ91" s="1145" t="s">
        <v>1967</v>
      </c>
      <c r="AR91" s="1704" t="s">
        <v>1968</v>
      </c>
      <c r="AS91" s="1704" t="s">
        <v>1969</v>
      </c>
      <c r="AT91" s="1921">
        <v>1948</v>
      </c>
      <c r="BB91" s="1145"/>
      <c r="BE91" s="1952"/>
      <c r="BF91" s="1960"/>
      <c r="BG91" s="1960"/>
      <c r="BH91" s="1988"/>
      <c r="BI91" s="1988"/>
      <c r="BJ91" s="1960"/>
      <c r="BK91" s="1960"/>
      <c r="BL91" s="1988"/>
      <c r="BM91" s="1988"/>
    </row>
    <row r="92" ht="17.25" customHeight="1" spans="8:65">
      <c r="H92" s="1967"/>
      <c r="O92" s="1704">
        <f>IF(ISBLANK(职业列表!J46),职业列表!J46,IF(ISNUMBER(O93+O94+O95+O96+O97),职业列表!J46,职业列表!J46&amp;"、"))</f>
        <v>0</v>
      </c>
      <c r="P92" s="1704" t="str">
        <f t="shared" si="6"/>
        <v/>
      </c>
      <c r="X92" s="1704" t="str">
        <f>IF(ISBLANK(人物卡!AB50),"",人物卡!AB50)</f>
        <v/>
      </c>
      <c r="AA92" s="1891"/>
      <c r="AC92" s="1704" t="s">
        <v>1286</v>
      </c>
      <c r="AE92" s="1921">
        <v>1949</v>
      </c>
      <c r="AF92" s="1144" t="s">
        <v>1970</v>
      </c>
      <c r="AG92" s="1144"/>
      <c r="AH92" s="1144"/>
      <c r="AI92" s="1144" t="s">
        <v>1971</v>
      </c>
      <c r="AJ92" s="1144"/>
      <c r="AK92" s="1144"/>
      <c r="AL92" s="1144" t="s">
        <v>1903</v>
      </c>
      <c r="AM92" s="1144" t="s">
        <v>1972</v>
      </c>
      <c r="AN92" s="1144" t="s">
        <v>1973</v>
      </c>
      <c r="AO92" s="1922" t="s">
        <v>1974</v>
      </c>
      <c r="AP92" s="1922" t="s">
        <v>1951</v>
      </c>
      <c r="AQ92" s="1145" t="s">
        <v>1975</v>
      </c>
      <c r="AR92" s="1704" t="s">
        <v>1976</v>
      </c>
      <c r="AS92" s="1704" t="s">
        <v>1977</v>
      </c>
      <c r="AT92" s="1921">
        <v>1949</v>
      </c>
      <c r="BB92" s="1145"/>
      <c r="BE92" s="1952"/>
      <c r="BF92" s="1960"/>
      <c r="BG92" s="1960"/>
      <c r="BH92" s="1988"/>
      <c r="BI92" s="1988"/>
      <c r="BJ92" s="1960"/>
      <c r="BK92" s="1960"/>
      <c r="BL92" s="1988"/>
      <c r="BM92" s="1988"/>
    </row>
    <row r="93" ht="17.25" customHeight="1" spans="2:65">
      <c r="B93" s="1962"/>
      <c r="C93" s="1963">
        <v>2</v>
      </c>
      <c r="D93" s="1963">
        <v>3</v>
      </c>
      <c r="E93" s="1756">
        <v>4</v>
      </c>
      <c r="F93" s="1756">
        <v>5</v>
      </c>
      <c r="G93" s="1968">
        <v>6</v>
      </c>
      <c r="H93" s="1968">
        <v>7</v>
      </c>
      <c r="I93" s="1756">
        <v>8</v>
      </c>
      <c r="J93" s="1756">
        <v>9</v>
      </c>
      <c r="K93" s="1791">
        <v>10</v>
      </c>
      <c r="O93" s="1704">
        <f>IF(ISBLANK(职业列表!J47),职业列表!J47,IF(ISNUMBER(O94+O95+O96+O97),职业列表!J47,职业列表!J47&amp;"、"))</f>
        <v>0</v>
      </c>
      <c r="P93" s="1704" t="str">
        <f t="shared" si="6"/>
        <v/>
      </c>
      <c r="X93" s="1704" t="str">
        <f>职业列表!I40</f>
        <v>一项社交技能:(恐吓、说服、话术、取悦)</v>
      </c>
      <c r="AA93" s="1891"/>
      <c r="AC93" s="1704" t="s">
        <v>163</v>
      </c>
      <c r="AE93" s="1921">
        <v>1950</v>
      </c>
      <c r="AF93" s="1144" t="s">
        <v>1978</v>
      </c>
      <c r="AG93" s="1144"/>
      <c r="AH93" s="1144"/>
      <c r="AI93" s="1144" t="s">
        <v>1979</v>
      </c>
      <c r="AJ93" s="1144" t="s">
        <v>1980</v>
      </c>
      <c r="AK93" s="1144"/>
      <c r="AL93" s="1144" t="s">
        <v>1981</v>
      </c>
      <c r="AM93" s="1144" t="s">
        <v>1390</v>
      </c>
      <c r="AN93" s="1144" t="s">
        <v>1982</v>
      </c>
      <c r="AO93" s="1922" t="s">
        <v>1983</v>
      </c>
      <c r="AP93" s="1922" t="s">
        <v>1951</v>
      </c>
      <c r="AQ93" s="1145" t="s">
        <v>1984</v>
      </c>
      <c r="AR93" s="1704" t="s">
        <v>1985</v>
      </c>
      <c r="AS93" s="1704" t="s">
        <v>1986</v>
      </c>
      <c r="AT93" s="1921">
        <v>1950</v>
      </c>
      <c r="BB93" s="1145"/>
      <c r="BE93" s="1952"/>
      <c r="BF93" s="1957"/>
      <c r="BG93" s="1957"/>
      <c r="BH93" s="1957"/>
      <c r="BI93" s="1957"/>
      <c r="BJ93" s="1957"/>
      <c r="BK93" s="1957"/>
      <c r="BL93" s="1957"/>
      <c r="BM93" s="1957"/>
    </row>
    <row r="94" ht="17.25" customHeight="1" spans="2:65">
      <c r="B94" s="1964" t="s">
        <v>63</v>
      </c>
      <c r="C94" s="1932" t="s">
        <v>97</v>
      </c>
      <c r="D94" s="1932" t="s">
        <v>1176</v>
      </c>
      <c r="E94" s="1932" t="s">
        <v>1987</v>
      </c>
      <c r="F94" s="1932" t="s">
        <v>1988</v>
      </c>
      <c r="G94" s="1932" t="s">
        <v>1186</v>
      </c>
      <c r="H94" s="1932" t="s">
        <v>1187</v>
      </c>
      <c r="I94" s="1932" t="s">
        <v>1185</v>
      </c>
      <c r="J94" s="1932" t="s">
        <v>1199</v>
      </c>
      <c r="K94" s="1969" t="s">
        <v>1200</v>
      </c>
      <c r="L94" s="1167"/>
      <c r="O94" s="1704">
        <f>IF(ISBLANK(职业列表!J48),职业列表!J48,IF(ISNUMBER(O95+O96+O97),职业列表!J48,职业列表!J48&amp;"、"))</f>
        <v>0</v>
      </c>
      <c r="P94" s="1704" t="str">
        <f t="shared" si="6"/>
        <v/>
      </c>
      <c r="X94" s="1704" t="str">
        <f>职业列表!I52</f>
        <v/>
      </c>
      <c r="AA94" s="1891"/>
      <c r="AE94" s="1921">
        <v>1951</v>
      </c>
      <c r="AF94" s="1144" t="s">
        <v>1978</v>
      </c>
      <c r="AG94" s="1144"/>
      <c r="AH94" s="1144"/>
      <c r="AI94" s="1144" t="s">
        <v>1989</v>
      </c>
      <c r="AJ94" s="1144" t="s">
        <v>1990</v>
      </c>
      <c r="AK94" s="1144"/>
      <c r="AL94" s="1144" t="s">
        <v>1981</v>
      </c>
      <c r="AM94" s="1144" t="s">
        <v>1399</v>
      </c>
      <c r="AN94" s="1144" t="s">
        <v>1991</v>
      </c>
      <c r="AO94" s="1922" t="s">
        <v>1992</v>
      </c>
      <c r="AP94" s="1922" t="s">
        <v>1951</v>
      </c>
      <c r="AQ94" s="1145" t="s">
        <v>1993</v>
      </c>
      <c r="AR94" s="1704" t="s">
        <v>1994</v>
      </c>
      <c r="AS94" s="1704" t="s">
        <v>1995</v>
      </c>
      <c r="AT94" s="1921">
        <v>1951</v>
      </c>
      <c r="BB94" s="1145"/>
      <c r="BE94" s="1952"/>
      <c r="BF94" s="1957"/>
      <c r="BG94" s="1957"/>
      <c r="BH94" s="1957"/>
      <c r="BI94" s="1957"/>
      <c r="BJ94" s="1957"/>
      <c r="BK94" s="1957"/>
      <c r="BL94" s="1957"/>
      <c r="BM94" s="1957"/>
    </row>
    <row r="95" ht="17.25" customHeight="1" spans="2:65">
      <c r="B95" s="1939" t="s">
        <v>69</v>
      </c>
      <c r="C95" s="1848" t="s">
        <v>1996</v>
      </c>
      <c r="D95" s="1704" t="s">
        <v>100</v>
      </c>
      <c r="E95" s="1704" t="s">
        <v>1997</v>
      </c>
      <c r="F95" s="1704" t="s">
        <v>1998</v>
      </c>
      <c r="G95" s="1704" t="s">
        <v>1999</v>
      </c>
      <c r="H95" s="1704" t="s">
        <v>2000</v>
      </c>
      <c r="I95" s="1704" t="s">
        <v>2001</v>
      </c>
      <c r="J95" s="1704" t="s">
        <v>2002</v>
      </c>
      <c r="K95" s="1792" t="s">
        <v>2003</v>
      </c>
      <c r="L95" s="1167"/>
      <c r="O95" s="1704">
        <f>IF(ISBLANK(职业列表!J49),职业列表!J49,IF(ISNUMBER(O96+O97),职业列表!J49,职业列表!J49&amp;"、"))</f>
        <v>0</v>
      </c>
      <c r="P95" s="1704" t="str">
        <f t="shared" si="6"/>
        <v/>
      </c>
      <c r="X95" s="1704" t="str">
        <f>职业列表!I64</f>
        <v/>
      </c>
      <c r="AA95" s="1891"/>
      <c r="AE95" s="1921">
        <v>1952</v>
      </c>
      <c r="AF95" s="1144" t="s">
        <v>1978</v>
      </c>
      <c r="AG95" s="1144" t="s">
        <v>2004</v>
      </c>
      <c r="AH95" s="1144"/>
      <c r="AI95" s="1144" t="s">
        <v>100</v>
      </c>
      <c r="AJ95" s="1144"/>
      <c r="AK95" s="1144"/>
      <c r="AL95" s="1144" t="s">
        <v>1981</v>
      </c>
      <c r="AM95" s="1144" t="s">
        <v>1406</v>
      </c>
      <c r="AN95" s="1144" t="s">
        <v>2005</v>
      </c>
      <c r="AO95" s="1922" t="s">
        <v>2006</v>
      </c>
      <c r="AP95" s="1144" t="s">
        <v>2007</v>
      </c>
      <c r="AQ95" s="1145" t="s">
        <v>2008</v>
      </c>
      <c r="AR95" s="1704" t="s">
        <v>2009</v>
      </c>
      <c r="AS95" s="1704" t="s">
        <v>2010</v>
      </c>
      <c r="AT95" s="1921">
        <v>1952</v>
      </c>
      <c r="BB95" s="1145"/>
      <c r="BE95" s="1952"/>
      <c r="BF95" s="1957"/>
      <c r="BG95" s="1957"/>
      <c r="BH95" s="1957"/>
      <c r="BI95" s="1957"/>
      <c r="BJ95" s="1957"/>
      <c r="BK95" s="1957"/>
      <c r="BL95" s="1957"/>
      <c r="BM95" s="1957"/>
    </row>
    <row r="96" ht="17.25" customHeight="1" spans="2:65">
      <c r="B96" s="1939" t="s">
        <v>71</v>
      </c>
      <c r="C96" s="1848" t="s">
        <v>2011</v>
      </c>
      <c r="D96" s="1704" t="s">
        <v>100</v>
      </c>
      <c r="E96" s="1704" t="s">
        <v>100</v>
      </c>
      <c r="F96" s="1704" t="s">
        <v>2012</v>
      </c>
      <c r="G96" s="1704" t="s">
        <v>2013</v>
      </c>
      <c r="H96" s="1704" t="s">
        <v>2014</v>
      </c>
      <c r="I96" s="1704" t="s">
        <v>2015</v>
      </c>
      <c r="J96" s="1704" t="s">
        <v>2016</v>
      </c>
      <c r="K96" s="1792" t="s">
        <v>2017</v>
      </c>
      <c r="L96" s="1167"/>
      <c r="O96" s="1704">
        <f>IF(ISBLANK(职业列表!J50),职业列表!J50,IF(ISNUMBER(O97),职业列表!J50,职业列表!J50&amp;"、"))</f>
        <v>0</v>
      </c>
      <c r="P96" s="1704" t="str">
        <f t="shared" si="6"/>
        <v/>
      </c>
      <c r="AA96" s="1891"/>
      <c r="AE96" s="1921">
        <v>1953</v>
      </c>
      <c r="AF96" s="1144" t="s">
        <v>100</v>
      </c>
      <c r="AG96" s="1144"/>
      <c r="AH96" s="1144"/>
      <c r="AI96" s="1144" t="s">
        <v>2018</v>
      </c>
      <c r="AJ96" s="1144"/>
      <c r="AK96" s="1144"/>
      <c r="AL96" s="1144" t="s">
        <v>1981</v>
      </c>
      <c r="AM96" s="1144" t="s">
        <v>1417</v>
      </c>
      <c r="AN96" s="1144" t="s">
        <v>2019</v>
      </c>
      <c r="AO96" s="1922" t="s">
        <v>2020</v>
      </c>
      <c r="AP96" s="1922" t="s">
        <v>2021</v>
      </c>
      <c r="AQ96" s="1145" t="s">
        <v>2022</v>
      </c>
      <c r="AR96" s="1704" t="s">
        <v>2023</v>
      </c>
      <c r="AS96" s="1704" t="s">
        <v>2024</v>
      </c>
      <c r="AT96" s="1921">
        <v>1953</v>
      </c>
      <c r="BB96" s="1145"/>
      <c r="BE96" s="1952"/>
      <c r="BF96" s="1957"/>
      <c r="BG96" s="1957"/>
      <c r="BH96" s="1957"/>
      <c r="BI96" s="1957"/>
      <c r="BJ96" s="1957"/>
      <c r="BK96" s="1957"/>
      <c r="BL96" s="1957"/>
      <c r="BM96" s="1957"/>
    </row>
    <row r="97" ht="17.25" customHeight="1" spans="2:65">
      <c r="B97" s="1939" t="s">
        <v>75</v>
      </c>
      <c r="C97" s="1848" t="s">
        <v>1996</v>
      </c>
      <c r="D97" s="1704" t="s">
        <v>100</v>
      </c>
      <c r="E97" s="1704" t="s">
        <v>100</v>
      </c>
      <c r="F97" s="1704" t="s">
        <v>2025</v>
      </c>
      <c r="G97" s="1704" t="s">
        <v>2026</v>
      </c>
      <c r="H97" s="1951" t="s">
        <v>2027</v>
      </c>
      <c r="I97" s="1704" t="s">
        <v>2028</v>
      </c>
      <c r="J97" s="1931" t="s">
        <v>2029</v>
      </c>
      <c r="K97" s="1970" t="s">
        <v>2030</v>
      </c>
      <c r="L97" s="1167"/>
      <c r="O97" s="1704">
        <f>职业列表!J51</f>
        <v>0</v>
      </c>
      <c r="P97" s="1704" t="str">
        <f>IF(ISNUMBER(O89+O90+O91+O92+O93+O94+O95+O96+O97),"",")")</f>
        <v/>
      </c>
      <c r="Q97" s="1704" t="str">
        <f>P87&amp;P88&amp;P89&amp;P90&amp;P91&amp;P92&amp;P93&amp;P94&amp;P95&amp;P96&amp;P97</f>
        <v/>
      </c>
      <c r="AA97" s="1891"/>
      <c r="AE97" s="1921">
        <v>1954</v>
      </c>
      <c r="AF97" s="1144" t="s">
        <v>100</v>
      </c>
      <c r="AG97" s="1144"/>
      <c r="AH97" s="1144"/>
      <c r="AI97" s="1144" t="s">
        <v>100</v>
      </c>
      <c r="AJ97" s="1144"/>
      <c r="AK97" s="1144"/>
      <c r="AL97" s="1144" t="s">
        <v>1981</v>
      </c>
      <c r="AM97" s="1144" t="s">
        <v>1433</v>
      </c>
      <c r="AN97" s="1144" t="s">
        <v>2031</v>
      </c>
      <c r="AO97" s="1922" t="s">
        <v>2032</v>
      </c>
      <c r="AP97" s="1922" t="s">
        <v>2033</v>
      </c>
      <c r="AQ97" s="1145" t="s">
        <v>2034</v>
      </c>
      <c r="AR97" s="1704" t="s">
        <v>2035</v>
      </c>
      <c r="AS97" s="1704" t="s">
        <v>2036</v>
      </c>
      <c r="AT97" s="1921">
        <v>1954</v>
      </c>
      <c r="BB97" s="1145"/>
      <c r="BE97" s="1952"/>
      <c r="BF97" s="1957"/>
      <c r="BG97" s="1957"/>
      <c r="BH97" s="1957"/>
      <c r="BI97" s="1957"/>
      <c r="BJ97" s="1957"/>
      <c r="BK97" s="1957"/>
      <c r="BL97" s="1957"/>
      <c r="BM97" s="1957"/>
    </row>
    <row r="98" ht="17.25" customHeight="1" spans="2:65">
      <c r="B98" s="1939" t="s">
        <v>78</v>
      </c>
      <c r="C98" s="1848" t="s">
        <v>2011</v>
      </c>
      <c r="D98" s="1704" t="s">
        <v>100</v>
      </c>
      <c r="E98" s="1704" t="s">
        <v>100</v>
      </c>
      <c r="F98" s="1704" t="s">
        <v>2037</v>
      </c>
      <c r="G98" s="1951" t="s">
        <v>2038</v>
      </c>
      <c r="H98" s="1931" t="s">
        <v>2039</v>
      </c>
      <c r="I98" s="1952" t="s">
        <v>2040</v>
      </c>
      <c r="J98" s="1952" t="s">
        <v>2041</v>
      </c>
      <c r="K98" s="1792" t="s">
        <v>2042</v>
      </c>
      <c r="L98" s="1167"/>
      <c r="O98" s="1704" t="str">
        <f>VLOOKUP(职业列表!K55,Z31:AA41,2,FALSE)&amp;"项"&amp;职业列表!I55</f>
        <v>零项</v>
      </c>
      <c r="P98" s="1704">
        <f>SUM(IF(ISBLANK(职业列表!I55),0,1),IF(ISBLANK(职业列表!K55),0,2))</f>
        <v>0</v>
      </c>
      <c r="AA98" s="1891"/>
      <c r="AE98" s="1921">
        <v>1955</v>
      </c>
      <c r="AF98" s="1144" t="s">
        <v>2043</v>
      </c>
      <c r="AG98" s="1144"/>
      <c r="AH98" s="1144"/>
      <c r="AI98" s="1144" t="s">
        <v>2044</v>
      </c>
      <c r="AJ98" s="1144"/>
      <c r="AK98" s="1144"/>
      <c r="AL98" s="1144" t="s">
        <v>1981</v>
      </c>
      <c r="AM98" s="1144" t="s">
        <v>1450</v>
      </c>
      <c r="AN98" s="1144" t="s">
        <v>2045</v>
      </c>
      <c r="AO98" s="1922" t="s">
        <v>2046</v>
      </c>
      <c r="AP98" s="1922" t="s">
        <v>2033</v>
      </c>
      <c r="AQ98" s="1145" t="s">
        <v>2047</v>
      </c>
      <c r="AR98" s="1704" t="s">
        <v>2048</v>
      </c>
      <c r="AS98" s="1704" t="s">
        <v>2049</v>
      </c>
      <c r="AT98" s="1921">
        <v>1955</v>
      </c>
      <c r="BB98" s="1145"/>
      <c r="BE98" s="1952"/>
      <c r="BF98" s="1957"/>
      <c r="BG98" s="1957"/>
      <c r="BH98" s="1957"/>
      <c r="BI98" s="1957"/>
      <c r="BJ98" s="1957"/>
      <c r="BK98" s="1957"/>
      <c r="BL98" s="1957"/>
      <c r="BM98" s="1957"/>
    </row>
    <row r="99" ht="17.25" customHeight="1" spans="2:65">
      <c r="B99" s="1723" t="s">
        <v>2050</v>
      </c>
      <c r="C99" s="1848" t="s">
        <v>237</v>
      </c>
      <c r="D99" s="1704" t="s">
        <v>237</v>
      </c>
      <c r="E99" s="1704" t="s">
        <v>237</v>
      </c>
      <c r="F99" s="1704" t="s">
        <v>237</v>
      </c>
      <c r="G99" s="1704" t="s">
        <v>237</v>
      </c>
      <c r="H99" s="1704" t="s">
        <v>237</v>
      </c>
      <c r="I99" s="1704" t="s">
        <v>237</v>
      </c>
      <c r="J99" s="1704" t="s">
        <v>237</v>
      </c>
      <c r="K99" s="1792" t="s">
        <v>237</v>
      </c>
      <c r="L99" s="1167"/>
      <c r="O99" s="1704">
        <f>职业列表!I55</f>
        <v>0</v>
      </c>
      <c r="P99" s="1704" t="str">
        <f>IF(ISNUMBER(O101+O102+O103+O104+O105+O106+O107+O108+O109),"",":(")</f>
        <v/>
      </c>
      <c r="AA99" s="1891"/>
      <c r="AE99" s="1921">
        <v>1956</v>
      </c>
      <c r="AF99" s="1144" t="s">
        <v>2051</v>
      </c>
      <c r="AG99" s="1144"/>
      <c r="AH99" s="1144"/>
      <c r="AI99" s="1144" t="s">
        <v>2052</v>
      </c>
      <c r="AJ99" s="1144"/>
      <c r="AK99" s="1144"/>
      <c r="AL99" s="1144" t="s">
        <v>1981</v>
      </c>
      <c r="AM99" s="1144" t="s">
        <v>1466</v>
      </c>
      <c r="AN99" s="1144" t="s">
        <v>2053</v>
      </c>
      <c r="AO99" s="1922" t="s">
        <v>2054</v>
      </c>
      <c r="AP99" s="1922" t="s">
        <v>2033</v>
      </c>
      <c r="AQ99" s="1145" t="s">
        <v>2055</v>
      </c>
      <c r="AR99" s="1704" t="s">
        <v>2056</v>
      </c>
      <c r="AS99" s="1704" t="s">
        <v>2057</v>
      </c>
      <c r="AT99" s="1921">
        <v>1956</v>
      </c>
      <c r="BB99" s="1145"/>
      <c r="BE99" s="1952"/>
      <c r="BF99" s="1957"/>
      <c r="BG99" s="1957"/>
      <c r="BH99" s="1957"/>
      <c r="BI99" s="1957"/>
      <c r="BJ99" s="1957"/>
      <c r="BK99" s="1957"/>
      <c r="BL99" s="1957"/>
      <c r="BM99" s="1957"/>
    </row>
    <row r="100" ht="17.25" customHeight="1" spans="2:65">
      <c r="B100" s="1939" t="s">
        <v>2058</v>
      </c>
      <c r="C100" s="1848" t="s">
        <v>100</v>
      </c>
      <c r="D100" s="1704" t="s">
        <v>2059</v>
      </c>
      <c r="E100" s="1704" t="s">
        <v>100</v>
      </c>
      <c r="F100" s="1704" t="s">
        <v>2060</v>
      </c>
      <c r="G100" s="1942" t="s">
        <v>2061</v>
      </c>
      <c r="H100" s="1941" t="s">
        <v>2062</v>
      </c>
      <c r="I100" t="s">
        <v>2063</v>
      </c>
      <c r="J100" s="1704" t="s">
        <v>2064</v>
      </c>
      <c r="K100" s="1792" t="s">
        <v>2065</v>
      </c>
      <c r="L100" s="1167"/>
      <c r="O100" s="1704" t="str">
        <f>"以下任选"&amp;VLOOKUP(职业列表!K55,Z31:AA41,2,FALSE)&amp;"项"</f>
        <v>以下任选零项</v>
      </c>
      <c r="P100" s="1704" t="str">
        <f t="shared" ref="P100:P108" si="7">IF(ISNUMBER(O101),"",O101)</f>
        <v/>
      </c>
      <c r="AA100" s="1891"/>
      <c r="AE100" s="1921">
        <v>1957</v>
      </c>
      <c r="AF100" s="1144" t="s">
        <v>2066</v>
      </c>
      <c r="AG100" s="1144" t="s">
        <v>2067</v>
      </c>
      <c r="AH100" s="1144"/>
      <c r="AI100" s="1144" t="s">
        <v>100</v>
      </c>
      <c r="AJ100" s="1144"/>
      <c r="AK100" s="1144"/>
      <c r="AL100" s="1144" t="s">
        <v>1981</v>
      </c>
      <c r="AM100" s="1144" t="s">
        <v>1479</v>
      </c>
      <c r="AN100" s="1144" t="s">
        <v>2068</v>
      </c>
      <c r="AO100" s="1922" t="s">
        <v>2069</v>
      </c>
      <c r="AP100" s="1922" t="s">
        <v>2033</v>
      </c>
      <c r="AQ100" s="1145" t="s">
        <v>2070</v>
      </c>
      <c r="AR100" s="1704" t="s">
        <v>2071</v>
      </c>
      <c r="AS100" s="1704" t="s">
        <v>2072</v>
      </c>
      <c r="AT100" s="1921">
        <v>1957</v>
      </c>
      <c r="BB100" s="1145"/>
      <c r="BE100" s="1952"/>
      <c r="BF100" s="1989"/>
      <c r="BG100" s="1989"/>
      <c r="BH100" s="1989"/>
      <c r="BI100" s="1989"/>
      <c r="BJ100" s="1989"/>
      <c r="BK100" s="1989"/>
      <c r="BL100" s="1989"/>
      <c r="BM100" s="1989"/>
    </row>
    <row r="101" ht="17.25" customHeight="1" spans="1:65">
      <c r="A101" s="1965" t="s">
        <v>2073</v>
      </c>
      <c r="B101" s="1965" t="s">
        <v>2073</v>
      </c>
      <c r="C101" s="1848" t="s">
        <v>1996</v>
      </c>
      <c r="D101" s="1941" t="s">
        <v>2074</v>
      </c>
      <c r="E101" s="1704" t="s">
        <v>100</v>
      </c>
      <c r="F101" s="1704" t="s">
        <v>2075</v>
      </c>
      <c r="G101" s="1942" t="s">
        <v>2061</v>
      </c>
      <c r="H101" s="1941" t="s">
        <v>2062</v>
      </c>
      <c r="I101" t="s">
        <v>2063</v>
      </c>
      <c r="J101" s="1704" t="s">
        <v>2064</v>
      </c>
      <c r="K101" s="1792" t="s">
        <v>2065</v>
      </c>
      <c r="L101" s="1167"/>
      <c r="O101" s="1704">
        <f>IF(ISBLANK(职业列表!J55),职业列表!J55,IF(ISNUMBER(O102+O103+O104+O105+O106+O107+O108+O109),职业列表!J55,职业列表!J55&amp;"、"))</f>
        <v>0</v>
      </c>
      <c r="P101" s="1704" t="str">
        <f t="shared" si="7"/>
        <v/>
      </c>
      <c r="Y101" s="1978" t="s">
        <v>2076</v>
      </c>
      <c r="AA101" s="1891"/>
      <c r="AE101" s="1921">
        <v>1958</v>
      </c>
      <c r="AF101" s="1144" t="s">
        <v>100</v>
      </c>
      <c r="AG101" s="1144"/>
      <c r="AH101" s="1144"/>
      <c r="AI101" s="1144" t="s">
        <v>2077</v>
      </c>
      <c r="AJ101" s="1144"/>
      <c r="AK101" s="1144"/>
      <c r="AL101" s="1144" t="s">
        <v>1981</v>
      </c>
      <c r="AM101" s="1144" t="s">
        <v>1496</v>
      </c>
      <c r="AN101" s="1144" t="s">
        <v>2078</v>
      </c>
      <c r="AO101" s="1922" t="s">
        <v>2079</v>
      </c>
      <c r="AP101" s="1922" t="s">
        <v>2033</v>
      </c>
      <c r="AQ101" s="1145" t="s">
        <v>2080</v>
      </c>
      <c r="AR101" s="1704" t="s">
        <v>2081</v>
      </c>
      <c r="AS101" s="1704" t="s">
        <v>2082</v>
      </c>
      <c r="AT101" s="1921">
        <v>1958</v>
      </c>
      <c r="BB101" s="1145"/>
      <c r="BE101" s="1952"/>
      <c r="BF101" s="1989"/>
      <c r="BG101" s="1989"/>
      <c r="BH101" s="1989"/>
      <c r="BI101" s="1989"/>
      <c r="BJ101" s="1989"/>
      <c r="BK101" s="1989"/>
      <c r="BL101" s="1989"/>
      <c r="BM101" s="1989"/>
    </row>
    <row r="102" ht="17.25" customHeight="1" spans="1:65">
      <c r="A102" s="1965" t="s">
        <v>2083</v>
      </c>
      <c r="B102" s="1965" t="s">
        <v>2083</v>
      </c>
      <c r="C102" s="1848" t="s">
        <v>1996</v>
      </c>
      <c r="D102" s="1941" t="s">
        <v>2074</v>
      </c>
      <c r="E102" s="1704" t="s">
        <v>100</v>
      </c>
      <c r="F102" s="1704" t="s">
        <v>2084</v>
      </c>
      <c r="G102" s="1942" t="s">
        <v>2061</v>
      </c>
      <c r="H102" s="1941" t="s">
        <v>2062</v>
      </c>
      <c r="I102" t="s">
        <v>2063</v>
      </c>
      <c r="J102" s="1704" t="s">
        <v>2064</v>
      </c>
      <c r="K102" s="1792" t="s">
        <v>2065</v>
      </c>
      <c r="L102" s="1167"/>
      <c r="M102" s="1940"/>
      <c r="O102" s="1704">
        <f>IF(ISBLANK(职业列表!J56),职业列表!J56,IF(ISNUMBER(O103+O104+O105+O106+O107+O108+O109),职业列表!J56,职业列表!J56&amp;"、"))</f>
        <v>0</v>
      </c>
      <c r="P102" s="1704" t="str">
        <f t="shared" si="7"/>
        <v/>
      </c>
      <c r="Y102" s="1979" t="s">
        <v>2085</v>
      </c>
      <c r="AA102" s="1891"/>
      <c r="AE102" s="1921">
        <v>1959</v>
      </c>
      <c r="AF102" s="1144" t="s">
        <v>100</v>
      </c>
      <c r="AG102" s="1144"/>
      <c r="AH102" s="1144"/>
      <c r="AI102" s="1144" t="s">
        <v>2086</v>
      </c>
      <c r="AJ102" s="1144" t="s">
        <v>2087</v>
      </c>
      <c r="AK102" s="1144"/>
      <c r="AL102" s="1144" t="s">
        <v>1981</v>
      </c>
      <c r="AM102" s="1144" t="s">
        <v>1511</v>
      </c>
      <c r="AN102" s="1144" t="s">
        <v>2088</v>
      </c>
      <c r="AO102" s="1922" t="s">
        <v>2089</v>
      </c>
      <c r="AP102" s="1922" t="s">
        <v>2033</v>
      </c>
      <c r="AQ102" s="1145" t="s">
        <v>2090</v>
      </c>
      <c r="AR102" s="1704" t="s">
        <v>2091</v>
      </c>
      <c r="AS102" s="1704" t="s">
        <v>2092</v>
      </c>
      <c r="AT102" s="1921">
        <v>1959</v>
      </c>
      <c r="BB102" s="1145"/>
      <c r="BE102" s="1952"/>
      <c r="BF102" s="1989"/>
      <c r="BG102" s="1989"/>
      <c r="BH102" s="1989"/>
      <c r="BI102" s="1989"/>
      <c r="BJ102" s="1989"/>
      <c r="BK102" s="1989"/>
      <c r="BL102" s="1989"/>
      <c r="BM102" s="1989"/>
    </row>
    <row r="103" ht="17.25" customHeight="1" spans="1:65">
      <c r="A103" s="1723" t="s">
        <v>2093</v>
      </c>
      <c r="B103" s="1723" t="s">
        <v>2093</v>
      </c>
      <c r="C103" s="1848" t="s">
        <v>1996</v>
      </c>
      <c r="D103" s="1941" t="s">
        <v>2074</v>
      </c>
      <c r="E103" s="1704" t="s">
        <v>100</v>
      </c>
      <c r="F103" s="1704" t="s">
        <v>2094</v>
      </c>
      <c r="G103" s="1942" t="s">
        <v>2061</v>
      </c>
      <c r="H103" s="1941" t="s">
        <v>2062</v>
      </c>
      <c r="I103" t="s">
        <v>2063</v>
      </c>
      <c r="J103" s="1704" t="s">
        <v>2064</v>
      </c>
      <c r="K103" s="1792" t="s">
        <v>2065</v>
      </c>
      <c r="L103" s="1167"/>
      <c r="O103" s="1704">
        <f>IF(ISBLANK(职业列表!J57),职业列表!J57,IF(ISNUMBER(O104+O105+O106+O107+O108+O109),职业列表!J57,职业列表!J57&amp;"、"))</f>
        <v>0</v>
      </c>
      <c r="P103" s="1704" t="str">
        <f t="shared" si="7"/>
        <v/>
      </c>
      <c r="Y103" s="1979" t="s">
        <v>2095</v>
      </c>
      <c r="AA103" s="1891"/>
      <c r="AE103" s="1921">
        <v>1960</v>
      </c>
      <c r="AF103" s="1144" t="s">
        <v>2096</v>
      </c>
      <c r="AG103" s="1144"/>
      <c r="AH103" s="1144"/>
      <c r="AI103" s="1144" t="s">
        <v>100</v>
      </c>
      <c r="AJ103" s="1144"/>
      <c r="AK103" s="1144"/>
      <c r="AL103" s="1144" t="s">
        <v>2097</v>
      </c>
      <c r="AM103" s="1144" t="s">
        <v>1529</v>
      </c>
      <c r="AN103" s="1144" t="s">
        <v>2098</v>
      </c>
      <c r="AO103" s="1922" t="s">
        <v>2099</v>
      </c>
      <c r="AP103" s="1922" t="s">
        <v>2033</v>
      </c>
      <c r="AQ103" s="1145" t="s">
        <v>2100</v>
      </c>
      <c r="AR103" s="1704" t="s">
        <v>2101</v>
      </c>
      <c r="AS103" s="1704" t="s">
        <v>2102</v>
      </c>
      <c r="AT103" s="1921">
        <v>1960</v>
      </c>
      <c r="BB103" s="1145"/>
      <c r="BE103" s="1952"/>
      <c r="BF103" s="1989"/>
      <c r="BG103" s="1989"/>
      <c r="BH103" s="1989"/>
      <c r="BI103" s="1989"/>
      <c r="BJ103" s="1989"/>
      <c r="BK103" s="1989"/>
      <c r="BL103" s="1989"/>
      <c r="BM103" s="1989"/>
    </row>
    <row r="104" ht="17.25" customHeight="1" spans="1:65">
      <c r="A104" s="1723" t="s">
        <v>2103</v>
      </c>
      <c r="B104" s="1723" t="s">
        <v>2103</v>
      </c>
      <c r="C104" s="1848" t="s">
        <v>1996</v>
      </c>
      <c r="D104" s="1941" t="s">
        <v>2074</v>
      </c>
      <c r="E104" s="1704" t="s">
        <v>100</v>
      </c>
      <c r="F104" s="1704" t="s">
        <v>2104</v>
      </c>
      <c r="G104" s="1942" t="s">
        <v>2061</v>
      </c>
      <c r="H104" s="1941" t="s">
        <v>2062</v>
      </c>
      <c r="I104" t="s">
        <v>2063</v>
      </c>
      <c r="J104" s="1704" t="s">
        <v>2064</v>
      </c>
      <c r="K104" s="1792" t="s">
        <v>2065</v>
      </c>
      <c r="L104" s="1167"/>
      <c r="O104" s="1704">
        <f>IF(ISBLANK(职业列表!J58),职业列表!J58,IF(ISNUMBER(O105+O106+O107+O108+O109),职业列表!J58,职业列表!J58&amp;"、"))</f>
        <v>0</v>
      </c>
      <c r="P104" s="1704" t="str">
        <f t="shared" si="7"/>
        <v/>
      </c>
      <c r="Y104" s="1979" t="s">
        <v>2105</v>
      </c>
      <c r="AA104" s="1891"/>
      <c r="AE104" s="1921">
        <v>1961</v>
      </c>
      <c r="AF104" s="1144" t="s">
        <v>2106</v>
      </c>
      <c r="AG104" s="1144"/>
      <c r="AH104" s="1144"/>
      <c r="AI104" s="1144" t="s">
        <v>100</v>
      </c>
      <c r="AJ104" s="1144"/>
      <c r="AK104" s="1144"/>
      <c r="AL104" s="1144" t="s">
        <v>2097</v>
      </c>
      <c r="AM104" s="1144" t="s">
        <v>1542</v>
      </c>
      <c r="AN104" s="1144" t="s">
        <v>2107</v>
      </c>
      <c r="AO104" s="1922" t="s">
        <v>2108</v>
      </c>
      <c r="AP104" s="1922" t="s">
        <v>2109</v>
      </c>
      <c r="AQ104" s="1145" t="s">
        <v>2110</v>
      </c>
      <c r="AR104" s="1704" t="s">
        <v>2111</v>
      </c>
      <c r="AS104" s="1704" t="s">
        <v>2112</v>
      </c>
      <c r="AT104" s="1921">
        <v>1961</v>
      </c>
      <c r="BB104" s="1145"/>
      <c r="BE104" s="1952"/>
      <c r="BF104" s="1989"/>
      <c r="BG104" s="1989"/>
      <c r="BH104" s="1989"/>
      <c r="BI104" s="1989"/>
      <c r="BJ104" s="1989"/>
      <c r="BK104" s="1989"/>
      <c r="BL104" s="1989"/>
      <c r="BM104" s="1989"/>
    </row>
    <row r="105" ht="17.25" customHeight="1" spans="1:65">
      <c r="A105" s="1723" t="s">
        <v>2113</v>
      </c>
      <c r="B105" s="1723" t="s">
        <v>2113</v>
      </c>
      <c r="C105" s="1848" t="s">
        <v>1996</v>
      </c>
      <c r="D105" s="1941" t="s">
        <v>2074</v>
      </c>
      <c r="E105" s="1704" t="s">
        <v>100</v>
      </c>
      <c r="F105" s="1704" t="s">
        <v>2114</v>
      </c>
      <c r="G105" s="1942" t="s">
        <v>2061</v>
      </c>
      <c r="H105" s="1941" t="s">
        <v>2062</v>
      </c>
      <c r="I105" t="s">
        <v>2063</v>
      </c>
      <c r="J105" s="1704" t="s">
        <v>2064</v>
      </c>
      <c r="K105" s="1792" t="s">
        <v>2065</v>
      </c>
      <c r="L105" s="1167"/>
      <c r="O105" s="1704">
        <f>IF(ISBLANK(职业列表!J59),职业列表!J59,IF(ISNUMBER(O106+O107+O108+O109),职业列表!J59,职业列表!J59&amp;"、"))</f>
        <v>0</v>
      </c>
      <c r="P105" s="1704" t="str">
        <f t="shared" si="7"/>
        <v/>
      </c>
      <c r="Y105" s="1979" t="s">
        <v>2115</v>
      </c>
      <c r="AA105" s="1891"/>
      <c r="AE105" s="1921">
        <v>1962</v>
      </c>
      <c r="AF105" s="1144" t="s">
        <v>100</v>
      </c>
      <c r="AG105" s="1144"/>
      <c r="AH105" s="1144"/>
      <c r="AI105" s="1144" t="s">
        <v>2116</v>
      </c>
      <c r="AJ105" s="1144"/>
      <c r="AK105" s="1144"/>
      <c r="AL105" s="1144" t="s">
        <v>2097</v>
      </c>
      <c r="AM105" s="1144" t="s">
        <v>1556</v>
      </c>
      <c r="AN105" s="1144" t="s">
        <v>2117</v>
      </c>
      <c r="AO105" s="1922" t="s">
        <v>2118</v>
      </c>
      <c r="AP105" s="1922" t="s">
        <v>2119</v>
      </c>
      <c r="AQ105" s="1145" t="s">
        <v>2120</v>
      </c>
      <c r="AR105" s="1704" t="s">
        <v>2121</v>
      </c>
      <c r="AS105" s="1704" t="s">
        <v>2122</v>
      </c>
      <c r="AT105" s="1921">
        <v>1962</v>
      </c>
      <c r="BB105" s="1145"/>
      <c r="BE105" s="1952"/>
      <c r="BF105" s="1989"/>
      <c r="BG105" s="1989"/>
      <c r="BH105" s="1989"/>
      <c r="BI105" s="1989"/>
      <c r="BJ105" s="1989"/>
      <c r="BK105" s="1989"/>
      <c r="BL105" s="1989"/>
      <c r="BM105" s="1989"/>
    </row>
    <row r="106" ht="17.25" customHeight="1" spans="1:65">
      <c r="A106" s="1723" t="s">
        <v>2123</v>
      </c>
      <c r="B106" s="1723" t="s">
        <v>2123</v>
      </c>
      <c r="C106" s="1848" t="s">
        <v>1996</v>
      </c>
      <c r="D106" s="1941" t="s">
        <v>2074</v>
      </c>
      <c r="E106" s="1704" t="s">
        <v>100</v>
      </c>
      <c r="F106" s="1704" t="s">
        <v>2124</v>
      </c>
      <c r="G106" s="1942" t="s">
        <v>2061</v>
      </c>
      <c r="H106" s="1941" t="s">
        <v>2062</v>
      </c>
      <c r="I106" t="s">
        <v>2063</v>
      </c>
      <c r="J106" s="1704" t="s">
        <v>2064</v>
      </c>
      <c r="K106" s="1792" t="s">
        <v>2065</v>
      </c>
      <c r="L106" s="1167"/>
      <c r="O106" s="1704">
        <f>IF(ISBLANK(职业列表!J60),职业列表!J60,IF(ISNUMBER(O107+O108+O109),职业列表!J60,职业列表!J60&amp;"、"))</f>
        <v>0</v>
      </c>
      <c r="P106" s="1704" t="str">
        <f t="shared" si="7"/>
        <v/>
      </c>
      <c r="Y106" s="1979" t="s">
        <v>2125</v>
      </c>
      <c r="AA106" s="1891"/>
      <c r="AE106" s="1921">
        <v>1963</v>
      </c>
      <c r="AF106" s="1144" t="s">
        <v>100</v>
      </c>
      <c r="AG106" s="1144"/>
      <c r="AH106" s="1144"/>
      <c r="AI106" s="1144" t="s">
        <v>100</v>
      </c>
      <c r="AJ106" s="1144"/>
      <c r="AK106" s="1144"/>
      <c r="AL106" s="1144" t="s">
        <v>2097</v>
      </c>
      <c r="AM106" s="1144" t="s">
        <v>1571</v>
      </c>
      <c r="AN106" s="1144" t="s">
        <v>2126</v>
      </c>
      <c r="AO106" s="1922" t="s">
        <v>2127</v>
      </c>
      <c r="AP106" s="1922" t="s">
        <v>2128</v>
      </c>
      <c r="AQ106" s="1145" t="s">
        <v>2120</v>
      </c>
      <c r="AR106" s="1704" t="s">
        <v>2121</v>
      </c>
      <c r="AT106" s="1921">
        <v>1963</v>
      </c>
      <c r="BB106" s="1145"/>
      <c r="BE106" s="1952"/>
      <c r="BF106" s="1989"/>
      <c r="BG106" s="1989"/>
      <c r="BH106" s="1989"/>
      <c r="BI106" s="1989"/>
      <c r="BJ106" s="1989"/>
      <c r="BK106" s="1989"/>
      <c r="BL106" s="1989"/>
      <c r="BM106" s="1989"/>
    </row>
    <row r="107" ht="17.25" customHeight="1" spans="1:65">
      <c r="A107" s="1723" t="s">
        <v>2129</v>
      </c>
      <c r="B107" s="1723" t="s">
        <v>2129</v>
      </c>
      <c r="C107" s="1848" t="s">
        <v>1996</v>
      </c>
      <c r="D107" s="1941" t="s">
        <v>2074</v>
      </c>
      <c r="E107" s="1704" t="s">
        <v>100</v>
      </c>
      <c r="F107" s="1704" t="s">
        <v>2130</v>
      </c>
      <c r="G107" s="1942" t="s">
        <v>2061</v>
      </c>
      <c r="H107" s="1941" t="s">
        <v>2062</v>
      </c>
      <c r="I107" t="s">
        <v>2063</v>
      </c>
      <c r="J107" s="1704" t="s">
        <v>2064</v>
      </c>
      <c r="K107" s="1792" t="s">
        <v>2065</v>
      </c>
      <c r="L107" s="1167"/>
      <c r="O107" s="1704">
        <f>IF(ISBLANK(职业列表!J61),职业列表!J61,IF(ISNUMBER(O108+O109),职业列表!J61,职业列表!J61&amp;"、"))</f>
        <v>0</v>
      </c>
      <c r="P107" s="1704" t="str">
        <f t="shared" si="7"/>
        <v/>
      </c>
      <c r="Y107" s="1979" t="s">
        <v>237</v>
      </c>
      <c r="AA107" s="1891"/>
      <c r="AE107" s="1921">
        <v>1964</v>
      </c>
      <c r="AF107" s="1144" t="s">
        <v>2131</v>
      </c>
      <c r="AG107" s="1144"/>
      <c r="AH107" s="1144"/>
      <c r="AI107" s="1144" t="s">
        <v>2132</v>
      </c>
      <c r="AJ107" s="1144"/>
      <c r="AK107" s="1144"/>
      <c r="AL107" s="1144" t="s">
        <v>2097</v>
      </c>
      <c r="AM107" s="1144" t="s">
        <v>1584</v>
      </c>
      <c r="AN107" s="1144" t="s">
        <v>2133</v>
      </c>
      <c r="AO107" s="1922" t="s">
        <v>2134</v>
      </c>
      <c r="AP107" s="1922" t="s">
        <v>2135</v>
      </c>
      <c r="AQ107" s="1145" t="s">
        <v>2136</v>
      </c>
      <c r="AR107" s="1704" t="s">
        <v>2137</v>
      </c>
      <c r="AS107" s="1704" t="s">
        <v>2138</v>
      </c>
      <c r="AT107" s="1921">
        <v>1964</v>
      </c>
      <c r="BB107" s="1145"/>
      <c r="BE107" s="1952"/>
      <c r="BF107" s="1989"/>
      <c r="BG107" s="1989"/>
      <c r="BH107" s="1989"/>
      <c r="BI107" s="1989"/>
      <c r="BJ107" s="1989"/>
      <c r="BK107" s="1989"/>
      <c r="BL107" s="1989"/>
      <c r="BM107" s="1989"/>
    </row>
    <row r="108" ht="17.25" customHeight="1" spans="1:65">
      <c r="A108" s="1723" t="s">
        <v>2139</v>
      </c>
      <c r="B108" s="1723" t="s">
        <v>2139</v>
      </c>
      <c r="C108" s="1848" t="s">
        <v>1996</v>
      </c>
      <c r="D108" s="1941" t="s">
        <v>2074</v>
      </c>
      <c r="E108" s="1704" t="s">
        <v>100</v>
      </c>
      <c r="F108" s="1704" t="s">
        <v>2140</v>
      </c>
      <c r="G108" s="1942" t="s">
        <v>2061</v>
      </c>
      <c r="H108" s="1941" t="s">
        <v>2062</v>
      </c>
      <c r="I108" t="s">
        <v>2063</v>
      </c>
      <c r="J108" s="1704" t="s">
        <v>2064</v>
      </c>
      <c r="K108" s="1792" t="s">
        <v>2065</v>
      </c>
      <c r="L108" s="1167"/>
      <c r="O108" s="1704">
        <f>IF(ISBLANK(职业列表!J62),职业列表!J62,IF(ISNUMBER(O109),职业列表!J62,职业列表!J62&amp;"、"))</f>
        <v>0</v>
      </c>
      <c r="P108" s="1704" t="str">
        <f t="shared" si="7"/>
        <v/>
      </c>
      <c r="Y108" s="1979" t="s">
        <v>2141</v>
      </c>
      <c r="AA108" s="1891"/>
      <c r="AE108" s="1921">
        <v>1965</v>
      </c>
      <c r="AF108" s="1144" t="s">
        <v>100</v>
      </c>
      <c r="AG108" s="1144"/>
      <c r="AH108" s="1144"/>
      <c r="AI108" s="1144" t="s">
        <v>100</v>
      </c>
      <c r="AJ108" s="1144" t="s">
        <v>2142</v>
      </c>
      <c r="AK108" s="1144"/>
      <c r="AL108" s="1144" t="s">
        <v>2097</v>
      </c>
      <c r="AM108" s="1144" t="s">
        <v>1597</v>
      </c>
      <c r="AN108" s="1144" t="s">
        <v>2143</v>
      </c>
      <c r="AO108" s="1922" t="s">
        <v>2144</v>
      </c>
      <c r="AP108" s="1922" t="s">
        <v>2135</v>
      </c>
      <c r="AQ108" s="1145" t="s">
        <v>2145</v>
      </c>
      <c r="AR108" s="1704" t="s">
        <v>2146</v>
      </c>
      <c r="AS108" s="1704" t="s">
        <v>2147</v>
      </c>
      <c r="AT108" s="1921">
        <v>1965</v>
      </c>
      <c r="BB108" s="1145"/>
      <c r="BE108" s="1952"/>
      <c r="BF108" s="1989"/>
      <c r="BG108" s="1989"/>
      <c r="BH108" s="1989"/>
      <c r="BI108" s="1989"/>
      <c r="BJ108" s="1989"/>
      <c r="BK108" s="1989"/>
      <c r="BL108" s="1989"/>
      <c r="BM108" s="1989"/>
    </row>
    <row r="109" ht="17.25" customHeight="1" spans="1:65">
      <c r="A109" s="1723" t="s">
        <v>2148</v>
      </c>
      <c r="B109" s="1723" t="s">
        <v>2148</v>
      </c>
      <c r="C109" s="1848" t="s">
        <v>1996</v>
      </c>
      <c r="D109" s="1941" t="s">
        <v>2074</v>
      </c>
      <c r="E109" s="1704" t="s">
        <v>100</v>
      </c>
      <c r="F109" s="1704" t="s">
        <v>2149</v>
      </c>
      <c r="G109" s="1942" t="s">
        <v>2061</v>
      </c>
      <c r="H109" s="1941" t="s">
        <v>2062</v>
      </c>
      <c r="I109" t="s">
        <v>2063</v>
      </c>
      <c r="J109" s="1704" t="s">
        <v>2064</v>
      </c>
      <c r="K109" s="1792" t="s">
        <v>2065</v>
      </c>
      <c r="L109" s="1167"/>
      <c r="O109" s="1704">
        <f>职业列表!J63</f>
        <v>0</v>
      </c>
      <c r="P109" s="1704" t="str">
        <f>IF(ISNUMBER(O101+O102+O103+O104+O105+O106+O107+O108+O109),"",")")</f>
        <v/>
      </c>
      <c r="Q109" s="1704" t="str">
        <f>P99&amp;P100&amp;P101&amp;P102&amp;P103&amp;P104&amp;P105&amp;P106&amp;P107&amp;P108&amp;P109</f>
        <v/>
      </c>
      <c r="Y109" s="1979" t="s">
        <v>2150</v>
      </c>
      <c r="AA109" s="1891"/>
      <c r="AE109" s="1921">
        <v>1966</v>
      </c>
      <c r="AF109" s="1144" t="s">
        <v>100</v>
      </c>
      <c r="AG109" s="1144"/>
      <c r="AH109" s="1144"/>
      <c r="AI109" s="1144" t="s">
        <v>2151</v>
      </c>
      <c r="AJ109" s="1144" t="s">
        <v>2152</v>
      </c>
      <c r="AK109" s="1144"/>
      <c r="AL109" s="1144" t="s">
        <v>2097</v>
      </c>
      <c r="AM109" s="1144" t="s">
        <v>1607</v>
      </c>
      <c r="AN109" s="1144" t="s">
        <v>2153</v>
      </c>
      <c r="AO109" s="1922" t="s">
        <v>2154</v>
      </c>
      <c r="AP109" s="1922" t="s">
        <v>2135</v>
      </c>
      <c r="AQ109" s="1145" t="s">
        <v>2155</v>
      </c>
      <c r="AR109" s="1704" t="s">
        <v>2156</v>
      </c>
      <c r="AS109" s="1704" t="s">
        <v>2157</v>
      </c>
      <c r="AT109" s="1921">
        <v>1966</v>
      </c>
      <c r="BB109" s="1145"/>
      <c r="BE109" s="1952"/>
      <c r="BF109" s="1957"/>
      <c r="BG109" s="1957"/>
      <c r="BH109" s="1957"/>
      <c r="BI109" s="1957"/>
      <c r="BJ109" s="1957"/>
      <c r="BK109" s="1957"/>
      <c r="BL109" s="1957"/>
      <c r="BM109" s="1957"/>
    </row>
    <row r="110" ht="17.25" customHeight="1" spans="1:65">
      <c r="A110" s="1723" t="s">
        <v>2158</v>
      </c>
      <c r="B110" s="1723" t="s">
        <v>2158</v>
      </c>
      <c r="C110" s="1848" t="s">
        <v>1996</v>
      </c>
      <c r="D110" s="1941" t="s">
        <v>2074</v>
      </c>
      <c r="E110" s="1704" t="s">
        <v>100</v>
      </c>
      <c r="F110" s="1704" t="s">
        <v>2159</v>
      </c>
      <c r="G110" s="1942" t="s">
        <v>2061</v>
      </c>
      <c r="H110" s="1941" t="s">
        <v>2062</v>
      </c>
      <c r="I110" t="s">
        <v>2063</v>
      </c>
      <c r="J110" s="1704" t="s">
        <v>2064</v>
      </c>
      <c r="K110" s="1792" t="s">
        <v>2065</v>
      </c>
      <c r="L110" s="1167"/>
      <c r="Y110" s="1979" t="s">
        <v>2160</v>
      </c>
      <c r="AA110" s="1891"/>
      <c r="AE110" s="1921">
        <v>1967</v>
      </c>
      <c r="AF110" s="1144" t="s">
        <v>100</v>
      </c>
      <c r="AG110" s="1144"/>
      <c r="AH110" s="1144"/>
      <c r="AI110" s="1144" t="s">
        <v>100</v>
      </c>
      <c r="AJ110" s="1144"/>
      <c r="AK110" s="1144"/>
      <c r="AL110" s="1144" t="s">
        <v>2097</v>
      </c>
      <c r="AM110" s="1144" t="s">
        <v>1614</v>
      </c>
      <c r="AN110" s="1144" t="s">
        <v>2161</v>
      </c>
      <c r="AO110" s="1922" t="s">
        <v>2162</v>
      </c>
      <c r="AP110" s="1922" t="s">
        <v>2135</v>
      </c>
      <c r="AQ110" s="1145" t="s">
        <v>2163</v>
      </c>
      <c r="AR110" s="1704" t="s">
        <v>2164</v>
      </c>
      <c r="AS110" s="1704" t="s">
        <v>2165</v>
      </c>
      <c r="AT110" s="1921">
        <v>1967</v>
      </c>
      <c r="BB110" s="1145"/>
      <c r="BE110" s="1952"/>
      <c r="BF110" s="1957"/>
      <c r="BG110" s="1957"/>
      <c r="BH110" s="1957"/>
      <c r="BI110" s="1957"/>
      <c r="BJ110" s="1957"/>
      <c r="BK110" s="1957"/>
      <c r="BL110" s="1957"/>
      <c r="BM110" s="1957"/>
    </row>
    <row r="111" ht="17.25" customHeight="1" spans="1:65">
      <c r="A111" s="1723" t="s">
        <v>2166</v>
      </c>
      <c r="B111" s="1723" t="s">
        <v>2166</v>
      </c>
      <c r="C111" s="1848" t="s">
        <v>1996</v>
      </c>
      <c r="D111" s="1941" t="s">
        <v>2074</v>
      </c>
      <c r="E111" s="1704" t="s">
        <v>100</v>
      </c>
      <c r="F111" s="1704" t="s">
        <v>2167</v>
      </c>
      <c r="G111" s="1942" t="s">
        <v>2061</v>
      </c>
      <c r="H111" s="1941" t="s">
        <v>2062</v>
      </c>
      <c r="I111" t="s">
        <v>2063</v>
      </c>
      <c r="J111" s="1704" t="s">
        <v>2064</v>
      </c>
      <c r="K111" s="1792" t="s">
        <v>2065</v>
      </c>
      <c r="L111" s="1167"/>
      <c r="Y111" s="1979" t="s">
        <v>2168</v>
      </c>
      <c r="AA111" s="1891"/>
      <c r="AE111" s="1921">
        <v>1968</v>
      </c>
      <c r="AF111" s="1144" t="s">
        <v>2169</v>
      </c>
      <c r="AG111" s="1144"/>
      <c r="AH111" s="1144"/>
      <c r="AI111" s="1144" t="s">
        <v>100</v>
      </c>
      <c r="AJ111" s="1144"/>
      <c r="AK111" s="1144"/>
      <c r="AL111" s="1144" t="s">
        <v>2097</v>
      </c>
      <c r="AM111" s="1144" t="s">
        <v>1622</v>
      </c>
      <c r="AN111" s="1144" t="s">
        <v>2170</v>
      </c>
      <c r="AO111" s="1932" t="s">
        <v>2171</v>
      </c>
      <c r="AP111" s="1922" t="s">
        <v>2135</v>
      </c>
      <c r="AQ111" s="1145" t="s">
        <v>2172</v>
      </c>
      <c r="AR111" s="1704" t="s">
        <v>2173</v>
      </c>
      <c r="AS111" s="1941" t="s">
        <v>2174</v>
      </c>
      <c r="AT111" s="1921">
        <v>1968</v>
      </c>
      <c r="AV111" s="1984"/>
      <c r="AW111" s="1984"/>
      <c r="AX111" s="1952"/>
      <c r="AY111" s="1952"/>
      <c r="AZ111" s="1984"/>
      <c r="BA111" s="1984"/>
      <c r="BB111" s="1145"/>
      <c r="BC111" s="1952"/>
      <c r="BD111" s="1952"/>
      <c r="BE111" s="1952"/>
      <c r="BF111" s="1957"/>
      <c r="BG111" s="1957"/>
      <c r="BH111" s="1957"/>
      <c r="BI111" s="1957"/>
      <c r="BJ111" s="1957"/>
      <c r="BK111" s="1957"/>
      <c r="BL111" s="1957"/>
      <c r="BM111" s="1957"/>
    </row>
    <row r="112" ht="17.25" customHeight="1" spans="1:65">
      <c r="A112" s="1723" t="s">
        <v>2175</v>
      </c>
      <c r="B112" s="1723" t="s">
        <v>2175</v>
      </c>
      <c r="C112" s="1848" t="s">
        <v>1996</v>
      </c>
      <c r="D112" s="1941" t="s">
        <v>2074</v>
      </c>
      <c r="E112" s="1704" t="s">
        <v>100</v>
      </c>
      <c r="F112" s="1704" t="s">
        <v>2176</v>
      </c>
      <c r="G112" s="1942" t="s">
        <v>2061</v>
      </c>
      <c r="H112" s="1941" t="s">
        <v>2062</v>
      </c>
      <c r="I112" t="s">
        <v>2063</v>
      </c>
      <c r="J112" s="1704" t="s">
        <v>2064</v>
      </c>
      <c r="K112" s="1792" t="s">
        <v>2065</v>
      </c>
      <c r="L112" s="1167"/>
      <c r="M112" s="1971"/>
      <c r="N112" s="1972" t="s">
        <v>2177</v>
      </c>
      <c r="O112" s="1972"/>
      <c r="P112" s="1972"/>
      <c r="Q112" s="1972"/>
      <c r="R112" s="1975"/>
      <c r="S112" s="1976"/>
      <c r="T112" s="1972" t="s">
        <v>2178</v>
      </c>
      <c r="U112" s="1972"/>
      <c r="V112" s="1972"/>
      <c r="W112" s="1972"/>
      <c r="X112" s="1972"/>
      <c r="Y112" s="1979" t="s">
        <v>2179</v>
      </c>
      <c r="AA112" s="1891"/>
      <c r="AE112" s="1921">
        <v>1969</v>
      </c>
      <c r="AF112" s="1144" t="s">
        <v>2180</v>
      </c>
      <c r="AG112" s="1144" t="s">
        <v>2181</v>
      </c>
      <c r="AH112" s="1144"/>
      <c r="AI112" s="1144" t="s">
        <v>100</v>
      </c>
      <c r="AJ112" s="1144"/>
      <c r="AK112" s="1144"/>
      <c r="AL112" s="1144" t="s">
        <v>2097</v>
      </c>
      <c r="AM112" s="1144" t="s">
        <v>1631</v>
      </c>
      <c r="AN112" s="1144" t="s">
        <v>2182</v>
      </c>
      <c r="AO112" s="1932" t="s">
        <v>2183</v>
      </c>
      <c r="AP112" s="1922" t="s">
        <v>2184</v>
      </c>
      <c r="AQ112" s="1145" t="s">
        <v>2185</v>
      </c>
      <c r="AR112" s="1704" t="s">
        <v>2186</v>
      </c>
      <c r="AS112" s="1941" t="s">
        <v>2187</v>
      </c>
      <c r="AT112" s="1921">
        <v>1969</v>
      </c>
      <c r="AV112" s="1984"/>
      <c r="AW112" s="1984"/>
      <c r="AX112" s="1952"/>
      <c r="AY112" s="1952"/>
      <c r="AZ112" s="1984"/>
      <c r="BA112" s="1984"/>
      <c r="BB112" s="1145"/>
      <c r="BC112" s="1952"/>
      <c r="BD112" s="1952"/>
      <c r="BE112" s="1952"/>
      <c r="BF112" s="1957"/>
      <c r="BG112" s="1957"/>
      <c r="BH112" s="1957"/>
      <c r="BI112" s="1957"/>
      <c r="BJ112" s="1957"/>
      <c r="BK112" s="1957"/>
      <c r="BL112" s="1957"/>
      <c r="BM112" s="1957"/>
    </row>
    <row r="113" ht="17.25" customHeight="1" spans="1:65">
      <c r="A113" s="1723" t="s">
        <v>2188</v>
      </c>
      <c r="B113" s="1723" t="s">
        <v>2188</v>
      </c>
      <c r="C113" s="1848" t="s">
        <v>1996</v>
      </c>
      <c r="D113" s="1941" t="s">
        <v>2074</v>
      </c>
      <c r="E113" s="1704" t="s">
        <v>100</v>
      </c>
      <c r="F113" s="1704" t="s">
        <v>2189</v>
      </c>
      <c r="G113" s="1942" t="s">
        <v>2061</v>
      </c>
      <c r="H113" s="1941" t="s">
        <v>2062</v>
      </c>
      <c r="I113" t="s">
        <v>2063</v>
      </c>
      <c r="J113" s="1704" t="s">
        <v>2064</v>
      </c>
      <c r="K113" s="1792" t="s">
        <v>2065</v>
      </c>
      <c r="L113" s="1167"/>
      <c r="M113" s="1973">
        <v>0</v>
      </c>
      <c r="N113" s="1974" t="s">
        <v>2190</v>
      </c>
      <c r="O113" s="1974"/>
      <c r="P113" s="1974"/>
      <c r="Q113" s="1974"/>
      <c r="R113" s="1977"/>
      <c r="S113" s="1250">
        <v>0</v>
      </c>
      <c r="T113" s="1974" t="s">
        <v>2191</v>
      </c>
      <c r="U113" s="1974"/>
      <c r="V113" s="1974"/>
      <c r="W113" s="1974"/>
      <c r="X113" s="1974"/>
      <c r="Y113" s="1979" t="s">
        <v>2192</v>
      </c>
      <c r="AA113" s="1891"/>
      <c r="AE113" s="1921">
        <v>1970</v>
      </c>
      <c r="AF113" s="1144" t="s">
        <v>100</v>
      </c>
      <c r="AG113" s="1144"/>
      <c r="AH113" s="1144"/>
      <c r="AI113" s="1144" t="s">
        <v>2193</v>
      </c>
      <c r="AJ113" s="1144"/>
      <c r="AK113" s="1144"/>
      <c r="AL113" s="1144" t="s">
        <v>2194</v>
      </c>
      <c r="AM113" s="1144" t="s">
        <v>1640</v>
      </c>
      <c r="AN113" s="1144" t="s">
        <v>2195</v>
      </c>
      <c r="AO113" s="1932" t="s">
        <v>2196</v>
      </c>
      <c r="AP113" s="1922" t="s">
        <v>2197</v>
      </c>
      <c r="AQ113" s="1145" t="s">
        <v>2198</v>
      </c>
      <c r="AR113" s="1704" t="s">
        <v>2199</v>
      </c>
      <c r="AS113" s="1941" t="s">
        <v>2200</v>
      </c>
      <c r="AT113" s="1921">
        <v>1970</v>
      </c>
      <c r="AV113" s="1957"/>
      <c r="AW113" s="1957"/>
      <c r="AX113" s="1986"/>
      <c r="AY113" s="1986"/>
      <c r="AZ113" s="1957"/>
      <c r="BA113" s="1957"/>
      <c r="BB113" s="1145"/>
      <c r="BC113" s="1986"/>
      <c r="BD113" s="1986"/>
      <c r="BE113" s="1986"/>
      <c r="BF113" s="1957"/>
      <c r="BG113" s="1957"/>
      <c r="BH113" s="1957"/>
      <c r="BI113" s="1957"/>
      <c r="BJ113" s="1957"/>
      <c r="BK113" s="1957"/>
      <c r="BL113" s="1957"/>
      <c r="BM113" s="1957"/>
    </row>
    <row r="114" ht="17.25" customHeight="1" spans="1:65">
      <c r="A114" s="1723" t="s">
        <v>2201</v>
      </c>
      <c r="B114" s="1723" t="s">
        <v>2201</v>
      </c>
      <c r="C114" s="1848" t="s">
        <v>1996</v>
      </c>
      <c r="D114" s="1941" t="s">
        <v>2074</v>
      </c>
      <c r="E114" s="1704" t="s">
        <v>100</v>
      </c>
      <c r="F114" s="1704" t="s">
        <v>2202</v>
      </c>
      <c r="G114" s="1942" t="s">
        <v>2061</v>
      </c>
      <c r="H114" s="1941" t="s">
        <v>2062</v>
      </c>
      <c r="I114" t="s">
        <v>2063</v>
      </c>
      <c r="J114" s="1704" t="s">
        <v>2064</v>
      </c>
      <c r="K114" s="1792" t="s">
        <v>2065</v>
      </c>
      <c r="L114" s="1167"/>
      <c r="M114" s="1973">
        <v>1</v>
      </c>
      <c r="N114" s="1974" t="s">
        <v>2203</v>
      </c>
      <c r="O114" s="1974"/>
      <c r="P114" s="1974"/>
      <c r="Q114" s="1974"/>
      <c r="R114" s="1977"/>
      <c r="S114" s="1250">
        <v>1</v>
      </c>
      <c r="T114" s="1974" t="s">
        <v>2204</v>
      </c>
      <c r="U114" s="1974"/>
      <c r="V114" s="1974"/>
      <c r="W114" s="1974"/>
      <c r="X114" s="1974"/>
      <c r="Y114" s="1979" t="s">
        <v>2205</v>
      </c>
      <c r="AA114" s="1891"/>
      <c r="AE114" s="1921">
        <v>1971</v>
      </c>
      <c r="AF114" s="1144" t="s">
        <v>100</v>
      </c>
      <c r="AG114" s="1144"/>
      <c r="AH114" s="1144"/>
      <c r="AI114" s="1144" t="s">
        <v>2206</v>
      </c>
      <c r="AJ114" s="1144"/>
      <c r="AK114" s="1144"/>
      <c r="AL114" s="1144" t="s">
        <v>2194</v>
      </c>
      <c r="AM114" s="1144" t="s">
        <v>1651</v>
      </c>
      <c r="AN114" s="1144" t="s">
        <v>2207</v>
      </c>
      <c r="AO114" s="1932" t="s">
        <v>2208</v>
      </c>
      <c r="AP114" s="1922" t="s">
        <v>2197</v>
      </c>
      <c r="AQ114" s="1145" t="s">
        <v>2209</v>
      </c>
      <c r="AR114" s="1704" t="s">
        <v>2210</v>
      </c>
      <c r="AS114" s="1941" t="s">
        <v>2211</v>
      </c>
      <c r="AT114" s="1921">
        <v>1971</v>
      </c>
      <c r="AV114" s="1957"/>
      <c r="AW114" s="1957"/>
      <c r="AX114" s="1986"/>
      <c r="AY114" s="1986"/>
      <c r="AZ114" s="1957"/>
      <c r="BA114" s="1957"/>
      <c r="BB114" s="1145"/>
      <c r="BC114" s="1986"/>
      <c r="BD114" s="1986"/>
      <c r="BE114" s="1986"/>
      <c r="BF114" s="1957"/>
      <c r="BG114" s="1957"/>
      <c r="BH114" s="1957"/>
      <c r="BI114" s="1957"/>
      <c r="BJ114" s="1957"/>
      <c r="BK114" s="1957"/>
      <c r="BL114" s="1957"/>
      <c r="BM114" s="1957"/>
    </row>
    <row r="115" ht="17.25" customHeight="1" spans="1:65">
      <c r="A115" s="1723" t="s">
        <v>2212</v>
      </c>
      <c r="B115" s="1723" t="s">
        <v>2212</v>
      </c>
      <c r="C115" s="1848" t="s">
        <v>1996</v>
      </c>
      <c r="D115" s="1941" t="s">
        <v>2074</v>
      </c>
      <c r="E115" s="1704" t="s">
        <v>100</v>
      </c>
      <c r="F115" s="1704" t="s">
        <v>2213</v>
      </c>
      <c r="G115" s="1942" t="s">
        <v>2061</v>
      </c>
      <c r="H115" s="1941" t="s">
        <v>2062</v>
      </c>
      <c r="I115" t="s">
        <v>2063</v>
      </c>
      <c r="J115" s="1704" t="s">
        <v>2064</v>
      </c>
      <c r="K115" s="1792" t="s">
        <v>2065</v>
      </c>
      <c r="L115" s="1167"/>
      <c r="M115" s="1973">
        <v>2</v>
      </c>
      <c r="N115" s="1974" t="s">
        <v>2214</v>
      </c>
      <c r="O115" s="1974"/>
      <c r="P115" s="1974"/>
      <c r="Q115" s="1974"/>
      <c r="R115" s="1977"/>
      <c r="S115" s="1250">
        <v>2</v>
      </c>
      <c r="T115" s="1974" t="s">
        <v>2215</v>
      </c>
      <c r="U115" s="1974"/>
      <c r="V115" s="1974"/>
      <c r="W115" s="1974"/>
      <c r="X115" s="1974"/>
      <c r="Y115" s="1979" t="s">
        <v>2216</v>
      </c>
      <c r="AA115" s="1891"/>
      <c r="AE115" s="1921">
        <v>1972</v>
      </c>
      <c r="AF115" s="1144" t="s">
        <v>2217</v>
      </c>
      <c r="AG115" s="1144"/>
      <c r="AH115" s="1144"/>
      <c r="AI115" s="1144" t="s">
        <v>2218</v>
      </c>
      <c r="AJ115" s="1144"/>
      <c r="AK115" s="1144"/>
      <c r="AL115" s="1144" t="s">
        <v>2194</v>
      </c>
      <c r="AM115" s="1144" t="s">
        <v>1664</v>
      </c>
      <c r="AN115" s="1144" t="s">
        <v>2219</v>
      </c>
      <c r="AO115" s="1932" t="s">
        <v>2220</v>
      </c>
      <c r="AP115" s="1922" t="s">
        <v>2197</v>
      </c>
      <c r="AQ115" s="1145" t="s">
        <v>2221</v>
      </c>
      <c r="AR115" s="1704" t="s">
        <v>2222</v>
      </c>
      <c r="AS115" s="1941" t="s">
        <v>2223</v>
      </c>
      <c r="AT115" s="1921">
        <v>1972</v>
      </c>
      <c r="AV115" s="1957"/>
      <c r="AW115" s="1957"/>
      <c r="AX115" s="1986"/>
      <c r="AY115" s="1986"/>
      <c r="AZ115" s="1957"/>
      <c r="BA115" s="1957"/>
      <c r="BB115" s="1145"/>
      <c r="BC115" s="1986"/>
      <c r="BD115" s="1986"/>
      <c r="BE115" s="1986"/>
      <c r="BF115" s="1957"/>
      <c r="BG115" s="1957"/>
      <c r="BH115" s="1957"/>
      <c r="BI115" s="1957"/>
      <c r="BJ115" s="1957"/>
      <c r="BK115" s="1957"/>
      <c r="BL115" s="1957"/>
      <c r="BM115" s="1957"/>
    </row>
    <row r="116" ht="17.25" customHeight="1" spans="1:65">
      <c r="A116" s="1723" t="s">
        <v>2224</v>
      </c>
      <c r="B116" s="1723" t="s">
        <v>2224</v>
      </c>
      <c r="C116" s="1848" t="s">
        <v>1996</v>
      </c>
      <c r="D116" s="1941" t="s">
        <v>2074</v>
      </c>
      <c r="E116" s="1704" t="s">
        <v>100</v>
      </c>
      <c r="F116" s="1704" t="s">
        <v>2225</v>
      </c>
      <c r="G116" s="1942" t="s">
        <v>2061</v>
      </c>
      <c r="H116" s="1941" t="s">
        <v>2062</v>
      </c>
      <c r="I116" t="s">
        <v>2063</v>
      </c>
      <c r="J116" s="1704" t="s">
        <v>2064</v>
      </c>
      <c r="K116" s="1792" t="s">
        <v>2065</v>
      </c>
      <c r="L116" s="1167"/>
      <c r="M116" s="1973">
        <v>3</v>
      </c>
      <c r="N116" s="1974" t="s">
        <v>2226</v>
      </c>
      <c r="O116" s="1974"/>
      <c r="P116" s="1974"/>
      <c r="Q116" s="1974"/>
      <c r="R116" s="1977"/>
      <c r="S116" s="1250">
        <v>3</v>
      </c>
      <c r="T116" s="1974" t="s">
        <v>2227</v>
      </c>
      <c r="U116" s="1974"/>
      <c r="V116" s="1974"/>
      <c r="W116" s="1974"/>
      <c r="X116" s="1974"/>
      <c r="Y116" s="1979" t="s">
        <v>2228</v>
      </c>
      <c r="AA116" s="1891"/>
      <c r="AE116" s="1921">
        <v>1973</v>
      </c>
      <c r="AF116" s="1144" t="s">
        <v>100</v>
      </c>
      <c r="AG116" s="1144"/>
      <c r="AH116" s="1144"/>
      <c r="AI116" s="1144" t="s">
        <v>2229</v>
      </c>
      <c r="AJ116" s="1144"/>
      <c r="AK116" s="1144"/>
      <c r="AL116" s="1144" t="s">
        <v>2194</v>
      </c>
      <c r="AM116" s="1144" t="s">
        <v>1674</v>
      </c>
      <c r="AN116" s="1144" t="s">
        <v>2230</v>
      </c>
      <c r="AO116" s="1932" t="s">
        <v>2231</v>
      </c>
      <c r="AP116" s="1922" t="s">
        <v>2197</v>
      </c>
      <c r="AQ116" s="1145" t="s">
        <v>2232</v>
      </c>
      <c r="AR116" s="1704" t="s">
        <v>2233</v>
      </c>
      <c r="AS116" s="1941" t="s">
        <v>2234</v>
      </c>
      <c r="AT116" s="1921">
        <v>1973</v>
      </c>
      <c r="AV116" s="1957"/>
      <c r="AW116" s="1957"/>
      <c r="AX116" s="1986"/>
      <c r="AY116" s="1986"/>
      <c r="AZ116" s="1957"/>
      <c r="BA116" s="1957"/>
      <c r="BB116" s="1145"/>
      <c r="BC116" s="1986"/>
      <c r="BD116" s="1986"/>
      <c r="BE116" s="1986"/>
      <c r="BF116" s="1957"/>
      <c r="BG116" s="1957"/>
      <c r="BH116" s="1957"/>
      <c r="BI116" s="1957"/>
      <c r="BJ116" s="1957"/>
      <c r="BK116" s="1957"/>
      <c r="BL116" s="1957"/>
      <c r="BM116" s="1957"/>
    </row>
    <row r="117" ht="17.25" customHeight="1" spans="1:54">
      <c r="A117" s="1723" t="s">
        <v>2235</v>
      </c>
      <c r="B117" s="1723" t="s">
        <v>2235</v>
      </c>
      <c r="C117" s="1848" t="s">
        <v>1996</v>
      </c>
      <c r="D117" s="1941" t="s">
        <v>2074</v>
      </c>
      <c r="E117" s="1704" t="s">
        <v>100</v>
      </c>
      <c r="F117" s="1704" t="s">
        <v>2236</v>
      </c>
      <c r="G117" s="1942" t="s">
        <v>2061</v>
      </c>
      <c r="H117" s="1941" t="s">
        <v>2062</v>
      </c>
      <c r="I117" t="s">
        <v>2063</v>
      </c>
      <c r="J117" s="1704" t="s">
        <v>2064</v>
      </c>
      <c r="K117" s="1792" t="s">
        <v>2065</v>
      </c>
      <c r="L117" s="1167"/>
      <c r="M117" s="1973">
        <v>4</v>
      </c>
      <c r="N117" s="1974" t="s">
        <v>2237</v>
      </c>
      <c r="O117" s="1974"/>
      <c r="P117" s="1974"/>
      <c r="Q117" s="1974"/>
      <c r="R117" s="1977"/>
      <c r="S117" s="1250">
        <v>4</v>
      </c>
      <c r="T117" s="1974" t="s">
        <v>2238</v>
      </c>
      <c r="U117" s="1974"/>
      <c r="V117" s="1974"/>
      <c r="W117" s="1974"/>
      <c r="X117" s="1974"/>
      <c r="Y117" s="1979" t="s">
        <v>2239</v>
      </c>
      <c r="AE117" s="1921">
        <v>1974</v>
      </c>
      <c r="AF117" s="1144" t="s">
        <v>100</v>
      </c>
      <c r="AG117" s="1144"/>
      <c r="AH117" s="1144"/>
      <c r="AI117" s="1144" t="s">
        <v>100</v>
      </c>
      <c r="AJ117" s="1144"/>
      <c r="AK117" s="1144"/>
      <c r="AL117" s="1144" t="s">
        <v>2194</v>
      </c>
      <c r="AM117" s="1144" t="s">
        <v>1681</v>
      </c>
      <c r="AN117" s="1144" t="s">
        <v>2240</v>
      </c>
      <c r="AO117" s="1922" t="s">
        <v>2241</v>
      </c>
      <c r="AP117" s="1922" t="s">
        <v>2242</v>
      </c>
      <c r="AQ117" s="1145" t="s">
        <v>2232</v>
      </c>
      <c r="AR117" s="1704" t="s">
        <v>2233</v>
      </c>
      <c r="AT117" s="1921">
        <v>1974</v>
      </c>
      <c r="BB117" s="1145"/>
    </row>
    <row r="118" ht="17.25" customHeight="1" spans="1:54">
      <c r="A118" s="1723" t="s">
        <v>2243</v>
      </c>
      <c r="B118" s="1723" t="s">
        <v>2243</v>
      </c>
      <c r="C118" s="1848" t="s">
        <v>1996</v>
      </c>
      <c r="D118" s="1941" t="s">
        <v>2074</v>
      </c>
      <c r="E118" s="1704" t="s">
        <v>100</v>
      </c>
      <c r="F118" s="1704" t="s">
        <v>2244</v>
      </c>
      <c r="G118" s="1942" t="s">
        <v>2061</v>
      </c>
      <c r="H118" s="1941" t="s">
        <v>2062</v>
      </c>
      <c r="I118" t="s">
        <v>2063</v>
      </c>
      <c r="J118" s="1704" t="s">
        <v>2064</v>
      </c>
      <c r="K118" s="1792" t="s">
        <v>2065</v>
      </c>
      <c r="L118" s="1167"/>
      <c r="M118" s="1973">
        <v>5</v>
      </c>
      <c r="N118" s="1974" t="s">
        <v>2245</v>
      </c>
      <c r="O118" s="1974"/>
      <c r="P118" s="1974"/>
      <c r="Q118" s="1974"/>
      <c r="R118" s="1977"/>
      <c r="S118" s="1250">
        <v>5</v>
      </c>
      <c r="T118" s="1974" t="s">
        <v>2246</v>
      </c>
      <c r="U118" s="1974"/>
      <c r="V118" s="1974"/>
      <c r="W118" s="1974"/>
      <c r="X118" s="1974"/>
      <c r="Y118" s="1979" t="s">
        <v>2247</v>
      </c>
      <c r="AE118" s="1921">
        <v>1975</v>
      </c>
      <c r="AF118" s="1144" t="s">
        <v>2248</v>
      </c>
      <c r="AG118" s="1144"/>
      <c r="AH118" s="1144"/>
      <c r="AI118" s="1144" t="s">
        <v>2249</v>
      </c>
      <c r="AJ118" s="1144"/>
      <c r="AK118" s="1144"/>
      <c r="AL118" s="1144" t="s">
        <v>2194</v>
      </c>
      <c r="AM118" s="1144" t="s">
        <v>1686</v>
      </c>
      <c r="AN118" s="1144" t="s">
        <v>2250</v>
      </c>
      <c r="AO118" s="1922" t="s">
        <v>2251</v>
      </c>
      <c r="AP118" s="1922" t="s">
        <v>2252</v>
      </c>
      <c r="AQ118" s="1145" t="s">
        <v>2253</v>
      </c>
      <c r="AR118" s="1704" t="s">
        <v>2254</v>
      </c>
      <c r="AS118" s="1704" t="s">
        <v>2255</v>
      </c>
      <c r="AT118" s="1921">
        <v>1975</v>
      </c>
      <c r="BB118" s="1145"/>
    </row>
    <row r="119" ht="17.25" customHeight="1" spans="1:54">
      <c r="A119" s="1723" t="s">
        <v>2256</v>
      </c>
      <c r="B119" s="1723" t="s">
        <v>2256</v>
      </c>
      <c r="C119" s="1848" t="s">
        <v>1996</v>
      </c>
      <c r="D119" s="1941" t="s">
        <v>2074</v>
      </c>
      <c r="E119" s="1704" t="s">
        <v>100</v>
      </c>
      <c r="F119" s="1704" t="s">
        <v>2257</v>
      </c>
      <c r="G119" s="1942" t="s">
        <v>2061</v>
      </c>
      <c r="H119" s="1941" t="s">
        <v>2062</v>
      </c>
      <c r="I119" t="s">
        <v>2063</v>
      </c>
      <c r="J119" s="1704" t="s">
        <v>2064</v>
      </c>
      <c r="K119" s="1792" t="s">
        <v>2065</v>
      </c>
      <c r="L119" s="1167"/>
      <c r="M119" s="1973">
        <v>6</v>
      </c>
      <c r="N119" s="1974" t="s">
        <v>2258</v>
      </c>
      <c r="O119" s="1974"/>
      <c r="P119" s="1974"/>
      <c r="Q119" s="1974"/>
      <c r="R119" s="1977"/>
      <c r="S119" s="1250">
        <v>6</v>
      </c>
      <c r="T119" s="1974" t="s">
        <v>2259</v>
      </c>
      <c r="U119" s="1974"/>
      <c r="V119" s="1974"/>
      <c r="W119" s="1974"/>
      <c r="X119" s="1974"/>
      <c r="Y119" s="1979" t="s">
        <v>2260</v>
      </c>
      <c r="AE119" s="1921">
        <v>1976</v>
      </c>
      <c r="AF119" s="1144" t="s">
        <v>2261</v>
      </c>
      <c r="AG119" s="1144"/>
      <c r="AH119" s="1144"/>
      <c r="AI119" s="1144" t="s">
        <v>2262</v>
      </c>
      <c r="AJ119" s="1144" t="s">
        <v>2263</v>
      </c>
      <c r="AK119" s="1144" t="s">
        <v>2264</v>
      </c>
      <c r="AL119" s="1144" t="s">
        <v>2194</v>
      </c>
      <c r="AM119" s="1144" t="s">
        <v>1694</v>
      </c>
      <c r="AN119" s="1144" t="s">
        <v>2265</v>
      </c>
      <c r="AO119" s="1922" t="s">
        <v>2266</v>
      </c>
      <c r="AP119" s="1922" t="s">
        <v>2252</v>
      </c>
      <c r="AQ119" s="1145" t="s">
        <v>2267</v>
      </c>
      <c r="AR119" s="1704" t="s">
        <v>2268</v>
      </c>
      <c r="AS119" s="1704" t="s">
        <v>2269</v>
      </c>
      <c r="AT119" s="1921">
        <v>1976</v>
      </c>
      <c r="BB119" s="1145"/>
    </row>
    <row r="120" ht="17.25" customHeight="1" spans="1:54">
      <c r="A120" s="1723" t="s">
        <v>2270</v>
      </c>
      <c r="B120" s="1723" t="s">
        <v>2270</v>
      </c>
      <c r="C120" s="1848" t="s">
        <v>1996</v>
      </c>
      <c r="D120" s="1941" t="s">
        <v>2074</v>
      </c>
      <c r="E120" s="1704" t="s">
        <v>100</v>
      </c>
      <c r="F120" s="1704" t="s">
        <v>2271</v>
      </c>
      <c r="G120" s="1942" t="s">
        <v>2061</v>
      </c>
      <c r="H120" s="1941" t="s">
        <v>2062</v>
      </c>
      <c r="I120" t="s">
        <v>2063</v>
      </c>
      <c r="J120" s="1704" t="s">
        <v>2064</v>
      </c>
      <c r="K120" s="1792" t="s">
        <v>2065</v>
      </c>
      <c r="L120" s="1167"/>
      <c r="M120" s="1973">
        <v>7</v>
      </c>
      <c r="N120" s="1974" t="s">
        <v>2272</v>
      </c>
      <c r="O120" s="1974"/>
      <c r="P120" s="1974"/>
      <c r="Q120" s="1974"/>
      <c r="R120" s="1977"/>
      <c r="S120" s="1250">
        <v>7</v>
      </c>
      <c r="T120" s="1974" t="s">
        <v>2273</v>
      </c>
      <c r="U120" s="1974"/>
      <c r="V120" s="1974"/>
      <c r="W120" s="1974"/>
      <c r="X120" s="1974"/>
      <c r="Y120" s="1979" t="s">
        <v>2274</v>
      </c>
      <c r="AE120" s="1921">
        <v>1977</v>
      </c>
      <c r="AF120" s="1144" t="s">
        <v>100</v>
      </c>
      <c r="AG120" s="1144"/>
      <c r="AH120" s="1144"/>
      <c r="AI120" s="1144" t="s">
        <v>100</v>
      </c>
      <c r="AJ120" s="1144"/>
      <c r="AK120" s="1144"/>
      <c r="AL120" s="1144" t="s">
        <v>2194</v>
      </c>
      <c r="AM120" s="1144" t="s">
        <v>1703</v>
      </c>
      <c r="AN120" s="1144" t="s">
        <v>2275</v>
      </c>
      <c r="AO120" s="1922" t="s">
        <v>2276</v>
      </c>
      <c r="AP120" s="1922" t="s">
        <v>2277</v>
      </c>
      <c r="AQ120" s="1145" t="s">
        <v>2278</v>
      </c>
      <c r="AR120" s="1704" t="s">
        <v>2279</v>
      </c>
      <c r="AS120" s="1704" t="s">
        <v>2280</v>
      </c>
      <c r="AT120" s="1921">
        <v>1977</v>
      </c>
      <c r="BB120" s="1145"/>
    </row>
    <row r="121" ht="17.25" customHeight="1" spans="1:54">
      <c r="A121" s="1723" t="s">
        <v>2281</v>
      </c>
      <c r="B121" s="1723" t="s">
        <v>2281</v>
      </c>
      <c r="C121" s="1848" t="s">
        <v>1996</v>
      </c>
      <c r="D121" s="1941" t="s">
        <v>2074</v>
      </c>
      <c r="E121" s="1704" t="s">
        <v>100</v>
      </c>
      <c r="F121" s="1704" t="s">
        <v>2282</v>
      </c>
      <c r="G121" s="1942" t="s">
        <v>2061</v>
      </c>
      <c r="H121" s="1941" t="s">
        <v>2062</v>
      </c>
      <c r="I121" t="s">
        <v>2063</v>
      </c>
      <c r="J121" s="1704" t="s">
        <v>2064</v>
      </c>
      <c r="K121" s="1792" t="s">
        <v>2065</v>
      </c>
      <c r="L121" s="1167"/>
      <c r="M121" s="1973">
        <v>8</v>
      </c>
      <c r="N121" s="1974" t="s">
        <v>2283</v>
      </c>
      <c r="O121" s="1974"/>
      <c r="P121" s="1974"/>
      <c r="Q121" s="1974"/>
      <c r="R121" s="1977"/>
      <c r="S121" s="1250">
        <v>8</v>
      </c>
      <c r="T121" s="1974" t="s">
        <v>2284</v>
      </c>
      <c r="U121" s="1974"/>
      <c r="V121" s="1974"/>
      <c r="W121" s="1974"/>
      <c r="X121" s="1974"/>
      <c r="Y121" s="1979" t="s">
        <v>237</v>
      </c>
      <c r="AE121" s="1921">
        <v>1978</v>
      </c>
      <c r="AF121" s="1144" t="s">
        <v>100</v>
      </c>
      <c r="AG121" s="1144"/>
      <c r="AH121" s="1144"/>
      <c r="AI121" s="1144" t="s">
        <v>100</v>
      </c>
      <c r="AJ121" s="1144"/>
      <c r="AK121" s="1144"/>
      <c r="AL121" s="1144" t="s">
        <v>2194</v>
      </c>
      <c r="AM121" s="1144" t="s">
        <v>1716</v>
      </c>
      <c r="AN121" s="1144" t="s">
        <v>2285</v>
      </c>
      <c r="AO121" s="1922" t="s">
        <v>2286</v>
      </c>
      <c r="AP121" s="1922" t="s">
        <v>2287</v>
      </c>
      <c r="AQ121" s="1145" t="s">
        <v>2288</v>
      </c>
      <c r="AR121" s="1704" t="s">
        <v>2289</v>
      </c>
      <c r="AS121" s="1704" t="s">
        <v>2290</v>
      </c>
      <c r="AT121" s="1921">
        <v>1978</v>
      </c>
      <c r="BB121" s="1145"/>
    </row>
    <row r="122" ht="17.25" customHeight="1" spans="1:54">
      <c r="A122" s="1723" t="s">
        <v>2291</v>
      </c>
      <c r="B122" s="1723" t="s">
        <v>2291</v>
      </c>
      <c r="C122" s="1848" t="s">
        <v>1996</v>
      </c>
      <c r="D122" s="1941" t="s">
        <v>2074</v>
      </c>
      <c r="E122" s="1704" t="s">
        <v>100</v>
      </c>
      <c r="F122" s="1704" t="s">
        <v>2292</v>
      </c>
      <c r="G122" s="1942" t="s">
        <v>2061</v>
      </c>
      <c r="H122" s="1941" t="s">
        <v>2062</v>
      </c>
      <c r="I122" t="s">
        <v>2063</v>
      </c>
      <c r="J122" s="1704" t="s">
        <v>2064</v>
      </c>
      <c r="K122" s="1792" t="s">
        <v>2065</v>
      </c>
      <c r="L122" s="1167"/>
      <c r="M122" s="1973">
        <v>9</v>
      </c>
      <c r="N122" s="1974" t="s">
        <v>2293</v>
      </c>
      <c r="O122" s="1974"/>
      <c r="P122" s="1974"/>
      <c r="Q122" s="1974"/>
      <c r="R122" s="1977"/>
      <c r="S122" s="1250">
        <v>9</v>
      </c>
      <c r="T122" s="1974" t="s">
        <v>2294</v>
      </c>
      <c r="U122" s="1974"/>
      <c r="V122" s="1974"/>
      <c r="W122" s="1974"/>
      <c r="X122" s="1974"/>
      <c r="Y122" s="1979" t="s">
        <v>2295</v>
      </c>
      <c r="AE122" s="1921">
        <v>1979</v>
      </c>
      <c r="AF122" s="1144" t="s">
        <v>100</v>
      </c>
      <c r="AG122" s="1144"/>
      <c r="AH122" s="1144"/>
      <c r="AI122" s="1144" t="s">
        <v>100</v>
      </c>
      <c r="AJ122" s="1144"/>
      <c r="AK122" s="1144"/>
      <c r="AL122" s="1144" t="s">
        <v>2194</v>
      </c>
      <c r="AM122" s="1144" t="s">
        <v>1724</v>
      </c>
      <c r="AN122" s="1144" t="s">
        <v>2296</v>
      </c>
      <c r="AO122" s="1922" t="s">
        <v>2297</v>
      </c>
      <c r="AP122" s="1922" t="s">
        <v>2287</v>
      </c>
      <c r="AQ122" s="1145" t="s">
        <v>2298</v>
      </c>
      <c r="AR122" s="1704" t="s">
        <v>2299</v>
      </c>
      <c r="AS122" s="1704" t="s">
        <v>2300</v>
      </c>
      <c r="AT122" s="1921">
        <v>1979</v>
      </c>
      <c r="BB122" s="1145"/>
    </row>
    <row r="123" ht="17.25" customHeight="1" spans="1:54">
      <c r="A123" s="1723" t="s">
        <v>2301</v>
      </c>
      <c r="B123" s="1723" t="s">
        <v>2301</v>
      </c>
      <c r="C123" s="1848" t="s">
        <v>1996</v>
      </c>
      <c r="D123" s="1941" t="s">
        <v>2074</v>
      </c>
      <c r="E123" s="1704" t="s">
        <v>100</v>
      </c>
      <c r="F123" s="1704" t="s">
        <v>2302</v>
      </c>
      <c r="G123" s="1942" t="s">
        <v>2061</v>
      </c>
      <c r="H123" s="1941" t="s">
        <v>2062</v>
      </c>
      <c r="I123" t="s">
        <v>2063</v>
      </c>
      <c r="J123" s="1704" t="s">
        <v>2064</v>
      </c>
      <c r="K123" s="1792" t="s">
        <v>2065</v>
      </c>
      <c r="L123" s="1167"/>
      <c r="M123" s="1973">
        <v>10</v>
      </c>
      <c r="N123" s="1974" t="s">
        <v>2303</v>
      </c>
      <c r="O123" s="1974"/>
      <c r="P123" s="1974"/>
      <c r="Q123" s="1974"/>
      <c r="R123" s="1977"/>
      <c r="S123" s="1250">
        <v>10</v>
      </c>
      <c r="T123" s="1974" t="s">
        <v>2304</v>
      </c>
      <c r="U123" s="1974"/>
      <c r="V123" s="1974"/>
      <c r="W123" s="1974"/>
      <c r="X123" s="1974"/>
      <c r="Y123" s="1979" t="s">
        <v>2305</v>
      </c>
      <c r="AE123" s="1921">
        <v>1980</v>
      </c>
      <c r="AF123" s="1144" t="s">
        <v>2306</v>
      </c>
      <c r="AG123" s="1144"/>
      <c r="AH123" s="1144"/>
      <c r="AI123" s="1144" t="s">
        <v>100</v>
      </c>
      <c r="AJ123" s="1144"/>
      <c r="AK123" s="1144"/>
      <c r="AL123" s="1144" t="s">
        <v>2307</v>
      </c>
      <c r="AM123" s="1144" t="s">
        <v>1735</v>
      </c>
      <c r="AN123" s="1144" t="s">
        <v>2308</v>
      </c>
      <c r="AO123" s="1922" t="s">
        <v>2309</v>
      </c>
      <c r="AP123" s="1922" t="s">
        <v>2287</v>
      </c>
      <c r="AQ123" s="1145" t="s">
        <v>2310</v>
      </c>
      <c r="AR123" s="1704" t="s">
        <v>2311</v>
      </c>
      <c r="AS123" s="1704" t="s">
        <v>2312</v>
      </c>
      <c r="AT123" s="1921">
        <v>1980</v>
      </c>
      <c r="BB123" s="1145"/>
    </row>
    <row r="124" ht="17.25" customHeight="1" spans="1:54">
      <c r="A124" s="1723" t="s">
        <v>2313</v>
      </c>
      <c r="B124" s="1723" t="s">
        <v>2313</v>
      </c>
      <c r="C124" s="1848" t="s">
        <v>1996</v>
      </c>
      <c r="D124" s="1941" t="s">
        <v>2074</v>
      </c>
      <c r="E124" s="1704" t="s">
        <v>100</v>
      </c>
      <c r="F124" s="1704" t="s">
        <v>2314</v>
      </c>
      <c r="G124" s="1942" t="s">
        <v>2061</v>
      </c>
      <c r="H124" s="1941" t="s">
        <v>2062</v>
      </c>
      <c r="I124" t="s">
        <v>2063</v>
      </c>
      <c r="J124" s="1704" t="s">
        <v>2064</v>
      </c>
      <c r="K124" s="1792" t="s">
        <v>2065</v>
      </c>
      <c r="L124" s="1167"/>
      <c r="M124" s="1973">
        <v>11</v>
      </c>
      <c r="N124" s="1974" t="s">
        <v>2315</v>
      </c>
      <c r="O124" s="1974"/>
      <c r="P124" s="1974"/>
      <c r="Q124" s="1974"/>
      <c r="R124" s="1977"/>
      <c r="S124" s="1250">
        <v>11</v>
      </c>
      <c r="T124" s="1974" t="s">
        <v>2316</v>
      </c>
      <c r="U124" s="1974"/>
      <c r="V124" s="1974"/>
      <c r="W124" s="1974"/>
      <c r="X124" s="1974"/>
      <c r="Y124" s="1979" t="s">
        <v>2317</v>
      </c>
      <c r="AE124" s="1921">
        <v>1981</v>
      </c>
      <c r="AF124" s="1144" t="s">
        <v>100</v>
      </c>
      <c r="AG124" s="1144"/>
      <c r="AH124" s="1144"/>
      <c r="AI124" s="1144" t="s">
        <v>2318</v>
      </c>
      <c r="AJ124" s="1144"/>
      <c r="AK124" s="1144"/>
      <c r="AL124" s="1144" t="s">
        <v>2307</v>
      </c>
      <c r="AM124" s="1144" t="s">
        <v>1743</v>
      </c>
      <c r="AN124" s="1144" t="s">
        <v>2319</v>
      </c>
      <c r="AO124" s="1922" t="s">
        <v>2320</v>
      </c>
      <c r="AP124" s="1922" t="s">
        <v>2321</v>
      </c>
      <c r="AQ124" s="1145" t="s">
        <v>2310</v>
      </c>
      <c r="AR124" s="1704" t="s">
        <v>2311</v>
      </c>
      <c r="AT124" s="1921">
        <v>1981</v>
      </c>
      <c r="BB124" s="1145"/>
    </row>
    <row r="125" ht="17.25" customHeight="1" spans="1:54">
      <c r="A125" s="1723" t="s">
        <v>2322</v>
      </c>
      <c r="B125" s="1723" t="s">
        <v>2322</v>
      </c>
      <c r="C125" s="1848" t="s">
        <v>1996</v>
      </c>
      <c r="D125" s="1941" t="s">
        <v>2074</v>
      </c>
      <c r="E125" s="1704" t="s">
        <v>100</v>
      </c>
      <c r="F125" s="1704" t="s">
        <v>2323</v>
      </c>
      <c r="G125" s="1942" t="s">
        <v>2061</v>
      </c>
      <c r="H125" s="1941" t="s">
        <v>2062</v>
      </c>
      <c r="I125" t="s">
        <v>2063</v>
      </c>
      <c r="J125" s="1704" t="s">
        <v>2064</v>
      </c>
      <c r="K125" s="1792" t="s">
        <v>2065</v>
      </c>
      <c r="L125" s="1167"/>
      <c r="M125" s="1973">
        <v>12</v>
      </c>
      <c r="N125" s="1974" t="s">
        <v>2324</v>
      </c>
      <c r="O125" s="1974"/>
      <c r="P125" s="1974"/>
      <c r="Q125" s="1974"/>
      <c r="R125" s="1977"/>
      <c r="S125" s="1250">
        <v>12</v>
      </c>
      <c r="T125" s="1974" t="s">
        <v>2325</v>
      </c>
      <c r="U125" s="1974"/>
      <c r="V125" s="1974"/>
      <c r="W125" s="1974"/>
      <c r="X125" s="1974"/>
      <c r="Y125" s="1979" t="s">
        <v>2326</v>
      </c>
      <c r="AE125" s="1921">
        <v>1982</v>
      </c>
      <c r="AF125" s="1144" t="s">
        <v>100</v>
      </c>
      <c r="AG125" s="1144"/>
      <c r="AH125" s="1144"/>
      <c r="AI125" s="1144" t="s">
        <v>100</v>
      </c>
      <c r="AJ125" s="1144"/>
      <c r="AK125" s="1144"/>
      <c r="AL125" s="1144" t="s">
        <v>2307</v>
      </c>
      <c r="AM125" s="1144" t="s">
        <v>1751</v>
      </c>
      <c r="AN125" s="1144" t="s">
        <v>2327</v>
      </c>
      <c r="AO125" s="1922" t="s">
        <v>2328</v>
      </c>
      <c r="AP125" s="1922" t="s">
        <v>2329</v>
      </c>
      <c r="AQ125" s="1145" t="s">
        <v>2310</v>
      </c>
      <c r="AR125" s="1704" t="s">
        <v>2311</v>
      </c>
      <c r="AT125" s="1921">
        <v>1982</v>
      </c>
      <c r="BB125" s="1145"/>
    </row>
    <row r="126" ht="17.25" customHeight="1" spans="1:54">
      <c r="A126" s="1723" t="s">
        <v>2330</v>
      </c>
      <c r="B126" s="1723" t="s">
        <v>2330</v>
      </c>
      <c r="C126" s="1848" t="s">
        <v>1996</v>
      </c>
      <c r="D126" s="1941" t="s">
        <v>2074</v>
      </c>
      <c r="E126" s="1704" t="s">
        <v>100</v>
      </c>
      <c r="F126" s="1704" t="s">
        <v>2331</v>
      </c>
      <c r="G126" s="1942" t="s">
        <v>2061</v>
      </c>
      <c r="H126" s="1941" t="s">
        <v>2062</v>
      </c>
      <c r="I126" t="s">
        <v>2063</v>
      </c>
      <c r="J126" s="1704" t="s">
        <v>2064</v>
      </c>
      <c r="K126" s="1792" t="s">
        <v>2065</v>
      </c>
      <c r="L126" s="1167"/>
      <c r="M126" s="1973">
        <v>13</v>
      </c>
      <c r="N126" s="1974" t="s">
        <v>2332</v>
      </c>
      <c r="O126" s="1974"/>
      <c r="P126" s="1974"/>
      <c r="Q126" s="1974"/>
      <c r="R126" s="1977"/>
      <c r="S126" s="1250">
        <v>13</v>
      </c>
      <c r="T126" s="1974" t="s">
        <v>2333</v>
      </c>
      <c r="U126" s="1974"/>
      <c r="V126" s="1974"/>
      <c r="W126" s="1974"/>
      <c r="X126" s="1974"/>
      <c r="Y126" s="1979" t="s">
        <v>2334</v>
      </c>
      <c r="AE126" s="1921">
        <v>1983</v>
      </c>
      <c r="AF126" s="1144" t="s">
        <v>100</v>
      </c>
      <c r="AG126" s="1144"/>
      <c r="AH126" s="1144"/>
      <c r="AI126" s="1144" t="s">
        <v>2335</v>
      </c>
      <c r="AJ126" s="1144"/>
      <c r="AK126" s="1144"/>
      <c r="AL126" s="1144" t="s">
        <v>2307</v>
      </c>
      <c r="AM126" s="1144" t="s">
        <v>1758</v>
      </c>
      <c r="AN126" s="1144" t="s">
        <v>2336</v>
      </c>
      <c r="AO126" s="1922" t="s">
        <v>2337</v>
      </c>
      <c r="AP126" s="1922" t="s">
        <v>2329</v>
      </c>
      <c r="AQ126" s="1145" t="s">
        <v>2310</v>
      </c>
      <c r="AR126" s="1704" t="s">
        <v>2311</v>
      </c>
      <c r="AT126" s="1921">
        <v>1983</v>
      </c>
      <c r="BB126" s="1145"/>
    </row>
    <row r="127" ht="17.25" customHeight="1" spans="1:54">
      <c r="A127" s="1723" t="s">
        <v>2338</v>
      </c>
      <c r="B127" s="1723" t="s">
        <v>2338</v>
      </c>
      <c r="C127" s="1848" t="s">
        <v>1996</v>
      </c>
      <c r="D127" s="1941" t="s">
        <v>2074</v>
      </c>
      <c r="E127" s="1704" t="s">
        <v>100</v>
      </c>
      <c r="F127" s="1704" t="s">
        <v>2339</v>
      </c>
      <c r="G127" s="1942" t="s">
        <v>2061</v>
      </c>
      <c r="H127" s="1941" t="s">
        <v>2062</v>
      </c>
      <c r="I127" t="s">
        <v>2063</v>
      </c>
      <c r="J127" s="1704" t="s">
        <v>2064</v>
      </c>
      <c r="K127" s="1792" t="s">
        <v>2065</v>
      </c>
      <c r="L127" s="1167"/>
      <c r="M127" s="1973">
        <v>14</v>
      </c>
      <c r="N127" s="1974" t="s">
        <v>2340</v>
      </c>
      <c r="O127" s="1974"/>
      <c r="P127" s="1974"/>
      <c r="Q127" s="1974"/>
      <c r="R127" s="1977"/>
      <c r="S127" s="1250">
        <v>14</v>
      </c>
      <c r="T127" s="1974" t="s">
        <v>2341</v>
      </c>
      <c r="U127" s="1974"/>
      <c r="V127" s="1974"/>
      <c r="W127" s="1974"/>
      <c r="X127" s="1974"/>
      <c r="Y127" s="1979" t="s">
        <v>2342</v>
      </c>
      <c r="AE127" s="1921">
        <v>1984</v>
      </c>
      <c r="AF127" s="1144" t="s">
        <v>1833</v>
      </c>
      <c r="AG127" s="1144"/>
      <c r="AH127" s="1144"/>
      <c r="AI127" s="1144" t="s">
        <v>100</v>
      </c>
      <c r="AJ127" s="1144"/>
      <c r="AK127" s="1144"/>
      <c r="AL127" s="1144" t="s">
        <v>2307</v>
      </c>
      <c r="AM127" s="1144" t="s">
        <v>1766</v>
      </c>
      <c r="AN127" s="1144" t="s">
        <v>2343</v>
      </c>
      <c r="AO127" s="1922" t="s">
        <v>2344</v>
      </c>
      <c r="AP127" s="1922" t="s">
        <v>2329</v>
      </c>
      <c r="AQ127" s="1145" t="s">
        <v>2345</v>
      </c>
      <c r="AR127" s="1704" t="s">
        <v>2346</v>
      </c>
      <c r="AS127" s="1704" t="s">
        <v>2347</v>
      </c>
      <c r="AT127" s="1921">
        <v>1984</v>
      </c>
      <c r="BB127" s="1145"/>
    </row>
    <row r="128" ht="17.25" customHeight="1" spans="1:54">
      <c r="A128" s="1723" t="s">
        <v>2348</v>
      </c>
      <c r="B128" s="1723" t="s">
        <v>2348</v>
      </c>
      <c r="C128" s="1848" t="s">
        <v>1996</v>
      </c>
      <c r="D128" s="1941" t="s">
        <v>2074</v>
      </c>
      <c r="E128" s="1704" t="s">
        <v>100</v>
      </c>
      <c r="F128" s="1704" t="s">
        <v>2349</v>
      </c>
      <c r="G128" s="1942" t="s">
        <v>2061</v>
      </c>
      <c r="H128" s="1941" t="s">
        <v>2062</v>
      </c>
      <c r="I128" t="s">
        <v>2063</v>
      </c>
      <c r="J128" s="1704" t="s">
        <v>2064</v>
      </c>
      <c r="K128" s="1792" t="s">
        <v>2065</v>
      </c>
      <c r="L128" s="1167"/>
      <c r="M128" s="1973">
        <v>15</v>
      </c>
      <c r="N128" s="1974" t="s">
        <v>2350</v>
      </c>
      <c r="O128" s="1974"/>
      <c r="P128" s="1974"/>
      <c r="Q128" s="1974"/>
      <c r="R128" s="1977"/>
      <c r="S128" s="1250">
        <v>15</v>
      </c>
      <c r="T128" s="1974" t="s">
        <v>2351</v>
      </c>
      <c r="U128" s="1974"/>
      <c r="V128" s="1974"/>
      <c r="W128" s="1974"/>
      <c r="X128" s="1974"/>
      <c r="Y128" s="1979" t="s">
        <v>2352</v>
      </c>
      <c r="AE128" s="1921">
        <v>1985</v>
      </c>
      <c r="AF128" s="1144" t="s">
        <v>100</v>
      </c>
      <c r="AG128" s="1144"/>
      <c r="AH128" s="1144"/>
      <c r="AI128" s="1144" t="s">
        <v>100</v>
      </c>
      <c r="AJ128" s="1144"/>
      <c r="AK128" s="1144"/>
      <c r="AL128" s="1144" t="s">
        <v>2307</v>
      </c>
      <c r="AM128" s="1144" t="s">
        <v>1774</v>
      </c>
      <c r="AN128" s="1144" t="s">
        <v>2353</v>
      </c>
      <c r="AO128" s="1922" t="s">
        <v>2354</v>
      </c>
      <c r="AP128" s="1922" t="s">
        <v>2329</v>
      </c>
      <c r="AQ128" s="1145" t="s">
        <v>2345</v>
      </c>
      <c r="AR128" s="1704" t="s">
        <v>2346</v>
      </c>
      <c r="AT128" s="1921">
        <v>1985</v>
      </c>
      <c r="BB128" s="1145"/>
    </row>
    <row r="129" ht="17.25" customHeight="1" spans="1:54">
      <c r="A129" s="1704" t="str">
        <f>Q226</f>
        <v/>
      </c>
      <c r="B129" s="1723" t="s">
        <v>2050</v>
      </c>
      <c r="C129" s="1848" t="s">
        <v>237</v>
      </c>
      <c r="D129" s="1704" t="s">
        <v>237</v>
      </c>
      <c r="E129" s="1704" t="s">
        <v>237</v>
      </c>
      <c r="F129" s="1704" t="s">
        <v>237</v>
      </c>
      <c r="G129" s="1704" t="s">
        <v>237</v>
      </c>
      <c r="H129" s="1704" t="s">
        <v>237</v>
      </c>
      <c r="I129" s="1704" t="s">
        <v>237</v>
      </c>
      <c r="J129" s="1704" t="s">
        <v>237</v>
      </c>
      <c r="K129" s="1792" t="s">
        <v>237</v>
      </c>
      <c r="L129" s="1167"/>
      <c r="M129" s="1973">
        <v>16</v>
      </c>
      <c r="N129" s="1974" t="s">
        <v>2355</v>
      </c>
      <c r="O129" s="1974"/>
      <c r="P129" s="1974"/>
      <c r="Q129" s="1974"/>
      <c r="R129" s="1977"/>
      <c r="S129" s="1250">
        <v>16</v>
      </c>
      <c r="T129" s="1974" t="s">
        <v>2356</v>
      </c>
      <c r="U129" s="1974"/>
      <c r="V129" s="1974"/>
      <c r="W129" s="1974"/>
      <c r="X129" s="1974"/>
      <c r="Y129" s="1979" t="s">
        <v>2357</v>
      </c>
      <c r="AE129" s="1921">
        <v>1986</v>
      </c>
      <c r="AF129" s="1144" t="s">
        <v>2358</v>
      </c>
      <c r="AG129" s="1144"/>
      <c r="AH129" s="1144"/>
      <c r="AI129" s="1144" t="s">
        <v>100</v>
      </c>
      <c r="AJ129" s="1144"/>
      <c r="AK129" s="1144"/>
      <c r="AL129" s="1144" t="s">
        <v>2307</v>
      </c>
      <c r="AM129" s="1144" t="s">
        <v>1783</v>
      </c>
      <c r="AN129" s="1144" t="s">
        <v>2359</v>
      </c>
      <c r="AO129" s="1922" t="s">
        <v>2360</v>
      </c>
      <c r="AP129" s="1922" t="s">
        <v>2329</v>
      </c>
      <c r="AQ129" s="1145" t="s">
        <v>2361</v>
      </c>
      <c r="AR129" s="1704" t="s">
        <v>2362</v>
      </c>
      <c r="AS129" s="1704" t="s">
        <v>2363</v>
      </c>
      <c r="AT129" s="1921">
        <v>1986</v>
      </c>
      <c r="BB129" s="1145"/>
    </row>
    <row r="130" ht="17.25" customHeight="1" spans="2:54">
      <c r="B130" s="1723" t="s">
        <v>87</v>
      </c>
      <c r="C130" s="1848" t="s">
        <v>2364</v>
      </c>
      <c r="D130" s="1704" t="s">
        <v>2365</v>
      </c>
      <c r="E130" s="1704" t="s">
        <v>2366</v>
      </c>
      <c r="F130" s="1704" t="s">
        <v>2367</v>
      </c>
      <c r="G130" s="1704" t="s">
        <v>2368</v>
      </c>
      <c r="H130" s="1704" t="s">
        <v>2369</v>
      </c>
      <c r="I130" s="1704" t="s">
        <v>2370</v>
      </c>
      <c r="J130" s="1704" t="s">
        <v>2371</v>
      </c>
      <c r="K130" s="1792" t="s">
        <v>2372</v>
      </c>
      <c r="L130" s="1167"/>
      <c r="M130" s="1973">
        <v>17</v>
      </c>
      <c r="N130" s="1974" t="s">
        <v>2373</v>
      </c>
      <c r="O130" s="1974"/>
      <c r="P130" s="1974"/>
      <c r="Q130" s="1974"/>
      <c r="R130" s="1977"/>
      <c r="S130" s="1250">
        <v>17</v>
      </c>
      <c r="T130" s="1974" t="s">
        <v>2374</v>
      </c>
      <c r="U130" s="1974"/>
      <c r="V130" s="1974"/>
      <c r="W130" s="1974"/>
      <c r="X130" s="1974"/>
      <c r="Y130" s="1979" t="s">
        <v>2375</v>
      </c>
      <c r="AE130" s="1921">
        <v>1987</v>
      </c>
      <c r="AF130" s="1144" t="s">
        <v>2358</v>
      </c>
      <c r="AG130" s="1997"/>
      <c r="AH130" s="1997"/>
      <c r="AI130" s="1144" t="s">
        <v>100</v>
      </c>
      <c r="AJ130" s="1144"/>
      <c r="AK130" s="1144"/>
      <c r="AL130" s="1144" t="s">
        <v>2307</v>
      </c>
      <c r="AM130" s="1144" t="s">
        <v>1792</v>
      </c>
      <c r="AN130" s="1144" t="s">
        <v>2376</v>
      </c>
      <c r="AO130" s="1922" t="s">
        <v>2377</v>
      </c>
      <c r="AP130" s="1922" t="s">
        <v>2329</v>
      </c>
      <c r="AQ130" s="1145" t="s">
        <v>2361</v>
      </c>
      <c r="AR130" s="1704" t="s">
        <v>2362</v>
      </c>
      <c r="AT130" s="1921">
        <v>1987</v>
      </c>
      <c r="BB130" s="1145"/>
    </row>
    <row r="131" ht="17.25" customHeight="1" spans="2:54">
      <c r="B131" s="1723" t="s">
        <v>90</v>
      </c>
      <c r="C131" s="1848" t="s">
        <v>2378</v>
      </c>
      <c r="D131" s="1704" t="s">
        <v>100</v>
      </c>
      <c r="E131" s="1704" t="s">
        <v>2379</v>
      </c>
      <c r="F131" s="1704" t="s">
        <v>2380</v>
      </c>
      <c r="G131" s="1704" t="s">
        <v>2381</v>
      </c>
      <c r="H131" s="1704" t="s">
        <v>2382</v>
      </c>
      <c r="I131" s="1704" t="s">
        <v>2383</v>
      </c>
      <c r="J131" s="1704" t="s">
        <v>2384</v>
      </c>
      <c r="K131" s="1792" t="s">
        <v>2385</v>
      </c>
      <c r="L131" s="1167"/>
      <c r="M131" s="1973">
        <v>18</v>
      </c>
      <c r="N131" s="1974" t="s">
        <v>2386</v>
      </c>
      <c r="O131" s="1974"/>
      <c r="P131" s="1974"/>
      <c r="Q131" s="1974"/>
      <c r="R131" s="1977"/>
      <c r="S131" s="1250">
        <v>18</v>
      </c>
      <c r="T131" s="1974" t="s">
        <v>2387</v>
      </c>
      <c r="U131" s="1974"/>
      <c r="V131" s="1974"/>
      <c r="W131" s="1974"/>
      <c r="X131" s="1974"/>
      <c r="Y131" s="1979" t="s">
        <v>2388</v>
      </c>
      <c r="AE131" s="1921">
        <v>1988</v>
      </c>
      <c r="AF131" s="1144" t="s">
        <v>2358</v>
      </c>
      <c r="AG131" s="1997" t="s">
        <v>2389</v>
      </c>
      <c r="AH131" s="1997"/>
      <c r="AI131" s="1144" t="s">
        <v>2390</v>
      </c>
      <c r="AJ131" s="1144" t="s">
        <v>2391</v>
      </c>
      <c r="AK131" s="1144"/>
      <c r="AL131" s="1144" t="s">
        <v>2307</v>
      </c>
      <c r="AM131" s="1144" t="s">
        <v>1801</v>
      </c>
      <c r="AN131" s="1144" t="s">
        <v>2392</v>
      </c>
      <c r="AO131" s="1144" t="s">
        <v>2393</v>
      </c>
      <c r="AP131" s="1922" t="s">
        <v>2329</v>
      </c>
      <c r="AQ131" s="1145" t="s">
        <v>2394</v>
      </c>
      <c r="AR131" s="1704" t="s">
        <v>2395</v>
      </c>
      <c r="AS131" s="1704" t="s">
        <v>2396</v>
      </c>
      <c r="AT131" s="1921">
        <v>1988</v>
      </c>
      <c r="BB131" s="1145"/>
    </row>
    <row r="132" ht="17.25" customHeight="1" spans="2:54">
      <c r="B132" s="1723" t="s">
        <v>2397</v>
      </c>
      <c r="C132" s="1848" t="s">
        <v>1996</v>
      </c>
      <c r="D132" s="1704" t="s">
        <v>2398</v>
      </c>
      <c r="E132" s="1704" t="s">
        <v>100</v>
      </c>
      <c r="F132" s="1704" t="s">
        <v>2399</v>
      </c>
      <c r="G132" s="1704" t="s">
        <v>2400</v>
      </c>
      <c r="H132" s="1704" t="s">
        <v>2401</v>
      </c>
      <c r="I132" s="1704" t="s">
        <v>2402</v>
      </c>
      <c r="J132" s="1704" t="s">
        <v>2403</v>
      </c>
      <c r="K132" s="1792" t="s">
        <v>2404</v>
      </c>
      <c r="L132" s="1167"/>
      <c r="M132" s="1973">
        <v>19</v>
      </c>
      <c r="N132" s="1974" t="s">
        <v>2405</v>
      </c>
      <c r="O132" s="1974"/>
      <c r="P132" s="1974"/>
      <c r="Q132" s="1974"/>
      <c r="R132" s="1977"/>
      <c r="S132" s="1250">
        <v>19</v>
      </c>
      <c r="T132" s="1974" t="s">
        <v>2406</v>
      </c>
      <c r="U132" s="1974"/>
      <c r="V132" s="1974"/>
      <c r="W132" s="1974"/>
      <c r="X132" s="1974"/>
      <c r="Y132" s="1979" t="s">
        <v>2407</v>
      </c>
      <c r="AE132" s="1921">
        <v>1989</v>
      </c>
      <c r="AF132" s="1144" t="s">
        <v>2358</v>
      </c>
      <c r="AG132" s="1997" t="s">
        <v>2408</v>
      </c>
      <c r="AH132" s="1997"/>
      <c r="AI132" s="1144" t="s">
        <v>100</v>
      </c>
      <c r="AJ132" s="1144"/>
      <c r="AK132" s="1144"/>
      <c r="AL132" s="1144" t="s">
        <v>2307</v>
      </c>
      <c r="AM132" s="1144" t="s">
        <v>1809</v>
      </c>
      <c r="AN132" s="1144" t="s">
        <v>2409</v>
      </c>
      <c r="AO132" s="1922" t="s">
        <v>2410</v>
      </c>
      <c r="AP132" s="1922" t="s">
        <v>2411</v>
      </c>
      <c r="AQ132" s="1704" t="s">
        <v>2412</v>
      </c>
      <c r="AR132" s="1704" t="s">
        <v>2413</v>
      </c>
      <c r="AS132" s="1704" t="s">
        <v>2414</v>
      </c>
      <c r="AT132" s="1921">
        <v>1989</v>
      </c>
      <c r="BB132" s="1145"/>
    </row>
    <row r="133" ht="17.25" customHeight="1" spans="2:54">
      <c r="B133" s="1723" t="s">
        <v>102</v>
      </c>
      <c r="C133" s="1848" t="s">
        <v>2415</v>
      </c>
      <c r="D133" s="1704" t="s">
        <v>100</v>
      </c>
      <c r="E133" s="1704" t="s">
        <v>100</v>
      </c>
      <c r="F133" s="1704" t="s">
        <v>2416</v>
      </c>
      <c r="G133" s="1704" t="s">
        <v>2417</v>
      </c>
      <c r="H133" s="1704" t="s">
        <v>2418</v>
      </c>
      <c r="I133" s="1704" t="s">
        <v>2419</v>
      </c>
      <c r="J133" s="1704" t="s">
        <v>2420</v>
      </c>
      <c r="K133" s="1792" t="s">
        <v>2421</v>
      </c>
      <c r="L133" s="1167"/>
      <c r="M133" s="1973">
        <v>20</v>
      </c>
      <c r="N133" s="1974" t="s">
        <v>2422</v>
      </c>
      <c r="O133" s="1974"/>
      <c r="P133" s="1974"/>
      <c r="Q133" s="1974"/>
      <c r="R133" s="1977"/>
      <c r="S133" s="1250">
        <v>20</v>
      </c>
      <c r="T133" s="1974" t="s">
        <v>2423</v>
      </c>
      <c r="U133" s="1974"/>
      <c r="V133" s="1974"/>
      <c r="W133" s="1974"/>
      <c r="X133" s="1974"/>
      <c r="Y133" s="1979" t="s">
        <v>2424</v>
      </c>
      <c r="AE133" s="1921">
        <v>1990</v>
      </c>
      <c r="AF133" s="1144" t="s">
        <v>2358</v>
      </c>
      <c r="AG133" s="1997"/>
      <c r="AH133" s="1997"/>
      <c r="AI133" s="1144" t="s">
        <v>2425</v>
      </c>
      <c r="AJ133" s="1144"/>
      <c r="AK133" s="1144"/>
      <c r="AL133" s="1144" t="s">
        <v>2426</v>
      </c>
      <c r="AM133" s="1144" t="s">
        <v>1817</v>
      </c>
      <c r="AN133" s="1144" t="s">
        <v>2427</v>
      </c>
      <c r="AO133" s="1922" t="s">
        <v>2428</v>
      </c>
      <c r="AP133" s="1922" t="s">
        <v>2429</v>
      </c>
      <c r="AQ133" s="1704" t="s">
        <v>2412</v>
      </c>
      <c r="AR133" s="1704" t="s">
        <v>2413</v>
      </c>
      <c r="AT133" s="1921">
        <v>1990</v>
      </c>
      <c r="BB133" s="1145"/>
    </row>
    <row r="134" ht="17.25" customHeight="1" spans="2:54">
      <c r="B134" s="1723" t="s">
        <v>104</v>
      </c>
      <c r="C134" s="1848" t="s">
        <v>2415</v>
      </c>
      <c r="D134" s="1704" t="s">
        <v>100</v>
      </c>
      <c r="E134" s="1704" t="s">
        <v>100</v>
      </c>
      <c r="F134" s="1704" t="s">
        <v>2430</v>
      </c>
      <c r="G134" s="1704" t="s">
        <v>2431</v>
      </c>
      <c r="H134" s="1704" t="s">
        <v>2432</v>
      </c>
      <c r="I134" s="1704" t="s">
        <v>2433</v>
      </c>
      <c r="J134" s="1704" t="s">
        <v>2434</v>
      </c>
      <c r="K134" s="1792" t="s">
        <v>2435</v>
      </c>
      <c r="L134" s="1167"/>
      <c r="M134" s="1973">
        <v>21</v>
      </c>
      <c r="N134" s="1974" t="s">
        <v>2436</v>
      </c>
      <c r="O134" s="1974"/>
      <c r="P134" s="1974"/>
      <c r="Q134" s="1974"/>
      <c r="R134" s="1977"/>
      <c r="S134" s="1250">
        <v>21</v>
      </c>
      <c r="T134" s="1974" t="s">
        <v>2437</v>
      </c>
      <c r="U134" s="1974"/>
      <c r="V134" s="1974"/>
      <c r="W134" s="1974"/>
      <c r="X134" s="1974"/>
      <c r="Y134" s="1979" t="s">
        <v>237</v>
      </c>
      <c r="AE134" s="1921">
        <v>1991</v>
      </c>
      <c r="AF134" s="1144" t="s">
        <v>2438</v>
      </c>
      <c r="AG134" s="1144"/>
      <c r="AH134" s="1144"/>
      <c r="AI134" s="1144" t="s">
        <v>100</v>
      </c>
      <c r="AJ134" s="1144"/>
      <c r="AK134" s="1144"/>
      <c r="AL134" s="1144" t="s">
        <v>2426</v>
      </c>
      <c r="AM134" s="1144" t="s">
        <v>1826</v>
      </c>
      <c r="AN134" s="1144" t="s">
        <v>2439</v>
      </c>
      <c r="AO134" s="1922" t="s">
        <v>2440</v>
      </c>
      <c r="AP134" s="1922" t="s">
        <v>2429</v>
      </c>
      <c r="AQ134" s="1704" t="s">
        <v>2412</v>
      </c>
      <c r="AR134" s="1704" t="s">
        <v>2413</v>
      </c>
      <c r="AT134" s="1921">
        <v>1991</v>
      </c>
      <c r="BB134" s="1145"/>
    </row>
    <row r="135" ht="17.25" customHeight="1" spans="2:54">
      <c r="B135" s="1723" t="s">
        <v>111</v>
      </c>
      <c r="C135" s="1848" t="s">
        <v>1996</v>
      </c>
      <c r="D135" s="1704" t="s">
        <v>100</v>
      </c>
      <c r="E135" s="1704" t="s">
        <v>100</v>
      </c>
      <c r="F135" s="1704" t="s">
        <v>2441</v>
      </c>
      <c r="G135" s="1704" t="s">
        <v>2442</v>
      </c>
      <c r="H135" s="1704" t="s">
        <v>2443</v>
      </c>
      <c r="I135" s="1704" t="s">
        <v>2444</v>
      </c>
      <c r="J135" s="1704" t="s">
        <v>2445</v>
      </c>
      <c r="K135" s="1792" t="s">
        <v>2446</v>
      </c>
      <c r="L135" s="1167"/>
      <c r="M135" s="1973">
        <v>22</v>
      </c>
      <c r="N135" s="1974" t="s">
        <v>2447</v>
      </c>
      <c r="O135" s="1974"/>
      <c r="P135" s="1974"/>
      <c r="Q135" s="1974"/>
      <c r="R135" s="1977"/>
      <c r="S135" s="1250">
        <v>22</v>
      </c>
      <c r="T135" s="1974" t="s">
        <v>2448</v>
      </c>
      <c r="U135" s="1974"/>
      <c r="V135" s="1974"/>
      <c r="W135" s="1974"/>
      <c r="X135" s="1974"/>
      <c r="Y135" s="1979" t="s">
        <v>2449</v>
      </c>
      <c r="AE135" s="1921">
        <v>1992</v>
      </c>
      <c r="AF135" s="1144" t="s">
        <v>2450</v>
      </c>
      <c r="AG135" s="1144"/>
      <c r="AH135" s="1144"/>
      <c r="AI135" s="1144" t="s">
        <v>2451</v>
      </c>
      <c r="AJ135" s="1144"/>
      <c r="AK135" s="1144"/>
      <c r="AL135" s="1144" t="s">
        <v>2426</v>
      </c>
      <c r="AM135" s="1144" t="s">
        <v>1836</v>
      </c>
      <c r="AN135" s="1144" t="s">
        <v>2452</v>
      </c>
      <c r="AO135" s="1922" t="s">
        <v>2453</v>
      </c>
      <c r="AP135" s="1922" t="s">
        <v>2429</v>
      </c>
      <c r="AQ135" s="1704" t="s">
        <v>2412</v>
      </c>
      <c r="AR135" s="1704" t="s">
        <v>2413</v>
      </c>
      <c r="AT135" s="1921">
        <v>1992</v>
      </c>
      <c r="BB135" s="1145"/>
    </row>
    <row r="136" ht="17.25" customHeight="1" spans="2:54">
      <c r="B136" s="1723" t="s">
        <v>113</v>
      </c>
      <c r="C136" s="1848" t="s">
        <v>2454</v>
      </c>
      <c r="D136" s="1704" t="s">
        <v>100</v>
      </c>
      <c r="E136" s="1704" t="s">
        <v>2455</v>
      </c>
      <c r="F136" s="1704" t="s">
        <v>2456</v>
      </c>
      <c r="G136" s="1704" t="s">
        <v>100</v>
      </c>
      <c r="H136" s="1704" t="s">
        <v>100</v>
      </c>
      <c r="I136" s="1704" t="s">
        <v>2457</v>
      </c>
      <c r="J136" s="1704" t="s">
        <v>100</v>
      </c>
      <c r="K136" s="1792" t="s">
        <v>100</v>
      </c>
      <c r="L136" s="1167"/>
      <c r="M136" s="1973">
        <v>23</v>
      </c>
      <c r="N136" s="1974" t="s">
        <v>2458</v>
      </c>
      <c r="O136" s="1974"/>
      <c r="P136" s="1974"/>
      <c r="Q136" s="1974"/>
      <c r="R136" s="1977"/>
      <c r="S136" s="1250">
        <v>23</v>
      </c>
      <c r="T136" s="1974" t="s">
        <v>2459</v>
      </c>
      <c r="U136" s="1974"/>
      <c r="V136" s="1974"/>
      <c r="W136" s="1974"/>
      <c r="X136" s="1974"/>
      <c r="Y136" s="1979" t="s">
        <v>2460</v>
      </c>
      <c r="AE136" s="1921">
        <v>1993</v>
      </c>
      <c r="AF136" s="1144" t="s">
        <v>100</v>
      </c>
      <c r="AG136" s="1144"/>
      <c r="AH136" s="1144"/>
      <c r="AI136" s="1144" t="s">
        <v>2461</v>
      </c>
      <c r="AJ136" s="1144"/>
      <c r="AK136" s="1144"/>
      <c r="AL136" s="1144" t="s">
        <v>2426</v>
      </c>
      <c r="AM136" s="1144" t="s">
        <v>1845</v>
      </c>
      <c r="AN136" s="1144" t="s">
        <v>2462</v>
      </c>
      <c r="AO136" s="1922" t="s">
        <v>2463</v>
      </c>
      <c r="AP136" s="1922" t="s">
        <v>2464</v>
      </c>
      <c r="AQ136" s="1704" t="s">
        <v>2412</v>
      </c>
      <c r="AR136" s="1704" t="s">
        <v>2413</v>
      </c>
      <c r="AT136" s="1921">
        <v>1993</v>
      </c>
      <c r="BB136" s="1145"/>
    </row>
    <row r="137" ht="17.25" customHeight="1" spans="2:54">
      <c r="B137" s="1723" t="s">
        <v>116</v>
      </c>
      <c r="C137" s="1848" t="s">
        <v>2378</v>
      </c>
      <c r="D137" s="1704" t="s">
        <v>2465</v>
      </c>
      <c r="E137" s="1704" t="s">
        <v>100</v>
      </c>
      <c r="F137" s="1704" t="s">
        <v>2466</v>
      </c>
      <c r="G137" s="1704" t="s">
        <v>2467</v>
      </c>
      <c r="H137" s="1704" t="s">
        <v>2468</v>
      </c>
      <c r="I137" s="1704" t="s">
        <v>2469</v>
      </c>
      <c r="J137" s="1704" t="s">
        <v>2470</v>
      </c>
      <c r="K137" s="1792" t="s">
        <v>2471</v>
      </c>
      <c r="L137" s="1167"/>
      <c r="M137" s="1973">
        <v>24</v>
      </c>
      <c r="N137" s="1974" t="s">
        <v>2472</v>
      </c>
      <c r="O137" s="1974"/>
      <c r="P137" s="1974"/>
      <c r="Q137" s="1974"/>
      <c r="R137" s="1977"/>
      <c r="S137" s="1250">
        <v>24</v>
      </c>
      <c r="T137" s="1974" t="s">
        <v>2473</v>
      </c>
      <c r="U137" s="1974"/>
      <c r="V137" s="1974"/>
      <c r="W137" s="1974"/>
      <c r="X137" s="1974"/>
      <c r="Y137" s="1979" t="s">
        <v>2474</v>
      </c>
      <c r="AE137" s="1921">
        <v>1994</v>
      </c>
      <c r="AF137" s="1144" t="s">
        <v>100</v>
      </c>
      <c r="AG137" s="1144"/>
      <c r="AH137" s="1144"/>
      <c r="AI137" s="1144" t="s">
        <v>100</v>
      </c>
      <c r="AJ137" s="1144"/>
      <c r="AK137" s="1144"/>
      <c r="AL137" s="1144" t="s">
        <v>2426</v>
      </c>
      <c r="AM137" s="1144" t="s">
        <v>1853</v>
      </c>
      <c r="AN137" s="1144" t="s">
        <v>2475</v>
      </c>
      <c r="AO137" s="1922" t="s">
        <v>2476</v>
      </c>
      <c r="AP137" s="1922" t="s">
        <v>2477</v>
      </c>
      <c r="AQ137" s="1704" t="s">
        <v>2412</v>
      </c>
      <c r="AR137" s="1704" t="s">
        <v>2413</v>
      </c>
      <c r="AT137" s="1921">
        <v>1994</v>
      </c>
      <c r="BB137" s="1145"/>
    </row>
    <row r="138" ht="17.25" customHeight="1" spans="2:54">
      <c r="B138" s="1723" t="s">
        <v>118</v>
      </c>
      <c r="C138" s="1848" t="s">
        <v>2478</v>
      </c>
      <c r="D138" s="1704" t="s">
        <v>100</v>
      </c>
      <c r="E138" s="1704" t="s">
        <v>100</v>
      </c>
      <c r="F138" s="1704" t="s">
        <v>2479</v>
      </c>
      <c r="G138" s="1704" t="s">
        <v>2480</v>
      </c>
      <c r="H138" s="1704" t="s">
        <v>2481</v>
      </c>
      <c r="I138" s="1704" t="s">
        <v>2482</v>
      </c>
      <c r="J138" s="1704" t="s">
        <v>2483</v>
      </c>
      <c r="K138" s="1792" t="s">
        <v>2484</v>
      </c>
      <c r="L138" s="1167"/>
      <c r="M138" s="1973">
        <v>25</v>
      </c>
      <c r="N138" s="1974" t="s">
        <v>2485</v>
      </c>
      <c r="O138" s="1974"/>
      <c r="P138" s="1974"/>
      <c r="Q138" s="1974"/>
      <c r="R138" s="1977"/>
      <c r="S138" s="1250">
        <v>25</v>
      </c>
      <c r="T138" s="1974" t="s">
        <v>2486</v>
      </c>
      <c r="U138" s="1974"/>
      <c r="V138" s="1974"/>
      <c r="W138" s="1974"/>
      <c r="X138" s="1974"/>
      <c r="Y138" s="1979" t="s">
        <v>2487</v>
      </c>
      <c r="AE138" s="1921">
        <v>1995</v>
      </c>
      <c r="AF138" s="1144" t="s">
        <v>100</v>
      </c>
      <c r="AG138" s="1144"/>
      <c r="AH138" s="1144"/>
      <c r="AI138" s="1144" t="s">
        <v>100</v>
      </c>
      <c r="AJ138" s="1144"/>
      <c r="AK138" s="1144"/>
      <c r="AL138" s="1144" t="s">
        <v>2426</v>
      </c>
      <c r="AM138" s="1144" t="s">
        <v>1863</v>
      </c>
      <c r="AN138" s="1144" t="s">
        <v>2488</v>
      </c>
      <c r="AO138" s="1922" t="s">
        <v>2489</v>
      </c>
      <c r="AP138" s="1922" t="s">
        <v>2477</v>
      </c>
      <c r="AQ138" s="1704" t="s">
        <v>2412</v>
      </c>
      <c r="AR138" s="1704" t="s">
        <v>2413</v>
      </c>
      <c r="AT138" s="1921">
        <v>1995</v>
      </c>
      <c r="BB138" s="1145"/>
    </row>
    <row r="139" ht="17.25" customHeight="1" spans="2:54">
      <c r="B139" s="1723" t="s">
        <v>120</v>
      </c>
      <c r="C139" s="1848" t="s">
        <v>2011</v>
      </c>
      <c r="D139" s="1704" t="s">
        <v>2398</v>
      </c>
      <c r="E139" s="1704" t="s">
        <v>2490</v>
      </c>
      <c r="F139" s="1704" t="s">
        <v>2491</v>
      </c>
      <c r="G139" s="1704" t="s">
        <v>2492</v>
      </c>
      <c r="H139" s="1704" t="s">
        <v>2493</v>
      </c>
      <c r="I139" s="1704" t="s">
        <v>2494</v>
      </c>
      <c r="J139" s="1704" t="s">
        <v>2495</v>
      </c>
      <c r="K139" s="1792" t="s">
        <v>2496</v>
      </c>
      <c r="L139" s="1167"/>
      <c r="M139" s="1973">
        <v>26</v>
      </c>
      <c r="N139" s="1974" t="s">
        <v>2497</v>
      </c>
      <c r="O139" s="1974"/>
      <c r="P139" s="1974"/>
      <c r="Q139" s="1974"/>
      <c r="R139" s="1977"/>
      <c r="S139" s="1250">
        <v>26</v>
      </c>
      <c r="T139" s="1974" t="s">
        <v>2498</v>
      </c>
      <c r="U139" s="1974"/>
      <c r="V139" s="1974"/>
      <c r="W139" s="1974"/>
      <c r="X139" s="1974"/>
      <c r="Y139" s="1979" t="s">
        <v>2499</v>
      </c>
      <c r="AE139" s="1921">
        <v>1996</v>
      </c>
      <c r="AF139" s="1144" t="s">
        <v>2500</v>
      </c>
      <c r="AG139" s="1144"/>
      <c r="AH139" s="1144"/>
      <c r="AI139" s="1144" t="s">
        <v>100</v>
      </c>
      <c r="AJ139" s="1144"/>
      <c r="AK139" s="1144"/>
      <c r="AL139" s="1144" t="s">
        <v>2426</v>
      </c>
      <c r="AM139" s="1144" t="s">
        <v>1872</v>
      </c>
      <c r="AN139" s="1144" t="s">
        <v>2501</v>
      </c>
      <c r="AO139" s="1922" t="s">
        <v>2502</v>
      </c>
      <c r="AP139" s="1922" t="s">
        <v>2477</v>
      </c>
      <c r="AQ139" s="1704" t="s">
        <v>2412</v>
      </c>
      <c r="AR139" s="1704" t="s">
        <v>2413</v>
      </c>
      <c r="AT139" s="1921">
        <v>1996</v>
      </c>
      <c r="BB139" s="1145"/>
    </row>
    <row r="140" ht="17.25" customHeight="1" spans="2:54">
      <c r="B140" s="1723" t="s">
        <v>122</v>
      </c>
      <c r="C140" s="1848" t="s">
        <v>1996</v>
      </c>
      <c r="D140" s="1704" t="s">
        <v>2365</v>
      </c>
      <c r="E140" s="1704" t="s">
        <v>2366</v>
      </c>
      <c r="F140" s="1704" t="s">
        <v>2503</v>
      </c>
      <c r="G140" s="1704" t="s">
        <v>2368</v>
      </c>
      <c r="H140" s="1704" t="s">
        <v>2369</v>
      </c>
      <c r="I140" s="1704" t="s">
        <v>2504</v>
      </c>
      <c r="J140" s="1704" t="s">
        <v>2505</v>
      </c>
      <c r="K140" s="1792" t="s">
        <v>2506</v>
      </c>
      <c r="L140" s="1167"/>
      <c r="M140" s="1973">
        <v>27</v>
      </c>
      <c r="N140" s="1974" t="s">
        <v>2507</v>
      </c>
      <c r="O140" s="1974"/>
      <c r="P140" s="1974"/>
      <c r="Q140" s="1974"/>
      <c r="R140" s="1977"/>
      <c r="S140" s="1250">
        <v>27</v>
      </c>
      <c r="T140" s="1974" t="s">
        <v>2508</v>
      </c>
      <c r="U140" s="1974"/>
      <c r="V140" s="1974"/>
      <c r="W140" s="1974"/>
      <c r="X140" s="1974"/>
      <c r="Y140" s="1979" t="s">
        <v>2509</v>
      </c>
      <c r="AE140" s="1921">
        <v>1997</v>
      </c>
      <c r="AF140" s="1144" t="s">
        <v>100</v>
      </c>
      <c r="AG140" s="1144"/>
      <c r="AH140" s="1144"/>
      <c r="AI140" s="1144" t="s">
        <v>2510</v>
      </c>
      <c r="AJ140" s="1144"/>
      <c r="AK140" s="1144"/>
      <c r="AL140" s="1144" t="s">
        <v>2426</v>
      </c>
      <c r="AM140" s="1144" t="s">
        <v>1881</v>
      </c>
      <c r="AN140" s="1144" t="s">
        <v>2511</v>
      </c>
      <c r="AO140" s="1922" t="s">
        <v>2512</v>
      </c>
      <c r="AP140" s="1922" t="s">
        <v>2477</v>
      </c>
      <c r="AQ140" s="1704" t="s">
        <v>2412</v>
      </c>
      <c r="AR140" s="1704" t="s">
        <v>2413</v>
      </c>
      <c r="AT140" s="1921">
        <v>1997</v>
      </c>
      <c r="BB140" s="1145"/>
    </row>
    <row r="141" ht="17.25" customHeight="1" spans="2:54">
      <c r="B141" s="1723" t="s">
        <v>2050</v>
      </c>
      <c r="C141" s="1848" t="s">
        <v>237</v>
      </c>
      <c r="D141" s="1704" t="s">
        <v>237</v>
      </c>
      <c r="E141" s="1704" t="s">
        <v>237</v>
      </c>
      <c r="F141" s="1704" t="s">
        <v>237</v>
      </c>
      <c r="G141" s="1704" t="s">
        <v>237</v>
      </c>
      <c r="H141" s="1704" t="s">
        <v>237</v>
      </c>
      <c r="I141" s="1704" t="s">
        <v>237</v>
      </c>
      <c r="J141" s="1704" t="s">
        <v>237</v>
      </c>
      <c r="K141" s="1792" t="s">
        <v>237</v>
      </c>
      <c r="L141" s="1167"/>
      <c r="M141" s="1973">
        <v>28</v>
      </c>
      <c r="N141" s="1974" t="s">
        <v>2513</v>
      </c>
      <c r="O141" s="1974"/>
      <c r="P141" s="1974"/>
      <c r="Q141" s="1974"/>
      <c r="R141" s="1977"/>
      <c r="S141" s="1250">
        <v>28</v>
      </c>
      <c r="T141" s="1974" t="s">
        <v>2514</v>
      </c>
      <c r="U141" s="1974"/>
      <c r="V141" s="1974"/>
      <c r="W141" s="1974"/>
      <c r="X141" s="1974"/>
      <c r="Y141" s="1979" t="s">
        <v>2515</v>
      </c>
      <c r="AE141" s="1921">
        <v>1998</v>
      </c>
      <c r="AF141" s="1144" t="s">
        <v>100</v>
      </c>
      <c r="AG141" s="1144"/>
      <c r="AH141" s="1144"/>
      <c r="AI141" s="1144" t="s">
        <v>2516</v>
      </c>
      <c r="AJ141" s="1144"/>
      <c r="AK141" s="1144"/>
      <c r="AL141" s="1144" t="s">
        <v>2426</v>
      </c>
      <c r="AM141" s="1144" t="s">
        <v>1889</v>
      </c>
      <c r="AN141" s="1144" t="s">
        <v>2517</v>
      </c>
      <c r="AO141" s="1922" t="s">
        <v>2518</v>
      </c>
      <c r="AP141" s="1922" t="s">
        <v>2477</v>
      </c>
      <c r="AQ141" s="1704" t="s">
        <v>2412</v>
      </c>
      <c r="AR141" s="1704" t="s">
        <v>2413</v>
      </c>
      <c r="AT141" s="1921">
        <v>1998</v>
      </c>
      <c r="BB141" s="1145"/>
    </row>
    <row r="142" ht="17.25" customHeight="1" spans="2:54">
      <c r="B142" s="1723" t="s">
        <v>166</v>
      </c>
      <c r="C142" s="1848" t="s">
        <v>100</v>
      </c>
      <c r="D142" s="1704" t="s">
        <v>2519</v>
      </c>
      <c r="E142" s="1704" t="s">
        <v>100</v>
      </c>
      <c r="F142" s="1704" t="s">
        <v>2520</v>
      </c>
      <c r="G142" s="1704" t="s">
        <v>100</v>
      </c>
      <c r="H142" s="1704" t="s">
        <v>100</v>
      </c>
      <c r="I142" s="1704" t="s">
        <v>2521</v>
      </c>
      <c r="J142" s="1704" t="s">
        <v>100</v>
      </c>
      <c r="K142" s="1792" t="s">
        <v>100</v>
      </c>
      <c r="L142" s="1167"/>
      <c r="M142" s="1973">
        <v>29</v>
      </c>
      <c r="N142" s="1974" t="s">
        <v>2522</v>
      </c>
      <c r="O142" s="1974"/>
      <c r="P142" s="1974"/>
      <c r="Q142" s="1974"/>
      <c r="R142" s="1977"/>
      <c r="S142" s="1250">
        <v>29</v>
      </c>
      <c r="T142" s="1974" t="s">
        <v>2523</v>
      </c>
      <c r="U142" s="1974"/>
      <c r="V142" s="1974"/>
      <c r="W142" s="1974"/>
      <c r="X142" s="1974"/>
      <c r="Y142" s="1979" t="s">
        <v>2524</v>
      </c>
      <c r="AE142" s="1921">
        <v>1999</v>
      </c>
      <c r="AF142" s="1144" t="s">
        <v>2525</v>
      </c>
      <c r="AG142" s="1144"/>
      <c r="AH142" s="1144"/>
      <c r="AI142" s="1144" t="s">
        <v>2526</v>
      </c>
      <c r="AJ142" s="1144" t="s">
        <v>2527</v>
      </c>
      <c r="AK142" s="1144"/>
      <c r="AL142" s="1144" t="s">
        <v>2426</v>
      </c>
      <c r="AM142" s="1144" t="s">
        <v>1896</v>
      </c>
      <c r="AN142" s="1144" t="s">
        <v>2528</v>
      </c>
      <c r="AO142" s="1144" t="s">
        <v>2529</v>
      </c>
      <c r="AP142" s="1922" t="s">
        <v>2477</v>
      </c>
      <c r="AQ142" s="1704" t="s">
        <v>2412</v>
      </c>
      <c r="AR142" s="1704" t="s">
        <v>2413</v>
      </c>
      <c r="AT142" s="1921">
        <v>1999</v>
      </c>
      <c r="BB142" s="1145"/>
    </row>
    <row r="143" ht="17.25" customHeight="1" spans="1:54">
      <c r="A143" s="1723" t="s">
        <v>2530</v>
      </c>
      <c r="B143" s="1723" t="s">
        <v>2530</v>
      </c>
      <c r="C143" s="1848" t="s">
        <v>1996</v>
      </c>
      <c r="D143" s="1704" t="s">
        <v>2531</v>
      </c>
      <c r="E143" s="1704" t="s">
        <v>100</v>
      </c>
      <c r="F143" s="1704" t="s">
        <v>2532</v>
      </c>
      <c r="G143" s="1704" t="s">
        <v>100</v>
      </c>
      <c r="H143" s="1704" t="s">
        <v>100</v>
      </c>
      <c r="I143" s="1704" t="s">
        <v>2521</v>
      </c>
      <c r="J143" s="1704" t="s">
        <v>100</v>
      </c>
      <c r="K143" s="1792" t="s">
        <v>100</v>
      </c>
      <c r="L143" s="1167"/>
      <c r="M143" s="1973">
        <v>30</v>
      </c>
      <c r="N143" s="1974" t="s">
        <v>2533</v>
      </c>
      <c r="O143" s="1974"/>
      <c r="P143" s="1974"/>
      <c r="Q143" s="1974"/>
      <c r="R143" s="1977"/>
      <c r="S143" s="1250">
        <v>30</v>
      </c>
      <c r="T143" s="1974" t="s">
        <v>2534</v>
      </c>
      <c r="U143" s="1974"/>
      <c r="V143" s="1974"/>
      <c r="W143" s="1974"/>
      <c r="X143" s="1974"/>
      <c r="Y143" s="1979" t="s">
        <v>2535</v>
      </c>
      <c r="AE143" s="1921">
        <v>2000</v>
      </c>
      <c r="AF143" s="1144" t="s">
        <v>2536</v>
      </c>
      <c r="AG143" s="1144" t="s">
        <v>2537</v>
      </c>
      <c r="AH143" s="1144"/>
      <c r="AI143" s="1144" t="s">
        <v>2538</v>
      </c>
      <c r="AJ143" s="1144"/>
      <c r="AK143" s="1144"/>
      <c r="AL143" s="1144" t="s">
        <v>2539</v>
      </c>
      <c r="AM143" s="1144" t="s">
        <v>1904</v>
      </c>
      <c r="AN143" s="1144" t="s">
        <v>2540</v>
      </c>
      <c r="AO143" s="1922" t="s">
        <v>2541</v>
      </c>
      <c r="AP143" s="1922" t="s">
        <v>2477</v>
      </c>
      <c r="AQ143" s="1704" t="s">
        <v>2412</v>
      </c>
      <c r="AR143" s="1704" t="s">
        <v>2413</v>
      </c>
      <c r="AT143" s="1921">
        <v>2000</v>
      </c>
      <c r="BB143" s="1145"/>
    </row>
    <row r="144" ht="17.25" customHeight="1" spans="1:54">
      <c r="A144" s="1723" t="s">
        <v>2542</v>
      </c>
      <c r="B144" s="1723" t="s">
        <v>2542</v>
      </c>
      <c r="C144" s="1848" t="s">
        <v>2478</v>
      </c>
      <c r="D144" s="1704" t="s">
        <v>2531</v>
      </c>
      <c r="E144" s="1704" t="s">
        <v>100</v>
      </c>
      <c r="F144" s="1704" t="s">
        <v>2543</v>
      </c>
      <c r="G144" s="1704" t="s">
        <v>100</v>
      </c>
      <c r="H144" s="1704" t="s">
        <v>100</v>
      </c>
      <c r="I144" s="1704" t="s">
        <v>2521</v>
      </c>
      <c r="J144" s="1704" t="s">
        <v>100</v>
      </c>
      <c r="K144" s="1792" t="s">
        <v>100</v>
      </c>
      <c r="L144" s="1167"/>
      <c r="M144" s="1973">
        <v>31</v>
      </c>
      <c r="N144" s="1974" t="s">
        <v>2544</v>
      </c>
      <c r="O144" s="1974"/>
      <c r="P144" s="1974"/>
      <c r="Q144" s="1974"/>
      <c r="R144" s="1977"/>
      <c r="S144" s="1250">
        <v>31</v>
      </c>
      <c r="T144" s="1974" t="s">
        <v>2545</v>
      </c>
      <c r="U144" s="1974"/>
      <c r="V144" s="1974"/>
      <c r="W144" s="1974"/>
      <c r="X144" s="1974"/>
      <c r="Y144" s="1979" t="s">
        <v>237</v>
      </c>
      <c r="AE144" s="1921">
        <v>2001</v>
      </c>
      <c r="AF144" s="1144" t="s">
        <v>2546</v>
      </c>
      <c r="AG144" s="1144"/>
      <c r="AH144" s="1144"/>
      <c r="AI144" s="1144" t="s">
        <v>2547</v>
      </c>
      <c r="AJ144" s="1144"/>
      <c r="AK144" s="1144"/>
      <c r="AL144" s="1144" t="s">
        <v>2539</v>
      </c>
      <c r="AM144" s="1144" t="s">
        <v>1912</v>
      </c>
      <c r="AN144" s="1144" t="s">
        <v>2548</v>
      </c>
      <c r="AO144" s="1922" t="s">
        <v>2549</v>
      </c>
      <c r="AP144" s="1922" t="s">
        <v>2550</v>
      </c>
      <c r="AQ144" s="1145" t="s">
        <v>2551</v>
      </c>
      <c r="AR144" s="1704" t="s">
        <v>2552</v>
      </c>
      <c r="AS144" s="1704" t="s">
        <v>2553</v>
      </c>
      <c r="AT144" s="1921">
        <v>2001</v>
      </c>
      <c r="BB144" s="1145"/>
    </row>
    <row r="145" ht="17.25" customHeight="1" spans="1:54">
      <c r="A145" s="1723" t="s">
        <v>2554</v>
      </c>
      <c r="B145" s="1723" t="s">
        <v>126</v>
      </c>
      <c r="C145" s="1848" t="s">
        <v>2555</v>
      </c>
      <c r="D145" s="1704" t="s">
        <v>2531</v>
      </c>
      <c r="E145" s="1704" t="s">
        <v>100</v>
      </c>
      <c r="F145" s="1704" t="s">
        <v>2556</v>
      </c>
      <c r="G145" s="1704" t="s">
        <v>100</v>
      </c>
      <c r="H145" s="1704" t="s">
        <v>100</v>
      </c>
      <c r="I145" s="1704" t="s">
        <v>2521</v>
      </c>
      <c r="J145" s="1704" t="s">
        <v>100</v>
      </c>
      <c r="K145" s="1792" t="s">
        <v>100</v>
      </c>
      <c r="L145" s="1167"/>
      <c r="M145" s="1973">
        <v>32</v>
      </c>
      <c r="N145" s="1974" t="s">
        <v>2557</v>
      </c>
      <c r="O145" s="1974"/>
      <c r="P145" s="1974"/>
      <c r="Q145" s="1974"/>
      <c r="R145" s="1977"/>
      <c r="S145" s="1250">
        <v>32</v>
      </c>
      <c r="T145" s="1974" t="s">
        <v>2558</v>
      </c>
      <c r="U145" s="1974"/>
      <c r="V145" s="1974"/>
      <c r="W145" s="1974"/>
      <c r="X145" s="1974"/>
      <c r="Y145" s="1979" t="s">
        <v>2559</v>
      </c>
      <c r="AE145" s="1921">
        <v>2002</v>
      </c>
      <c r="AF145" s="1144" t="s">
        <v>2560</v>
      </c>
      <c r="AG145" s="1144"/>
      <c r="AH145" s="1144"/>
      <c r="AI145" s="1144" t="s">
        <v>2561</v>
      </c>
      <c r="AJ145" s="1144"/>
      <c r="AK145" s="1144"/>
      <c r="AL145" s="1144" t="s">
        <v>2539</v>
      </c>
      <c r="AM145" s="1144" t="s">
        <v>1918</v>
      </c>
      <c r="AN145" s="1144" t="s">
        <v>2562</v>
      </c>
      <c r="AO145" s="1922" t="s">
        <v>2563</v>
      </c>
      <c r="AP145" s="1922" t="s">
        <v>2564</v>
      </c>
      <c r="AQ145" s="1145" t="s">
        <v>2551</v>
      </c>
      <c r="AR145" s="1704" t="s">
        <v>2552</v>
      </c>
      <c r="AT145" s="1921">
        <v>2002</v>
      </c>
      <c r="BB145" s="1145"/>
    </row>
    <row r="146" ht="17.25" customHeight="1" spans="1:54">
      <c r="A146" s="1723" t="s">
        <v>2565</v>
      </c>
      <c r="B146" s="1723" t="s">
        <v>2554</v>
      </c>
      <c r="C146" s="1848" t="s">
        <v>2364</v>
      </c>
      <c r="D146" s="1704" t="s">
        <v>2531</v>
      </c>
      <c r="E146" s="1704" t="s">
        <v>100</v>
      </c>
      <c r="F146" s="1704" t="s">
        <v>2566</v>
      </c>
      <c r="G146" s="1704" t="s">
        <v>100</v>
      </c>
      <c r="H146" s="1704" t="s">
        <v>100</v>
      </c>
      <c r="I146" s="1704" t="s">
        <v>2521</v>
      </c>
      <c r="J146" s="1704" t="s">
        <v>100</v>
      </c>
      <c r="K146" s="1792" t="s">
        <v>100</v>
      </c>
      <c r="L146" s="1167"/>
      <c r="M146" s="1973">
        <v>33</v>
      </c>
      <c r="N146" s="1974" t="s">
        <v>2567</v>
      </c>
      <c r="O146" s="1974"/>
      <c r="P146" s="1974"/>
      <c r="Q146" s="1974"/>
      <c r="R146" s="1977"/>
      <c r="S146" s="1250">
        <v>33</v>
      </c>
      <c r="T146" s="1974" t="s">
        <v>2568</v>
      </c>
      <c r="U146" s="1974"/>
      <c r="V146" s="1974"/>
      <c r="W146" s="1974"/>
      <c r="X146" s="1974"/>
      <c r="Y146" s="1979" t="s">
        <v>2569</v>
      </c>
      <c r="AE146" s="1921">
        <v>2003</v>
      </c>
      <c r="AF146" s="1144" t="s">
        <v>100</v>
      </c>
      <c r="AG146" s="1144"/>
      <c r="AH146" s="1144"/>
      <c r="AI146" s="1144" t="s">
        <v>2570</v>
      </c>
      <c r="AJ146" s="1144" t="s">
        <v>2571</v>
      </c>
      <c r="AK146" s="1144"/>
      <c r="AL146" s="1144" t="s">
        <v>2539</v>
      </c>
      <c r="AM146" s="1144" t="s">
        <v>1924</v>
      </c>
      <c r="AN146" s="1144" t="s">
        <v>2572</v>
      </c>
      <c r="AO146" s="1922" t="s">
        <v>2573</v>
      </c>
      <c r="AP146" s="1922" t="s">
        <v>2564</v>
      </c>
      <c r="AQ146" s="1145" t="s">
        <v>2551</v>
      </c>
      <c r="AR146" s="1704" t="s">
        <v>2552</v>
      </c>
      <c r="AT146" s="1921">
        <v>2003</v>
      </c>
      <c r="BB146" s="1145"/>
    </row>
    <row r="147" ht="17.25" customHeight="1" spans="1:46">
      <c r="A147" s="1723" t="s">
        <v>2574</v>
      </c>
      <c r="B147" s="1723" t="s">
        <v>2565</v>
      </c>
      <c r="C147" s="1848" t="s">
        <v>2378</v>
      </c>
      <c r="D147" s="1704" t="s">
        <v>2531</v>
      </c>
      <c r="E147" s="1704" t="s">
        <v>100</v>
      </c>
      <c r="F147" s="1704" t="s">
        <v>2575</v>
      </c>
      <c r="G147" s="1704" t="s">
        <v>100</v>
      </c>
      <c r="H147" s="1704" t="s">
        <v>100</v>
      </c>
      <c r="I147" s="1704" t="s">
        <v>2521</v>
      </c>
      <c r="J147" s="1704" t="s">
        <v>100</v>
      </c>
      <c r="K147" s="1792" t="s">
        <v>100</v>
      </c>
      <c r="L147" s="1167"/>
      <c r="M147" s="1973">
        <v>34</v>
      </c>
      <c r="N147" s="1974" t="s">
        <v>2576</v>
      </c>
      <c r="O147" s="1974"/>
      <c r="P147" s="1974"/>
      <c r="Q147" s="1974"/>
      <c r="R147" s="1977"/>
      <c r="S147" s="1250">
        <v>34</v>
      </c>
      <c r="T147" s="1974" t="s">
        <v>2577</v>
      </c>
      <c r="U147" s="1974"/>
      <c r="V147" s="1974"/>
      <c r="W147" s="1974"/>
      <c r="X147" s="1974"/>
      <c r="Y147" s="1979" t="s">
        <v>2578</v>
      </c>
      <c r="AE147" s="1921">
        <v>2004</v>
      </c>
      <c r="AF147" s="1144" t="s">
        <v>1464</v>
      </c>
      <c r="AG147" s="1144"/>
      <c r="AH147" s="1144"/>
      <c r="AI147" s="1144" t="s">
        <v>100</v>
      </c>
      <c r="AJ147" s="1144"/>
      <c r="AK147" s="1144"/>
      <c r="AL147" s="1144" t="s">
        <v>2539</v>
      </c>
      <c r="AM147" s="1144" t="s">
        <v>1931</v>
      </c>
      <c r="AN147" s="1144" t="s">
        <v>2579</v>
      </c>
      <c r="AO147" s="1922" t="s">
        <v>2580</v>
      </c>
      <c r="AP147" s="1922" t="s">
        <v>2564</v>
      </c>
      <c r="AQ147" s="1145" t="s">
        <v>2551</v>
      </c>
      <c r="AR147" s="1704" t="s">
        <v>2552</v>
      </c>
      <c r="AT147" s="1921">
        <v>2004</v>
      </c>
    </row>
    <row r="148" ht="17.25" customHeight="1" spans="1:46">
      <c r="A148" s="1723" t="s">
        <v>2581</v>
      </c>
      <c r="B148" s="1723" t="s">
        <v>2574</v>
      </c>
      <c r="C148" s="1848" t="s">
        <v>2364</v>
      </c>
      <c r="D148" s="1704" t="s">
        <v>2531</v>
      </c>
      <c r="E148" s="1704" t="s">
        <v>100</v>
      </c>
      <c r="F148" s="1704" t="s">
        <v>2582</v>
      </c>
      <c r="G148" s="1704" t="s">
        <v>100</v>
      </c>
      <c r="H148" s="1704" t="s">
        <v>100</v>
      </c>
      <c r="I148" s="1704" t="s">
        <v>2521</v>
      </c>
      <c r="J148" s="1704" t="s">
        <v>100</v>
      </c>
      <c r="K148" s="1792" t="s">
        <v>100</v>
      </c>
      <c r="L148" s="1167"/>
      <c r="M148" s="1973">
        <v>35</v>
      </c>
      <c r="N148" s="1974" t="s">
        <v>2583</v>
      </c>
      <c r="O148" s="1974"/>
      <c r="P148" s="1974"/>
      <c r="Q148" s="1974"/>
      <c r="R148" s="1977"/>
      <c r="S148" s="1250">
        <v>35</v>
      </c>
      <c r="T148" s="1974" t="s">
        <v>2584</v>
      </c>
      <c r="U148" s="1974"/>
      <c r="V148" s="1974"/>
      <c r="W148" s="1974"/>
      <c r="X148" s="1974"/>
      <c r="Y148" s="1979" t="s">
        <v>2585</v>
      </c>
      <c r="AE148" s="1921">
        <v>2005</v>
      </c>
      <c r="AF148" s="1144" t="s">
        <v>100</v>
      </c>
      <c r="AG148" s="1144"/>
      <c r="AH148" s="1144"/>
      <c r="AI148" s="1144" t="s">
        <v>100</v>
      </c>
      <c r="AJ148" s="1144"/>
      <c r="AK148" s="1144"/>
      <c r="AL148" s="1144" t="s">
        <v>2539</v>
      </c>
      <c r="AM148" s="1144" t="s">
        <v>1940</v>
      </c>
      <c r="AN148" s="1144" t="s">
        <v>2586</v>
      </c>
      <c r="AO148" s="1922" t="s">
        <v>2587</v>
      </c>
      <c r="AP148" s="1922" t="s">
        <v>2564</v>
      </c>
      <c r="AQ148" s="1145" t="s">
        <v>2551</v>
      </c>
      <c r="AR148" s="1704" t="s">
        <v>2552</v>
      </c>
      <c r="AT148" s="1921">
        <v>2005</v>
      </c>
    </row>
    <row r="149" ht="17.25" customHeight="1" spans="1:46">
      <c r="A149" s="1723" t="s">
        <v>2588</v>
      </c>
      <c r="B149" s="1723" t="s">
        <v>2581</v>
      </c>
      <c r="C149" s="1848" t="s">
        <v>2478</v>
      </c>
      <c r="D149" s="1704" t="s">
        <v>2531</v>
      </c>
      <c r="E149" s="1704" t="s">
        <v>100</v>
      </c>
      <c r="F149" s="1704" t="s">
        <v>2589</v>
      </c>
      <c r="G149" s="1704" t="s">
        <v>100</v>
      </c>
      <c r="H149" s="1704" t="s">
        <v>100</v>
      </c>
      <c r="I149" s="1704" t="s">
        <v>2521</v>
      </c>
      <c r="J149" s="1704" t="s">
        <v>100</v>
      </c>
      <c r="K149" s="1792" t="s">
        <v>100</v>
      </c>
      <c r="L149" s="1167"/>
      <c r="M149" s="1973">
        <v>36</v>
      </c>
      <c r="N149" s="1974" t="s">
        <v>2590</v>
      </c>
      <c r="O149" s="1974"/>
      <c r="P149" s="1974"/>
      <c r="Q149" s="1974"/>
      <c r="R149" s="1977"/>
      <c r="S149" s="1250">
        <v>36</v>
      </c>
      <c r="T149" s="1974" t="s">
        <v>2591</v>
      </c>
      <c r="U149" s="1974"/>
      <c r="V149" s="1974"/>
      <c r="W149" s="1974"/>
      <c r="X149" s="1974"/>
      <c r="Y149" s="1979" t="s">
        <v>2592</v>
      </c>
      <c r="AE149" s="1921">
        <v>2006</v>
      </c>
      <c r="AF149" s="1144" t="s">
        <v>100</v>
      </c>
      <c r="AG149" s="1144"/>
      <c r="AH149" s="1144"/>
      <c r="AI149" s="1144" t="s">
        <v>2593</v>
      </c>
      <c r="AJ149" s="1144"/>
      <c r="AK149" s="1144"/>
      <c r="AL149" s="1144" t="s">
        <v>2539</v>
      </c>
      <c r="AM149" s="1144" t="s">
        <v>1948</v>
      </c>
      <c r="AN149" s="1144" t="s">
        <v>2594</v>
      </c>
      <c r="AO149" s="1144" t="s">
        <v>2595</v>
      </c>
      <c r="AP149" s="1922" t="s">
        <v>2564</v>
      </c>
      <c r="AQ149" s="1145" t="s">
        <v>2551</v>
      </c>
      <c r="AR149" s="1704" t="s">
        <v>2552</v>
      </c>
      <c r="AT149" s="1921">
        <v>2006</v>
      </c>
    </row>
    <row r="150" ht="17.25" customHeight="1" spans="2:46">
      <c r="B150" s="1723" t="s">
        <v>2588</v>
      </c>
      <c r="C150" s="1848" t="s">
        <v>2378</v>
      </c>
      <c r="D150" s="1704" t="s">
        <v>2531</v>
      </c>
      <c r="E150" s="1704" t="s">
        <v>100</v>
      </c>
      <c r="F150" s="1704" t="s">
        <v>2596</v>
      </c>
      <c r="G150" s="1704" t="s">
        <v>100</v>
      </c>
      <c r="H150" s="1704" t="s">
        <v>100</v>
      </c>
      <c r="I150" s="1704" t="s">
        <v>2521</v>
      </c>
      <c r="J150" s="1704" t="s">
        <v>100</v>
      </c>
      <c r="K150" s="1792" t="s">
        <v>100</v>
      </c>
      <c r="L150" s="1167"/>
      <c r="M150" s="1973">
        <v>37</v>
      </c>
      <c r="N150" s="1974" t="s">
        <v>2597</v>
      </c>
      <c r="O150" s="1974"/>
      <c r="P150" s="1974"/>
      <c r="Q150" s="1974"/>
      <c r="R150" s="1977"/>
      <c r="S150" s="1250">
        <v>37</v>
      </c>
      <c r="T150" s="1974" t="s">
        <v>2598</v>
      </c>
      <c r="U150" s="1974"/>
      <c r="V150" s="1974"/>
      <c r="W150" s="1974"/>
      <c r="X150" s="1974"/>
      <c r="Y150" s="1979" t="s">
        <v>2599</v>
      </c>
      <c r="AE150" s="1921">
        <v>2007</v>
      </c>
      <c r="AF150" s="1144" t="s">
        <v>100</v>
      </c>
      <c r="AG150" s="1144"/>
      <c r="AH150" s="1144"/>
      <c r="AI150" s="1144" t="s">
        <v>100</v>
      </c>
      <c r="AJ150" s="1144"/>
      <c r="AK150" s="1144"/>
      <c r="AL150" s="1144" t="s">
        <v>2539</v>
      </c>
      <c r="AM150" s="1144" t="s">
        <v>1956</v>
      </c>
      <c r="AN150" s="1144" t="s">
        <v>2600</v>
      </c>
      <c r="AO150" s="1922" t="s">
        <v>2601</v>
      </c>
      <c r="AP150" s="1922" t="s">
        <v>2564</v>
      </c>
      <c r="AQ150" s="1145" t="s">
        <v>2551</v>
      </c>
      <c r="AR150" s="1704" t="s">
        <v>2552</v>
      </c>
      <c r="AT150" s="1921">
        <v>2007</v>
      </c>
    </row>
    <row r="151" ht="17.25" customHeight="1" spans="2:46">
      <c r="B151" s="1723" t="s">
        <v>2050</v>
      </c>
      <c r="C151" s="1848" t="s">
        <v>237</v>
      </c>
      <c r="D151" s="1704" t="s">
        <v>237</v>
      </c>
      <c r="E151" s="1704" t="s">
        <v>237</v>
      </c>
      <c r="F151" s="1704" t="s">
        <v>237</v>
      </c>
      <c r="G151" s="1704" t="s">
        <v>237</v>
      </c>
      <c r="H151" s="1704" t="s">
        <v>237</v>
      </c>
      <c r="I151" s="1704" t="s">
        <v>237</v>
      </c>
      <c r="J151" s="1704" t="s">
        <v>237</v>
      </c>
      <c r="K151" s="1792" t="s">
        <v>237</v>
      </c>
      <c r="L151" s="1167"/>
      <c r="M151" s="1973">
        <v>38</v>
      </c>
      <c r="N151" s="1974" t="s">
        <v>2602</v>
      </c>
      <c r="O151" s="1974"/>
      <c r="P151" s="1974"/>
      <c r="Q151" s="1974"/>
      <c r="R151" s="1977"/>
      <c r="S151" s="1250">
        <v>38</v>
      </c>
      <c r="T151" s="1974" t="s">
        <v>2603</v>
      </c>
      <c r="U151" s="1974"/>
      <c r="V151" s="1974"/>
      <c r="W151" s="1974"/>
      <c r="X151" s="1974"/>
      <c r="Y151" s="1979" t="s">
        <v>2604</v>
      </c>
      <c r="AE151" s="1921">
        <v>2008</v>
      </c>
      <c r="AF151" s="1144" t="s">
        <v>2605</v>
      </c>
      <c r="AG151" s="1144"/>
      <c r="AH151" s="1144"/>
      <c r="AI151" s="1144" t="s">
        <v>2605</v>
      </c>
      <c r="AJ151" s="1144" t="s">
        <v>2606</v>
      </c>
      <c r="AK151" s="1144"/>
      <c r="AL151" s="1144" t="s">
        <v>2539</v>
      </c>
      <c r="AM151" s="1144" t="s">
        <v>1964</v>
      </c>
      <c r="AN151" s="1144" t="s">
        <v>2607</v>
      </c>
      <c r="AO151" s="1922" t="s">
        <v>2608</v>
      </c>
      <c r="AP151" s="1922" t="s">
        <v>2564</v>
      </c>
      <c r="AQ151" s="1145" t="s">
        <v>2551</v>
      </c>
      <c r="AR151" s="1704" t="s">
        <v>2609</v>
      </c>
      <c r="AT151" s="1921">
        <v>2008</v>
      </c>
    </row>
    <row r="152" ht="17.25" customHeight="1" spans="2:46">
      <c r="B152" s="1869" t="s">
        <v>1671</v>
      </c>
      <c r="C152" s="1848" t="s">
        <v>100</v>
      </c>
      <c r="D152" s="1704" t="s">
        <v>2519</v>
      </c>
      <c r="E152" s="1704" t="s">
        <v>2610</v>
      </c>
      <c r="F152" s="1704" t="s">
        <v>2611</v>
      </c>
      <c r="G152" s="1704" t="s">
        <v>100</v>
      </c>
      <c r="H152" s="1704" t="s">
        <v>100</v>
      </c>
      <c r="I152" s="1704" t="s">
        <v>2521</v>
      </c>
      <c r="J152" s="1704" t="s">
        <v>100</v>
      </c>
      <c r="K152" s="1792" t="s">
        <v>100</v>
      </c>
      <c r="L152" s="1167"/>
      <c r="M152" s="1973">
        <v>39</v>
      </c>
      <c r="N152" s="1974" t="s">
        <v>2612</v>
      </c>
      <c r="O152" s="1974"/>
      <c r="P152" s="1974"/>
      <c r="Q152" s="1974"/>
      <c r="R152" s="1977"/>
      <c r="S152" s="1250">
        <v>39</v>
      </c>
      <c r="T152" s="1974" t="s">
        <v>2613</v>
      </c>
      <c r="U152" s="1974"/>
      <c r="V152" s="1974"/>
      <c r="W152" s="1974"/>
      <c r="X152" s="1974"/>
      <c r="Y152" s="1979" t="s">
        <v>2614</v>
      </c>
      <c r="AE152" s="1921">
        <v>2009</v>
      </c>
      <c r="AF152" s="1144" t="s">
        <v>100</v>
      </c>
      <c r="AG152" s="1144"/>
      <c r="AH152" s="1144"/>
      <c r="AI152" s="1144" t="s">
        <v>100</v>
      </c>
      <c r="AJ152" s="1144"/>
      <c r="AK152" s="1144"/>
      <c r="AL152" s="1144" t="s">
        <v>2539</v>
      </c>
      <c r="AM152" s="1144" t="s">
        <v>1972</v>
      </c>
      <c r="AN152" s="1144" t="s">
        <v>2615</v>
      </c>
      <c r="AO152" s="1144" t="s">
        <v>2616</v>
      </c>
      <c r="AP152" s="1144" t="s">
        <v>2617</v>
      </c>
      <c r="AQ152" s="1145" t="s">
        <v>2618</v>
      </c>
      <c r="AR152" s="1704" t="s">
        <v>2609</v>
      </c>
      <c r="AS152" s="1704" t="s">
        <v>2619</v>
      </c>
      <c r="AT152" s="1921">
        <v>2009</v>
      </c>
    </row>
    <row r="153" ht="17.25" customHeight="1" spans="1:46">
      <c r="A153" s="1723" t="s">
        <v>394</v>
      </c>
      <c r="B153" s="1723" t="s">
        <v>394</v>
      </c>
      <c r="C153" s="1848" t="s">
        <v>2555</v>
      </c>
      <c r="D153" s="1704" t="s">
        <v>2620</v>
      </c>
      <c r="E153" s="1704" t="s">
        <v>2610</v>
      </c>
      <c r="F153" s="1704" t="s">
        <v>2621</v>
      </c>
      <c r="G153" s="1704" t="s">
        <v>100</v>
      </c>
      <c r="H153" s="1704" t="s">
        <v>100</v>
      </c>
      <c r="I153" s="1704" t="s">
        <v>2521</v>
      </c>
      <c r="J153" s="1704" t="s">
        <v>100</v>
      </c>
      <c r="K153" s="1792" t="s">
        <v>100</v>
      </c>
      <c r="L153" s="1167"/>
      <c r="M153" s="1973">
        <v>40</v>
      </c>
      <c r="N153" s="1974" t="s">
        <v>2622</v>
      </c>
      <c r="O153" s="1974"/>
      <c r="P153" s="1974"/>
      <c r="Q153" s="1974"/>
      <c r="R153" s="1977"/>
      <c r="S153" s="1250">
        <v>40</v>
      </c>
      <c r="T153" s="1974" t="s">
        <v>2623</v>
      </c>
      <c r="U153" s="1974"/>
      <c r="V153" s="1974"/>
      <c r="W153" s="1974"/>
      <c r="X153" s="1974"/>
      <c r="Y153" s="1979" t="s">
        <v>2624</v>
      </c>
      <c r="AE153" s="1921">
        <v>2010</v>
      </c>
      <c r="AF153" s="1144" t="s">
        <v>100</v>
      </c>
      <c r="AG153" s="1144"/>
      <c r="AH153" s="1144"/>
      <c r="AI153" s="1144" t="s">
        <v>2625</v>
      </c>
      <c r="AJ153" s="1144" t="s">
        <v>2626</v>
      </c>
      <c r="AK153" s="1144"/>
      <c r="AL153" s="1144" t="s">
        <v>2627</v>
      </c>
      <c r="AM153" s="1144" t="s">
        <v>1390</v>
      </c>
      <c r="AN153" s="1144" t="s">
        <v>2628</v>
      </c>
      <c r="AO153" s="1922" t="s">
        <v>2629</v>
      </c>
      <c r="AP153" s="1922" t="s">
        <v>2630</v>
      </c>
      <c r="AQ153" s="1145" t="s">
        <v>2618</v>
      </c>
      <c r="AR153" s="1704" t="s">
        <v>2609</v>
      </c>
      <c r="AT153" s="1921">
        <v>2010</v>
      </c>
    </row>
    <row r="154" ht="17.25" customHeight="1" spans="1:46">
      <c r="A154" s="1723" t="s">
        <v>2631</v>
      </c>
      <c r="B154" s="1723" t="s">
        <v>2631</v>
      </c>
      <c r="C154" s="1848" t="s">
        <v>2364</v>
      </c>
      <c r="D154" s="1704" t="s">
        <v>2620</v>
      </c>
      <c r="E154" s="1704" t="s">
        <v>2610</v>
      </c>
      <c r="F154" s="1704" t="s">
        <v>2632</v>
      </c>
      <c r="G154" s="1704" t="s">
        <v>100</v>
      </c>
      <c r="H154" s="1704" t="s">
        <v>100</v>
      </c>
      <c r="I154" s="1704" t="s">
        <v>2521</v>
      </c>
      <c r="J154" s="1704" t="s">
        <v>100</v>
      </c>
      <c r="K154" s="1792" t="s">
        <v>100</v>
      </c>
      <c r="L154" s="1167"/>
      <c r="M154" s="1973">
        <v>41</v>
      </c>
      <c r="N154" s="1974" t="s">
        <v>2633</v>
      </c>
      <c r="O154" s="1974"/>
      <c r="P154" s="1974"/>
      <c r="Q154" s="1974"/>
      <c r="R154" s="1977"/>
      <c r="S154" s="1250">
        <v>41</v>
      </c>
      <c r="T154" s="1974" t="s">
        <v>2634</v>
      </c>
      <c r="U154" s="1974"/>
      <c r="V154" s="1974"/>
      <c r="W154" s="1974"/>
      <c r="X154" s="1974"/>
      <c r="Y154" s="1979" t="s">
        <v>237</v>
      </c>
      <c r="AE154" s="1921">
        <v>2011</v>
      </c>
      <c r="AF154" s="1144" t="s">
        <v>2635</v>
      </c>
      <c r="AG154" s="1144"/>
      <c r="AH154" s="1144"/>
      <c r="AI154" s="1144" t="s">
        <v>100</v>
      </c>
      <c r="AJ154" s="1144"/>
      <c r="AK154" s="1144"/>
      <c r="AL154" s="1144" t="s">
        <v>2627</v>
      </c>
      <c r="AM154" s="1144" t="s">
        <v>1399</v>
      </c>
      <c r="AN154" s="1144" t="s">
        <v>2636</v>
      </c>
      <c r="AO154" s="1922" t="s">
        <v>2637</v>
      </c>
      <c r="AP154" s="1922" t="s">
        <v>2630</v>
      </c>
      <c r="AQ154" s="1145" t="s">
        <v>2618</v>
      </c>
      <c r="AR154" s="1704" t="s">
        <v>2609</v>
      </c>
      <c r="AT154" s="1921">
        <v>2011</v>
      </c>
    </row>
    <row r="155" ht="17.25" customHeight="1" spans="1:46">
      <c r="A155" s="1723" t="s">
        <v>2638</v>
      </c>
      <c r="B155" s="1723" t="s">
        <v>2638</v>
      </c>
      <c r="C155" s="1848" t="s">
        <v>2364</v>
      </c>
      <c r="D155" s="1704" t="s">
        <v>2620</v>
      </c>
      <c r="E155" s="1704" t="s">
        <v>2610</v>
      </c>
      <c r="F155" s="1704" t="s">
        <v>2639</v>
      </c>
      <c r="G155" s="1704" t="s">
        <v>100</v>
      </c>
      <c r="H155" s="1704" t="s">
        <v>100</v>
      </c>
      <c r="I155" s="1704" t="s">
        <v>2521</v>
      </c>
      <c r="J155" s="1704" t="s">
        <v>100</v>
      </c>
      <c r="K155" s="1792" t="s">
        <v>100</v>
      </c>
      <c r="L155" s="1167"/>
      <c r="M155" s="1973">
        <v>42</v>
      </c>
      <c r="N155" s="1974" t="s">
        <v>2640</v>
      </c>
      <c r="O155" s="1974"/>
      <c r="P155" s="1974"/>
      <c r="Q155" s="1974"/>
      <c r="R155" s="1977"/>
      <c r="S155" s="1250">
        <v>42</v>
      </c>
      <c r="T155" s="1974" t="s">
        <v>2641</v>
      </c>
      <c r="U155" s="1974"/>
      <c r="V155" s="1974"/>
      <c r="W155" s="1974"/>
      <c r="X155" s="1974"/>
      <c r="Y155" s="1979" t="s">
        <v>2642</v>
      </c>
      <c r="AE155" s="1921">
        <v>2012</v>
      </c>
      <c r="AF155" s="1144" t="s">
        <v>1621</v>
      </c>
      <c r="AG155" s="1144" t="s">
        <v>2643</v>
      </c>
      <c r="AH155" s="1144" t="s">
        <v>2644</v>
      </c>
      <c r="AI155" s="1144" t="s">
        <v>2645</v>
      </c>
      <c r="AJ155" s="1144"/>
      <c r="AK155" s="1144"/>
      <c r="AL155" s="1144" t="s">
        <v>2627</v>
      </c>
      <c r="AM155" s="1144" t="s">
        <v>1406</v>
      </c>
      <c r="AN155" s="1144" t="s">
        <v>2646</v>
      </c>
      <c r="AO155" s="1922" t="s">
        <v>2647</v>
      </c>
      <c r="AP155" s="1922" t="s">
        <v>2630</v>
      </c>
      <c r="AQ155" s="1145" t="s">
        <v>2648</v>
      </c>
      <c r="AR155" s="1145" t="s">
        <v>2649</v>
      </c>
      <c r="AS155" s="1704" t="s">
        <v>2650</v>
      </c>
      <c r="AT155" s="1921">
        <v>2012</v>
      </c>
    </row>
    <row r="156" ht="17.25" customHeight="1" spans="1:61">
      <c r="A156" s="1723" t="s">
        <v>2651</v>
      </c>
      <c r="B156" s="1723" t="s">
        <v>2651</v>
      </c>
      <c r="C156" s="1848" t="s">
        <v>2478</v>
      </c>
      <c r="D156" s="1704" t="s">
        <v>2620</v>
      </c>
      <c r="E156" s="1704" t="s">
        <v>2610</v>
      </c>
      <c r="F156" s="1704" t="s">
        <v>2652</v>
      </c>
      <c r="G156" s="1704" t="s">
        <v>100</v>
      </c>
      <c r="H156" s="1704" t="s">
        <v>100</v>
      </c>
      <c r="I156" s="1704" t="s">
        <v>2521</v>
      </c>
      <c r="J156" s="1704" t="s">
        <v>100</v>
      </c>
      <c r="K156" s="1792" t="s">
        <v>100</v>
      </c>
      <c r="L156" s="1167"/>
      <c r="M156" s="1973">
        <v>43</v>
      </c>
      <c r="N156" s="1974" t="s">
        <v>2653</v>
      </c>
      <c r="O156" s="1974"/>
      <c r="P156" s="1974"/>
      <c r="Q156" s="1974"/>
      <c r="R156" s="1977"/>
      <c r="S156" s="1250">
        <v>43</v>
      </c>
      <c r="T156" s="1974" t="s">
        <v>2654</v>
      </c>
      <c r="U156" s="1974"/>
      <c r="V156" s="1974"/>
      <c r="W156" s="1974"/>
      <c r="X156" s="1974"/>
      <c r="Y156" s="1979" t="s">
        <v>2655</v>
      </c>
      <c r="AE156" s="1921">
        <v>2013</v>
      </c>
      <c r="AF156" s="1996" t="s">
        <v>2656</v>
      </c>
      <c r="AG156" s="1996" t="s">
        <v>2657</v>
      </c>
      <c r="AH156" s="1996"/>
      <c r="AI156" s="1996" t="s">
        <v>2658</v>
      </c>
      <c r="AJ156" s="1704" t="s">
        <v>2659</v>
      </c>
      <c r="AK156" s="1996" t="s">
        <v>2660</v>
      </c>
      <c r="AL156" s="1144" t="s">
        <v>2627</v>
      </c>
      <c r="AM156" s="1144" t="s">
        <v>1417</v>
      </c>
      <c r="AN156" s="1144" t="s">
        <v>2661</v>
      </c>
      <c r="AO156" s="1998" t="s">
        <v>2662</v>
      </c>
      <c r="AP156" s="1922" t="s">
        <v>2630</v>
      </c>
      <c r="AQ156" s="1996" t="s">
        <v>2648</v>
      </c>
      <c r="AR156" s="1145" t="s">
        <v>2663</v>
      </c>
      <c r="AT156" s="1921">
        <v>2013</v>
      </c>
      <c r="BD156" s="2001"/>
      <c r="BE156" s="2001"/>
      <c r="BF156" s="2001"/>
      <c r="BG156" s="2001"/>
      <c r="BH156" s="2001"/>
      <c r="BI156" s="2001"/>
    </row>
    <row r="157" ht="17.25" customHeight="1" spans="1:70">
      <c r="A157" s="1723" t="s">
        <v>2664</v>
      </c>
      <c r="B157" s="1723" t="s">
        <v>2664</v>
      </c>
      <c r="C157" s="1848" t="s">
        <v>2478</v>
      </c>
      <c r="D157" s="1704" t="s">
        <v>2620</v>
      </c>
      <c r="E157" s="1704" t="s">
        <v>2610</v>
      </c>
      <c r="F157" s="1704" t="s">
        <v>2665</v>
      </c>
      <c r="G157" s="1704" t="s">
        <v>100</v>
      </c>
      <c r="H157" s="1704" t="s">
        <v>100</v>
      </c>
      <c r="I157" s="1704" t="s">
        <v>2521</v>
      </c>
      <c r="J157" s="1704" t="s">
        <v>100</v>
      </c>
      <c r="K157" s="1792" t="s">
        <v>100</v>
      </c>
      <c r="L157" s="1167"/>
      <c r="M157" s="1973">
        <v>44</v>
      </c>
      <c r="N157" s="1974" t="s">
        <v>2666</v>
      </c>
      <c r="O157" s="1974"/>
      <c r="P157" s="1974"/>
      <c r="Q157" s="1974"/>
      <c r="R157" s="1977"/>
      <c r="S157" s="1250">
        <v>44</v>
      </c>
      <c r="T157" s="1974" t="s">
        <v>2667</v>
      </c>
      <c r="U157" s="1974"/>
      <c r="V157" s="1974"/>
      <c r="W157" s="1974"/>
      <c r="X157" s="1974"/>
      <c r="Y157" s="1979" t="s">
        <v>2668</v>
      </c>
      <c r="AE157" s="1921">
        <v>2014</v>
      </c>
      <c r="AF157" s="1704" t="s">
        <v>2669</v>
      </c>
      <c r="AG157" s="1704" t="s">
        <v>2670</v>
      </c>
      <c r="AH157" s="1704" t="s">
        <v>2671</v>
      </c>
      <c r="AI157" s="1704" t="s">
        <v>2672</v>
      </c>
      <c r="AJ157" s="1704" t="s">
        <v>2673</v>
      </c>
      <c r="AK157" s="1704" t="s">
        <v>2674</v>
      </c>
      <c r="AL157" s="1144" t="s">
        <v>2627</v>
      </c>
      <c r="AM157" s="1144" t="s">
        <v>1433</v>
      </c>
      <c r="AN157" s="1144" t="s">
        <v>2675</v>
      </c>
      <c r="AO157" s="1145" t="s">
        <v>2676</v>
      </c>
      <c r="AP157" s="1922" t="s">
        <v>2630</v>
      </c>
      <c r="AQ157" s="1704" t="s">
        <v>2648</v>
      </c>
      <c r="AR157" s="1145" t="s">
        <v>2677</v>
      </c>
      <c r="AT157" s="1921">
        <v>2014</v>
      </c>
      <c r="BB157" s="2002"/>
      <c r="BC157" s="2003"/>
      <c r="BD157" s="2003"/>
      <c r="BE157" s="2003"/>
      <c r="BF157" s="2003"/>
      <c r="BG157" s="2003"/>
      <c r="BH157" s="2003"/>
      <c r="BI157" s="2003"/>
      <c r="BK157" s="2005"/>
      <c r="BL157" s="2005"/>
      <c r="BM157" s="2005"/>
      <c r="BN157" s="2005"/>
      <c r="BO157" s="2005"/>
      <c r="BP157" s="2005"/>
      <c r="BQ157" s="2005"/>
      <c r="BR157" s="2005"/>
    </row>
    <row r="158" ht="17.25" customHeight="1" spans="1:70">
      <c r="A158" s="1723" t="s">
        <v>2678</v>
      </c>
      <c r="B158" s="1723" t="s">
        <v>140</v>
      </c>
      <c r="C158" s="1848" t="s">
        <v>2378</v>
      </c>
      <c r="D158" s="1704" t="s">
        <v>2620</v>
      </c>
      <c r="E158" s="1704" t="s">
        <v>2610</v>
      </c>
      <c r="F158" s="1704" t="s">
        <v>2679</v>
      </c>
      <c r="G158" s="1704" t="s">
        <v>100</v>
      </c>
      <c r="H158" s="1704" t="s">
        <v>100</v>
      </c>
      <c r="I158" s="1704" t="s">
        <v>2521</v>
      </c>
      <c r="J158" s="1704" t="s">
        <v>100</v>
      </c>
      <c r="K158" s="1792" t="s">
        <v>100</v>
      </c>
      <c r="L158" s="1167"/>
      <c r="M158" s="1973">
        <v>45</v>
      </c>
      <c r="N158" s="1974" t="s">
        <v>2680</v>
      </c>
      <c r="O158" s="1974"/>
      <c r="P158" s="1974"/>
      <c r="Q158" s="1974"/>
      <c r="R158" s="1977"/>
      <c r="S158" s="1250">
        <v>45</v>
      </c>
      <c r="T158" s="1974" t="s">
        <v>2681</v>
      </c>
      <c r="U158" s="1974"/>
      <c r="V158" s="1974"/>
      <c r="W158" s="1974"/>
      <c r="X158" s="1974"/>
      <c r="Y158" s="1979" t="s">
        <v>2682</v>
      </c>
      <c r="Z158" s="1704" t="s">
        <v>2683</v>
      </c>
      <c r="AA158" s="1704" t="s">
        <v>2684</v>
      </c>
      <c r="AE158" s="1921">
        <v>2015</v>
      </c>
      <c r="AF158" s="1704" t="s">
        <v>2685</v>
      </c>
      <c r="AI158" s="1704" t="s">
        <v>2686</v>
      </c>
      <c r="AJ158" s="1704" t="s">
        <v>2687</v>
      </c>
      <c r="AL158" s="1144" t="s">
        <v>2627</v>
      </c>
      <c r="AM158" s="1144" t="s">
        <v>1450</v>
      </c>
      <c r="AN158" s="1144" t="s">
        <v>2688</v>
      </c>
      <c r="AO158" s="1145" t="s">
        <v>2689</v>
      </c>
      <c r="AP158" s="1922" t="s">
        <v>2630</v>
      </c>
      <c r="AQ158" s="1704" t="s">
        <v>2648</v>
      </c>
      <c r="AR158" s="1145" t="s">
        <v>2690</v>
      </c>
      <c r="AT158" s="1921">
        <v>2015</v>
      </c>
      <c r="BB158" s="2002"/>
      <c r="BC158" s="2003"/>
      <c r="BD158" s="2003"/>
      <c r="BE158" s="2003"/>
      <c r="BF158" s="2003"/>
      <c r="BG158" s="2003"/>
      <c r="BH158" s="2003"/>
      <c r="BI158" s="2003"/>
      <c r="BJ158" s="2005"/>
      <c r="BK158" s="2005"/>
      <c r="BL158" s="2005"/>
      <c r="BM158" s="2005"/>
      <c r="BN158" s="2005"/>
      <c r="BO158" s="2005"/>
      <c r="BP158" s="2005"/>
      <c r="BQ158" s="2005"/>
      <c r="BR158" s="2005"/>
    </row>
    <row r="159" ht="17.25" customHeight="1" spans="2:70">
      <c r="B159" s="1723" t="s">
        <v>2678</v>
      </c>
      <c r="C159" s="1848" t="s">
        <v>2478</v>
      </c>
      <c r="D159" s="1704" t="s">
        <v>2620</v>
      </c>
      <c r="E159" s="1704" t="s">
        <v>2610</v>
      </c>
      <c r="F159" s="1704" t="s">
        <v>2691</v>
      </c>
      <c r="G159" s="1704" t="s">
        <v>100</v>
      </c>
      <c r="H159" s="1704" t="s">
        <v>100</v>
      </c>
      <c r="I159" s="1704" t="s">
        <v>2521</v>
      </c>
      <c r="J159" s="1704" t="s">
        <v>100</v>
      </c>
      <c r="K159" s="1792" t="s">
        <v>100</v>
      </c>
      <c r="L159" s="1167"/>
      <c r="M159" s="1973">
        <v>46</v>
      </c>
      <c r="N159" s="1974" t="s">
        <v>2692</v>
      </c>
      <c r="O159" s="1974"/>
      <c r="P159" s="1974"/>
      <c r="Q159" s="1974"/>
      <c r="R159" s="1977"/>
      <c r="S159" s="1250">
        <v>46</v>
      </c>
      <c r="T159" s="1974" t="s">
        <v>2693</v>
      </c>
      <c r="U159" s="1974"/>
      <c r="V159" s="1974"/>
      <c r="W159" s="1974"/>
      <c r="X159" s="1974"/>
      <c r="Y159" s="1979" t="s">
        <v>2694</v>
      </c>
      <c r="Z159" s="1704" t="s">
        <v>2695</v>
      </c>
      <c r="AA159" s="1704" t="s">
        <v>2696</v>
      </c>
      <c r="AE159" s="1921">
        <v>2016</v>
      </c>
      <c r="AF159" s="1704" t="s">
        <v>2697</v>
      </c>
      <c r="AI159" s="1704" t="s">
        <v>100</v>
      </c>
      <c r="AL159" s="1144" t="s">
        <v>2627</v>
      </c>
      <c r="AM159" s="1144" t="s">
        <v>1466</v>
      </c>
      <c r="AN159" s="1144" t="s">
        <v>2698</v>
      </c>
      <c r="AO159" s="1145" t="s">
        <v>2699</v>
      </c>
      <c r="AP159" s="1922" t="s">
        <v>2630</v>
      </c>
      <c r="AR159" s="1145" t="s">
        <v>2700</v>
      </c>
      <c r="AS159" s="1704" t="s">
        <v>2648</v>
      </c>
      <c r="AT159" s="1921">
        <v>2016</v>
      </c>
      <c r="BB159" s="2002"/>
      <c r="BC159" s="2003"/>
      <c r="BD159" s="2003"/>
      <c r="BE159" s="2003"/>
      <c r="BF159" s="2003"/>
      <c r="BG159" s="2003"/>
      <c r="BH159" s="2003"/>
      <c r="BI159" s="2003"/>
      <c r="BJ159" s="2005"/>
      <c r="BK159" s="2005"/>
      <c r="BL159" s="2005"/>
      <c r="BM159" s="2005"/>
      <c r="BN159" s="2005"/>
      <c r="BO159" s="2005"/>
      <c r="BP159" s="2005"/>
      <c r="BQ159" s="2005"/>
      <c r="BR159" s="2005"/>
    </row>
    <row r="160" ht="17.25" customHeight="1" spans="2:70">
      <c r="B160" s="1723" t="s">
        <v>2050</v>
      </c>
      <c r="C160" s="1848" t="s">
        <v>237</v>
      </c>
      <c r="D160" s="1704" t="s">
        <v>237</v>
      </c>
      <c r="E160" s="1704" t="s">
        <v>237</v>
      </c>
      <c r="F160" s="1704" t="s">
        <v>237</v>
      </c>
      <c r="G160" s="1704" t="s">
        <v>237</v>
      </c>
      <c r="H160" s="1704" t="s">
        <v>237</v>
      </c>
      <c r="I160" s="1704" t="s">
        <v>237</v>
      </c>
      <c r="J160" s="1704" t="s">
        <v>237</v>
      </c>
      <c r="K160" s="1792" t="s">
        <v>237</v>
      </c>
      <c r="L160" s="1167"/>
      <c r="M160" s="1973">
        <v>47</v>
      </c>
      <c r="N160" s="1974" t="s">
        <v>2701</v>
      </c>
      <c r="O160" s="1974"/>
      <c r="P160" s="1974"/>
      <c r="Q160" s="1974"/>
      <c r="R160" s="1977"/>
      <c r="S160" s="1250">
        <v>47</v>
      </c>
      <c r="T160" s="1974" t="s">
        <v>2702</v>
      </c>
      <c r="U160" s="1974"/>
      <c r="V160" s="1974"/>
      <c r="W160" s="1974"/>
      <c r="X160" s="1974"/>
      <c r="Y160" s="1979" t="s">
        <v>2703</v>
      </c>
      <c r="Z160" s="1704" t="s">
        <v>2704</v>
      </c>
      <c r="AE160" s="1921">
        <v>2017</v>
      </c>
      <c r="AF160" s="1704" t="s">
        <v>2705</v>
      </c>
      <c r="AG160" s="1704" t="s">
        <v>2706</v>
      </c>
      <c r="AI160" s="1704" t="s">
        <v>100</v>
      </c>
      <c r="AL160" s="1144" t="s">
        <v>2627</v>
      </c>
      <c r="AM160" s="1144" t="s">
        <v>1479</v>
      </c>
      <c r="AN160" s="1144" t="s">
        <v>2707</v>
      </c>
      <c r="AO160" s="1145" t="s">
        <v>2708</v>
      </c>
      <c r="AP160" s="1144" t="s">
        <v>2709</v>
      </c>
      <c r="AR160" s="1145" t="s">
        <v>2700</v>
      </c>
      <c r="AT160" s="1921">
        <v>2017</v>
      </c>
      <c r="BB160" s="2002"/>
      <c r="BC160" s="2003"/>
      <c r="BD160" s="2003"/>
      <c r="BE160" s="2003"/>
      <c r="BF160" s="2003"/>
      <c r="BG160" s="2003"/>
      <c r="BH160" s="2003"/>
      <c r="BI160" s="2003"/>
      <c r="BJ160" s="2005"/>
      <c r="BK160" s="2005"/>
      <c r="BL160" s="2005"/>
      <c r="BM160" s="2005"/>
      <c r="BN160" s="2005"/>
      <c r="BO160" s="2005"/>
      <c r="BP160" s="2005"/>
      <c r="BQ160" s="2005"/>
      <c r="BR160" s="2005"/>
    </row>
    <row r="161" ht="17.25" customHeight="1" spans="2:70">
      <c r="B161" s="1869" t="s">
        <v>149</v>
      </c>
      <c r="C161" s="1848" t="s">
        <v>2710</v>
      </c>
      <c r="D161" s="1704" t="s">
        <v>100</v>
      </c>
      <c r="E161" s="1704" t="s">
        <v>2711</v>
      </c>
      <c r="F161" s="1704" t="s">
        <v>2712</v>
      </c>
      <c r="G161" s="1704" t="s">
        <v>100</v>
      </c>
      <c r="H161" s="1704" t="s">
        <v>100</v>
      </c>
      <c r="I161" s="1704" t="s">
        <v>2713</v>
      </c>
      <c r="J161" s="1704" t="s">
        <v>2714</v>
      </c>
      <c r="K161" s="1792" t="s">
        <v>2715</v>
      </c>
      <c r="L161" s="1167"/>
      <c r="M161" s="1973">
        <v>48</v>
      </c>
      <c r="N161" s="1974" t="s">
        <v>2716</v>
      </c>
      <c r="O161" s="1974"/>
      <c r="P161" s="1974"/>
      <c r="Q161" s="1974"/>
      <c r="R161" s="1977"/>
      <c r="S161" s="1250">
        <v>48</v>
      </c>
      <c r="T161" s="1974" t="s">
        <v>2717</v>
      </c>
      <c r="U161" s="1974"/>
      <c r="V161" s="1974"/>
      <c r="W161" s="1974"/>
      <c r="X161" s="1974"/>
      <c r="Y161" s="1979" t="s">
        <v>237</v>
      </c>
      <c r="Z161" s="1995" t="s">
        <v>2718</v>
      </c>
      <c r="AA161" s="1704" t="s">
        <v>2719</v>
      </c>
      <c r="AE161" s="1921">
        <v>2018</v>
      </c>
      <c r="AF161" s="1704" t="s">
        <v>2720</v>
      </c>
      <c r="AG161" s="1704" t="s">
        <v>2721</v>
      </c>
      <c r="AI161" s="1704" t="s">
        <v>2722</v>
      </c>
      <c r="AL161" s="1144" t="s">
        <v>2627</v>
      </c>
      <c r="AM161" s="1144" t="s">
        <v>1496</v>
      </c>
      <c r="AN161" s="1144" t="s">
        <v>2723</v>
      </c>
      <c r="AO161" s="1145" t="s">
        <v>2724</v>
      </c>
      <c r="AP161" s="1144" t="s">
        <v>2725</v>
      </c>
      <c r="AR161" s="1145" t="s">
        <v>2700</v>
      </c>
      <c r="AT161" s="1921">
        <v>2018</v>
      </c>
      <c r="BB161" s="2002"/>
      <c r="BC161" s="2003"/>
      <c r="BD161" s="2003"/>
      <c r="BE161" s="2003"/>
      <c r="BF161" s="2003"/>
      <c r="BG161" s="2003"/>
      <c r="BH161" s="2003"/>
      <c r="BI161" s="2003"/>
      <c r="BJ161" s="2005"/>
      <c r="BK161" s="2005"/>
      <c r="BL161" s="2005"/>
      <c r="BM161" s="2005"/>
      <c r="BN161" s="2005"/>
      <c r="BO161" s="2005"/>
      <c r="BP161" s="2005"/>
      <c r="BQ161" s="2005"/>
      <c r="BR161" s="2005"/>
    </row>
    <row r="162" ht="17.25" customHeight="1" spans="2:70">
      <c r="B162" s="1869" t="s">
        <v>151</v>
      </c>
      <c r="C162" s="1848" t="s">
        <v>1996</v>
      </c>
      <c r="D162" s="1704" t="s">
        <v>100</v>
      </c>
      <c r="E162" s="1704" t="s">
        <v>100</v>
      </c>
      <c r="F162" s="1704" t="s">
        <v>2726</v>
      </c>
      <c r="G162" s="1704" t="s">
        <v>2727</v>
      </c>
      <c r="H162" s="1704" t="s">
        <v>2728</v>
      </c>
      <c r="I162" s="1704" t="s">
        <v>2729</v>
      </c>
      <c r="J162" s="1704" t="s">
        <v>2730</v>
      </c>
      <c r="K162" s="1792" t="s">
        <v>2731</v>
      </c>
      <c r="L162" s="1167"/>
      <c r="M162" s="1973">
        <v>49</v>
      </c>
      <c r="N162" s="1974" t="s">
        <v>2732</v>
      </c>
      <c r="O162" s="1974"/>
      <c r="P162" s="1974"/>
      <c r="Q162" s="1974"/>
      <c r="R162" s="1977"/>
      <c r="S162" s="1250">
        <v>49</v>
      </c>
      <c r="T162" s="1974" t="s">
        <v>2733</v>
      </c>
      <c r="U162" s="1974"/>
      <c r="V162" s="1974"/>
      <c r="W162" s="1974"/>
      <c r="X162" s="1974"/>
      <c r="Y162" s="1979" t="s">
        <v>2734</v>
      </c>
      <c r="Z162" s="1995" t="s">
        <v>2735</v>
      </c>
      <c r="AA162" s="1704" t="s">
        <v>2736</v>
      </c>
      <c r="AE162" s="1921">
        <v>2019</v>
      </c>
      <c r="AF162" s="1704" t="s">
        <v>2737</v>
      </c>
      <c r="AG162" s="1704" t="s">
        <v>2738</v>
      </c>
      <c r="AH162" s="1704" t="s">
        <v>2739</v>
      </c>
      <c r="AI162" s="1704" t="s">
        <v>2740</v>
      </c>
      <c r="AL162" s="1144" t="s">
        <v>2627</v>
      </c>
      <c r="AM162" s="1144" t="s">
        <v>1863</v>
      </c>
      <c r="AN162" s="1144" t="s">
        <v>2741</v>
      </c>
      <c r="AO162" s="1145" t="s">
        <v>2742</v>
      </c>
      <c r="AP162" s="1144" t="s">
        <v>2725</v>
      </c>
      <c r="AR162" s="1145" t="s">
        <v>2700</v>
      </c>
      <c r="AT162" s="1921">
        <v>2019</v>
      </c>
      <c r="BB162" s="2002"/>
      <c r="BC162" s="2003"/>
      <c r="BD162" s="2003"/>
      <c r="BE162" s="2003"/>
      <c r="BF162" s="2003"/>
      <c r="BG162" s="2003"/>
      <c r="BH162" s="2003"/>
      <c r="BI162" s="2003"/>
      <c r="BJ162" s="2005"/>
      <c r="BK162" s="2005"/>
      <c r="BL162" s="2005"/>
      <c r="BM162" s="2005"/>
      <c r="BN162" s="2005"/>
      <c r="BO162" s="2005"/>
      <c r="BP162" s="2005"/>
      <c r="BQ162" s="2005"/>
      <c r="BR162" s="2005"/>
    </row>
    <row r="163" ht="17.25" customHeight="1" spans="2:70">
      <c r="B163" s="1869" t="s">
        <v>154</v>
      </c>
      <c r="C163" s="1848" t="s">
        <v>2364</v>
      </c>
      <c r="D163" s="1704" t="s">
        <v>2365</v>
      </c>
      <c r="E163" s="1704" t="s">
        <v>2366</v>
      </c>
      <c r="F163" s="1704" t="s">
        <v>2743</v>
      </c>
      <c r="G163" s="1704" t="s">
        <v>2368</v>
      </c>
      <c r="H163" s="1704" t="s">
        <v>2369</v>
      </c>
      <c r="I163" s="1704" t="s">
        <v>2744</v>
      </c>
      <c r="J163" s="1704" t="s">
        <v>2745</v>
      </c>
      <c r="K163" s="1792" t="s">
        <v>2746</v>
      </c>
      <c r="L163" s="1167"/>
      <c r="M163" s="1973">
        <v>50</v>
      </c>
      <c r="N163" s="1974" t="s">
        <v>2747</v>
      </c>
      <c r="O163" s="1974"/>
      <c r="P163" s="1974"/>
      <c r="Q163" s="1974"/>
      <c r="R163" s="1977"/>
      <c r="S163" s="1250">
        <v>50</v>
      </c>
      <c r="T163" s="1974" t="s">
        <v>2748</v>
      </c>
      <c r="U163" s="1974"/>
      <c r="V163" s="1974"/>
      <c r="W163" s="1974"/>
      <c r="X163" s="1974"/>
      <c r="Y163" s="1979" t="s">
        <v>2749</v>
      </c>
      <c r="Z163" s="1625" t="s">
        <v>2750</v>
      </c>
      <c r="AA163" s="1704" t="s">
        <v>2751</v>
      </c>
      <c r="AE163" s="1921">
        <v>2020</v>
      </c>
      <c r="AF163" s="1704" t="s">
        <v>2752</v>
      </c>
      <c r="AG163" s="1704" t="s">
        <v>2753</v>
      </c>
      <c r="AH163" s="1704" t="s">
        <v>2754</v>
      </c>
      <c r="AI163" s="1704" t="s">
        <v>2755</v>
      </c>
      <c r="AJ163" s="1704" t="s">
        <v>2756</v>
      </c>
      <c r="AK163" s="1704" t="s">
        <v>2757</v>
      </c>
      <c r="AL163" s="1144" t="s">
        <v>2758</v>
      </c>
      <c r="AM163" s="1144" t="s">
        <v>1529</v>
      </c>
      <c r="AN163" s="1144" t="s">
        <v>2759</v>
      </c>
      <c r="AO163" s="1145" t="s">
        <v>2760</v>
      </c>
      <c r="AP163" s="1144" t="s">
        <v>2725</v>
      </c>
      <c r="AR163" s="1145" t="s">
        <v>2700</v>
      </c>
      <c r="AT163" s="1921">
        <v>2020</v>
      </c>
      <c r="AU163" s="1999"/>
      <c r="AV163" s="2000"/>
      <c r="AW163" s="2000"/>
      <c r="AX163" s="2000"/>
      <c r="AY163" s="2000"/>
      <c r="AZ163" s="2000"/>
      <c r="BA163" s="2000"/>
      <c r="BB163" s="2004"/>
      <c r="BC163" s="2003"/>
      <c r="BD163" s="2003"/>
      <c r="BE163" s="2003"/>
      <c r="BF163" s="2003"/>
      <c r="BG163" s="2003"/>
      <c r="BH163" s="2003"/>
      <c r="BI163" s="2003"/>
      <c r="BJ163" s="2005"/>
      <c r="BK163" s="2005"/>
      <c r="BL163" s="2005"/>
      <c r="BM163" s="2005"/>
      <c r="BN163" s="2005"/>
      <c r="BO163" s="2005"/>
      <c r="BP163" s="2005"/>
      <c r="BQ163" s="2005"/>
      <c r="BR163" s="2005"/>
    </row>
    <row r="164" ht="17.25" customHeight="1" spans="2:46">
      <c r="B164" s="1869" t="s">
        <v>156</v>
      </c>
      <c r="C164" s="1848" t="s">
        <v>2378</v>
      </c>
      <c r="D164" s="1704" t="s">
        <v>100</v>
      </c>
      <c r="E164" s="1704" t="s">
        <v>100</v>
      </c>
      <c r="F164" s="1704" t="s">
        <v>2761</v>
      </c>
      <c r="G164" s="1704" t="s">
        <v>2762</v>
      </c>
      <c r="H164" s="1704" t="s">
        <v>2763</v>
      </c>
      <c r="I164" s="1704" t="s">
        <v>2764</v>
      </c>
      <c r="J164" s="1704" t="s">
        <v>2765</v>
      </c>
      <c r="K164" s="1792" t="s">
        <v>2766</v>
      </c>
      <c r="L164" s="1167"/>
      <c r="M164" s="1973">
        <v>51</v>
      </c>
      <c r="N164" s="1974" t="s">
        <v>2767</v>
      </c>
      <c r="O164" s="1974"/>
      <c r="P164" s="1974"/>
      <c r="Q164" s="1974"/>
      <c r="R164" s="1977"/>
      <c r="S164" s="1250">
        <v>51</v>
      </c>
      <c r="T164" s="1974" t="s">
        <v>2768</v>
      </c>
      <c r="U164" s="1974"/>
      <c r="V164" s="1974"/>
      <c r="W164" s="1974"/>
      <c r="X164" s="1974"/>
      <c r="Y164" s="1979" t="s">
        <v>2769</v>
      </c>
      <c r="Z164" s="1704" t="s">
        <v>2770</v>
      </c>
      <c r="AA164" s="1704" t="s">
        <v>2771</v>
      </c>
      <c r="AE164" s="1921">
        <v>2021</v>
      </c>
      <c r="AF164" s="1704" t="s">
        <v>2131</v>
      </c>
      <c r="AG164" s="1704" t="s">
        <v>2772</v>
      </c>
      <c r="AH164" s="1704" t="s">
        <v>2773</v>
      </c>
      <c r="AI164" s="1704" t="s">
        <v>2774</v>
      </c>
      <c r="AJ164" s="1704" t="s">
        <v>2775</v>
      </c>
      <c r="AL164" s="1144" t="s">
        <v>2758</v>
      </c>
      <c r="AM164" s="1144" t="s">
        <v>1542</v>
      </c>
      <c r="AN164" s="1144" t="s">
        <v>2776</v>
      </c>
      <c r="AO164" s="1145" t="s">
        <v>2777</v>
      </c>
      <c r="AP164" s="1144" t="s">
        <v>2778</v>
      </c>
      <c r="AR164" s="1145" t="s">
        <v>2779</v>
      </c>
      <c r="AT164" s="1921">
        <v>2021</v>
      </c>
    </row>
    <row r="165" ht="31" spans="2:44">
      <c r="B165" s="1869" t="s">
        <v>1715</v>
      </c>
      <c r="C165" s="1848" t="s">
        <v>2011</v>
      </c>
      <c r="D165" s="1704" t="s">
        <v>2059</v>
      </c>
      <c r="E165" s="1704" t="s">
        <v>100</v>
      </c>
      <c r="F165" s="1704" t="s">
        <v>2780</v>
      </c>
      <c r="G165" s="1704" t="s">
        <v>2781</v>
      </c>
      <c r="H165" s="1704" t="s">
        <v>2782</v>
      </c>
      <c r="I165" s="1704" t="s">
        <v>2783</v>
      </c>
      <c r="J165" s="1704" t="s">
        <v>2784</v>
      </c>
      <c r="K165" s="1792" t="s">
        <v>2785</v>
      </c>
      <c r="L165" s="1167"/>
      <c r="M165" s="1973">
        <v>52</v>
      </c>
      <c r="N165" s="1974" t="s">
        <v>2786</v>
      </c>
      <c r="O165" s="1974"/>
      <c r="P165" s="1974"/>
      <c r="Q165" s="1974"/>
      <c r="R165" s="1977"/>
      <c r="S165" s="1250">
        <v>52</v>
      </c>
      <c r="T165" s="1974" t="s">
        <v>2787</v>
      </c>
      <c r="U165" s="1974"/>
      <c r="V165" s="1974"/>
      <c r="W165" s="1974"/>
      <c r="X165" s="1974"/>
      <c r="Y165" s="1979" t="s">
        <v>2788</v>
      </c>
      <c r="Z165" s="1704" t="s">
        <v>2789</v>
      </c>
      <c r="AE165" s="1921">
        <v>2022</v>
      </c>
      <c r="AF165" s="1704" t="s">
        <v>2790</v>
      </c>
      <c r="AG165" s="1704" t="s">
        <v>2791</v>
      </c>
      <c r="AH165" s="1704" t="s">
        <v>2792</v>
      </c>
      <c r="AI165" s="1704" t="s">
        <v>2793</v>
      </c>
      <c r="AJ165" s="1704" t="s">
        <v>2794</v>
      </c>
      <c r="AL165" s="1144" t="s">
        <v>2758</v>
      </c>
      <c r="AM165" s="1144" t="s">
        <v>1556</v>
      </c>
      <c r="AN165" s="1144" t="s">
        <v>2795</v>
      </c>
      <c r="AP165" s="1144" t="s">
        <v>2796</v>
      </c>
      <c r="AR165" s="1704" t="s">
        <v>2779</v>
      </c>
    </row>
    <row r="166" ht="46" spans="2:44">
      <c r="B166" s="1869" t="s">
        <v>164</v>
      </c>
      <c r="C166" s="1848" t="s">
        <v>2797</v>
      </c>
      <c r="D166" s="1704" t="s">
        <v>100</v>
      </c>
      <c r="E166" s="1704" t="s">
        <v>100</v>
      </c>
      <c r="F166" s="1704" t="s">
        <v>2798</v>
      </c>
      <c r="G166" s="1704" t="s">
        <v>100</v>
      </c>
      <c r="H166" s="1704" t="s">
        <v>100</v>
      </c>
      <c r="I166" s="1704" t="s">
        <v>2783</v>
      </c>
      <c r="J166" s="1704" t="s">
        <v>2784</v>
      </c>
      <c r="K166" s="1792" t="s">
        <v>2785</v>
      </c>
      <c r="L166" s="1167"/>
      <c r="M166" s="1973">
        <v>53</v>
      </c>
      <c r="N166" s="1974" t="s">
        <v>2799</v>
      </c>
      <c r="O166" s="1974"/>
      <c r="P166" s="1974"/>
      <c r="Q166" s="1974"/>
      <c r="R166" s="1977"/>
      <c r="S166" s="1250">
        <v>53</v>
      </c>
      <c r="T166" s="1974" t="s">
        <v>2800</v>
      </c>
      <c r="U166" s="1974"/>
      <c r="V166" s="1974"/>
      <c r="W166" s="1974"/>
      <c r="X166" s="1974"/>
      <c r="Y166" s="1979" t="s">
        <v>2801</v>
      </c>
      <c r="Z166" s="1704" t="s">
        <v>2802</v>
      </c>
      <c r="AA166" s="1704" t="s">
        <v>2803</v>
      </c>
      <c r="AE166" s="1921">
        <v>2023</v>
      </c>
      <c r="AF166" s="1704" t="s">
        <v>100</v>
      </c>
      <c r="AI166" s="1704" t="s">
        <v>100</v>
      </c>
      <c r="AL166" s="1144" t="s">
        <v>2758</v>
      </c>
      <c r="AM166" s="1144" t="s">
        <v>1571</v>
      </c>
      <c r="AN166" s="1144" t="s">
        <v>2804</v>
      </c>
      <c r="AP166" s="1144" t="s">
        <v>2796</v>
      </c>
      <c r="AR166" s="1704" t="s">
        <v>2779</v>
      </c>
    </row>
    <row r="167" ht="31" spans="2:40">
      <c r="B167" s="1869" t="s">
        <v>70</v>
      </c>
      <c r="C167" s="1848" t="s">
        <v>1996</v>
      </c>
      <c r="D167" s="1704" t="s">
        <v>100</v>
      </c>
      <c r="E167" s="1704" t="s">
        <v>100</v>
      </c>
      <c r="F167" s="1704" t="s">
        <v>2805</v>
      </c>
      <c r="G167" s="1704" t="s">
        <v>2806</v>
      </c>
      <c r="H167" s="1704" t="s">
        <v>2807</v>
      </c>
      <c r="I167" s="1704" t="s">
        <v>2808</v>
      </c>
      <c r="J167" s="1704" t="s">
        <v>2809</v>
      </c>
      <c r="K167" s="1792" t="s">
        <v>2810</v>
      </c>
      <c r="L167" s="1167"/>
      <c r="M167" s="1973">
        <v>54</v>
      </c>
      <c r="N167" s="1974" t="s">
        <v>2811</v>
      </c>
      <c r="O167" s="1974"/>
      <c r="P167" s="1974"/>
      <c r="Q167" s="1974"/>
      <c r="R167" s="1977"/>
      <c r="S167" s="1250">
        <v>54</v>
      </c>
      <c r="T167" s="1974" t="s">
        <v>2812</v>
      </c>
      <c r="U167" s="1974"/>
      <c r="V167" s="1974"/>
      <c r="W167" s="1974"/>
      <c r="X167" s="1974"/>
      <c r="Y167" s="1979" t="s">
        <v>2813</v>
      </c>
      <c r="Z167" s="1704" t="s">
        <v>2814</v>
      </c>
      <c r="AA167" s="1704" t="s">
        <v>2815</v>
      </c>
      <c r="AE167" s="1921">
        <v>2024</v>
      </c>
      <c r="AL167" s="1144" t="s">
        <v>2758</v>
      </c>
      <c r="AM167" s="1144" t="s">
        <v>1584</v>
      </c>
      <c r="AN167" s="1144" t="s">
        <v>2816</v>
      </c>
    </row>
    <row r="168" ht="31" spans="2:40">
      <c r="B168" s="1869" t="s">
        <v>72</v>
      </c>
      <c r="C168" s="1848" t="s">
        <v>2378</v>
      </c>
      <c r="D168" s="1704" t="s">
        <v>100</v>
      </c>
      <c r="E168" s="1704" t="s">
        <v>100</v>
      </c>
      <c r="F168" s="1704" t="s">
        <v>2817</v>
      </c>
      <c r="G168" s="1704" t="s">
        <v>2806</v>
      </c>
      <c r="H168" s="1704" t="s">
        <v>2807</v>
      </c>
      <c r="I168" s="1704" t="s">
        <v>2818</v>
      </c>
      <c r="J168" s="1704" t="s">
        <v>2819</v>
      </c>
      <c r="K168" s="1792" t="s">
        <v>2820</v>
      </c>
      <c r="L168" s="1167"/>
      <c r="M168" s="1973">
        <v>55</v>
      </c>
      <c r="N168" s="1974" t="s">
        <v>2821</v>
      </c>
      <c r="O168" s="1974"/>
      <c r="P168" s="1974"/>
      <c r="Q168" s="1974"/>
      <c r="R168" s="1977"/>
      <c r="S168" s="1250">
        <v>55</v>
      </c>
      <c r="T168" s="1974" t="s">
        <v>2822</v>
      </c>
      <c r="U168" s="1974"/>
      <c r="V168" s="1974"/>
      <c r="W168" s="1974"/>
      <c r="X168" s="1974"/>
      <c r="Y168" s="1979" t="s">
        <v>2823</v>
      </c>
      <c r="Z168" s="1704" t="s">
        <v>2824</v>
      </c>
      <c r="AA168" s="1704" t="s">
        <v>2825</v>
      </c>
      <c r="AE168" s="1921">
        <v>2025</v>
      </c>
      <c r="AL168" s="1144" t="s">
        <v>2758</v>
      </c>
      <c r="AM168" s="1144" t="s">
        <v>1597</v>
      </c>
      <c r="AN168" s="1144" t="s">
        <v>2826</v>
      </c>
    </row>
    <row r="169" ht="46" spans="2:40">
      <c r="B169" s="1869" t="s">
        <v>76</v>
      </c>
      <c r="C169" s="1848" t="s">
        <v>2378</v>
      </c>
      <c r="D169" s="1704" t="s">
        <v>100</v>
      </c>
      <c r="E169" s="1704" t="s">
        <v>2827</v>
      </c>
      <c r="F169" s="1990" t="s">
        <v>2828</v>
      </c>
      <c r="G169" s="1704" t="s">
        <v>2829</v>
      </c>
      <c r="H169" s="1704" t="s">
        <v>2830</v>
      </c>
      <c r="I169" s="1704" t="s">
        <v>2831</v>
      </c>
      <c r="J169" s="1704" t="s">
        <v>2832</v>
      </c>
      <c r="K169" s="1792" t="s">
        <v>2833</v>
      </c>
      <c r="L169" s="1167"/>
      <c r="M169" s="1973">
        <v>56</v>
      </c>
      <c r="N169" s="1974" t="s">
        <v>2834</v>
      </c>
      <c r="O169" s="1974"/>
      <c r="P169" s="1974"/>
      <c r="Q169" s="1974"/>
      <c r="R169" s="1977"/>
      <c r="S169" s="1250">
        <v>56</v>
      </c>
      <c r="T169" s="1974" t="s">
        <v>2835</v>
      </c>
      <c r="U169" s="1974"/>
      <c r="V169" s="1974"/>
      <c r="W169" s="1974"/>
      <c r="X169" s="1974"/>
      <c r="Y169" s="1979" t="s">
        <v>2836</v>
      </c>
      <c r="Z169" s="1995" t="s">
        <v>2837</v>
      </c>
      <c r="AA169" s="1704" t="s">
        <v>2838</v>
      </c>
      <c r="AE169" s="1921">
        <v>2026</v>
      </c>
      <c r="AL169" s="1144" t="s">
        <v>2758</v>
      </c>
      <c r="AM169" s="1144" t="s">
        <v>1607</v>
      </c>
      <c r="AN169" s="1144" t="s">
        <v>2839</v>
      </c>
    </row>
    <row r="170" ht="31" spans="2:40">
      <c r="B170" s="1869" t="s">
        <v>79</v>
      </c>
      <c r="C170" s="1848" t="s">
        <v>2011</v>
      </c>
      <c r="D170" s="1704" t="s">
        <v>100</v>
      </c>
      <c r="E170" s="1704" t="s">
        <v>100</v>
      </c>
      <c r="F170" s="1990" t="s">
        <v>2840</v>
      </c>
      <c r="G170" s="1704" t="s">
        <v>2841</v>
      </c>
      <c r="H170" s="1704" t="s">
        <v>2842</v>
      </c>
      <c r="I170" s="1704" t="s">
        <v>2843</v>
      </c>
      <c r="J170" s="1991" t="s">
        <v>2844</v>
      </c>
      <c r="K170" s="1792" t="s">
        <v>2845</v>
      </c>
      <c r="L170" s="1167"/>
      <c r="M170" s="1973">
        <v>57</v>
      </c>
      <c r="N170" s="1974" t="s">
        <v>2846</v>
      </c>
      <c r="O170" s="1974"/>
      <c r="P170" s="1974"/>
      <c r="Q170" s="1974"/>
      <c r="R170" s="1977"/>
      <c r="S170" s="1250">
        <v>57</v>
      </c>
      <c r="T170" s="1974" t="s">
        <v>2847</v>
      </c>
      <c r="U170" s="1974"/>
      <c r="V170" s="1974"/>
      <c r="W170" s="1974"/>
      <c r="X170" s="1974"/>
      <c r="Y170" s="1979" t="s">
        <v>237</v>
      </c>
      <c r="Z170" s="1995" t="s">
        <v>2848</v>
      </c>
      <c r="AA170" s="1704" t="s">
        <v>2849</v>
      </c>
      <c r="AE170" s="1921">
        <v>2027</v>
      </c>
      <c r="AL170" s="1144" t="s">
        <v>2758</v>
      </c>
      <c r="AM170" s="1144" t="s">
        <v>1614</v>
      </c>
      <c r="AN170" s="1144" t="s">
        <v>2850</v>
      </c>
    </row>
    <row r="171" ht="31" spans="2:40">
      <c r="B171" s="1869" t="s">
        <v>81</v>
      </c>
      <c r="C171" s="1848" t="s">
        <v>2478</v>
      </c>
      <c r="D171" s="1704" t="s">
        <v>100</v>
      </c>
      <c r="E171" s="1704" t="s">
        <v>100</v>
      </c>
      <c r="F171" s="1990" t="s">
        <v>2851</v>
      </c>
      <c r="G171" s="1704" t="s">
        <v>2852</v>
      </c>
      <c r="H171" s="1704" t="s">
        <v>2852</v>
      </c>
      <c r="I171" s="1704" t="s">
        <v>2853</v>
      </c>
      <c r="J171" s="1991" t="s">
        <v>2854</v>
      </c>
      <c r="K171" s="1792" t="s">
        <v>2855</v>
      </c>
      <c r="L171" s="1167"/>
      <c r="M171" s="1973">
        <v>58</v>
      </c>
      <c r="N171" s="1974" t="s">
        <v>2856</v>
      </c>
      <c r="O171" s="1974"/>
      <c r="P171" s="1974"/>
      <c r="Q171" s="1974"/>
      <c r="R171" s="1977"/>
      <c r="S171" s="1250">
        <v>58</v>
      </c>
      <c r="T171" s="1974" t="s">
        <v>2857</v>
      </c>
      <c r="U171" s="1974"/>
      <c r="V171" s="1974"/>
      <c r="W171" s="1974"/>
      <c r="X171" s="1974"/>
      <c r="Y171" s="1979" t="s">
        <v>2858</v>
      </c>
      <c r="Z171" s="1995" t="s">
        <v>2859</v>
      </c>
      <c r="AA171" s="1704" t="s">
        <v>2860</v>
      </c>
      <c r="AE171" s="1921">
        <v>2028</v>
      </c>
      <c r="AL171" s="1144" t="s">
        <v>2758</v>
      </c>
      <c r="AM171" s="1144" t="s">
        <v>1622</v>
      </c>
      <c r="AN171" s="1144" t="s">
        <v>2861</v>
      </c>
    </row>
    <row r="172" ht="31" spans="2:40">
      <c r="B172" s="1869" t="s">
        <v>83</v>
      </c>
      <c r="C172" s="1848" t="s">
        <v>2011</v>
      </c>
      <c r="D172" s="1704" t="s">
        <v>100</v>
      </c>
      <c r="E172" s="1704" t="s">
        <v>100</v>
      </c>
      <c r="F172" s="1990" t="s">
        <v>2862</v>
      </c>
      <c r="G172" s="1990" t="s">
        <v>2863</v>
      </c>
      <c r="H172" s="1990" t="s">
        <v>2864</v>
      </c>
      <c r="I172" s="1990" t="s">
        <v>2865</v>
      </c>
      <c r="J172" s="1992" t="s">
        <v>2866</v>
      </c>
      <c r="K172" s="1993" t="s">
        <v>2867</v>
      </c>
      <c r="L172" s="1167"/>
      <c r="M172" s="1973">
        <v>59</v>
      </c>
      <c r="N172" s="1974" t="s">
        <v>2868</v>
      </c>
      <c r="O172" s="1974"/>
      <c r="P172" s="1974"/>
      <c r="Q172" s="1974"/>
      <c r="R172" s="1977"/>
      <c r="S172" s="1250">
        <v>59</v>
      </c>
      <c r="T172" s="1974" t="s">
        <v>2869</v>
      </c>
      <c r="U172" s="1974"/>
      <c r="V172" s="1974"/>
      <c r="W172" s="1974"/>
      <c r="X172" s="1974"/>
      <c r="Y172" s="1979" t="s">
        <v>2870</v>
      </c>
      <c r="Z172" s="1995" t="s">
        <v>2871</v>
      </c>
      <c r="AA172" s="1704" t="s">
        <v>2872</v>
      </c>
      <c r="AE172" s="1921">
        <v>2029</v>
      </c>
      <c r="AL172" s="1144" t="s">
        <v>2758</v>
      </c>
      <c r="AM172" s="1144" t="s">
        <v>1631</v>
      </c>
      <c r="AN172" s="1144" t="s">
        <v>2873</v>
      </c>
    </row>
    <row r="173" ht="31" spans="2:40">
      <c r="B173" s="1869" t="s">
        <v>85</v>
      </c>
      <c r="C173" s="1848" t="s">
        <v>2478</v>
      </c>
      <c r="D173" s="1704" t="s">
        <v>100</v>
      </c>
      <c r="E173" s="1704" t="s">
        <v>100</v>
      </c>
      <c r="F173" s="1990" t="s">
        <v>2874</v>
      </c>
      <c r="G173" s="1990" t="s">
        <v>2875</v>
      </c>
      <c r="H173" s="1990" t="s">
        <v>2876</v>
      </c>
      <c r="I173" s="1990" t="s">
        <v>2877</v>
      </c>
      <c r="J173" s="1994" t="s">
        <v>2878</v>
      </c>
      <c r="K173" s="1993" t="s">
        <v>2879</v>
      </c>
      <c r="L173" s="1167"/>
      <c r="M173" s="1973">
        <v>60</v>
      </c>
      <c r="N173" s="1974" t="s">
        <v>2880</v>
      </c>
      <c r="O173" s="1974"/>
      <c r="P173" s="1974"/>
      <c r="Q173" s="1974"/>
      <c r="R173" s="1977"/>
      <c r="S173" s="1250">
        <v>60</v>
      </c>
      <c r="T173" s="1974" t="s">
        <v>2881</v>
      </c>
      <c r="U173" s="1974"/>
      <c r="V173" s="1974"/>
      <c r="W173" s="1974"/>
      <c r="X173" s="1974"/>
      <c r="Y173" s="1979" t="s">
        <v>2882</v>
      </c>
      <c r="Z173" s="1995" t="s">
        <v>2883</v>
      </c>
      <c r="AE173" s="1921">
        <v>2030</v>
      </c>
      <c r="AL173" s="1144" t="s">
        <v>2884</v>
      </c>
      <c r="AM173" s="1144" t="s">
        <v>1640</v>
      </c>
      <c r="AN173" s="1144" t="s">
        <v>2885</v>
      </c>
    </row>
    <row r="174" ht="31" spans="2:40">
      <c r="B174" s="1869" t="s">
        <v>88</v>
      </c>
      <c r="C174" s="1848" t="s">
        <v>2478</v>
      </c>
      <c r="D174" s="1704" t="s">
        <v>100</v>
      </c>
      <c r="E174" s="1704" t="s">
        <v>100</v>
      </c>
      <c r="F174" s="1990" t="s">
        <v>2886</v>
      </c>
      <c r="G174" s="1990" t="s">
        <v>2887</v>
      </c>
      <c r="H174" s="1990" t="s">
        <v>2888</v>
      </c>
      <c r="I174" s="1994" t="s">
        <v>2889</v>
      </c>
      <c r="J174" s="1994" t="s">
        <v>2890</v>
      </c>
      <c r="K174" s="1993" t="s">
        <v>2891</v>
      </c>
      <c r="L174" s="1167"/>
      <c r="M174" s="1973">
        <v>61</v>
      </c>
      <c r="N174" s="1974" t="s">
        <v>2892</v>
      </c>
      <c r="O174" s="1974"/>
      <c r="P174" s="1974"/>
      <c r="Q174" s="1974"/>
      <c r="R174" s="1977"/>
      <c r="S174" s="1250">
        <v>61</v>
      </c>
      <c r="T174" s="1974" t="s">
        <v>2893</v>
      </c>
      <c r="U174" s="1974"/>
      <c r="V174" s="1974"/>
      <c r="W174" s="1974"/>
      <c r="X174" s="1974"/>
      <c r="Y174" s="1979" t="s">
        <v>2894</v>
      </c>
      <c r="Z174" s="1995" t="s">
        <v>2895</v>
      </c>
      <c r="AA174" s="1704" t="s">
        <v>2896</v>
      </c>
      <c r="AE174" s="1921">
        <v>2031</v>
      </c>
      <c r="AL174" s="1144" t="s">
        <v>2884</v>
      </c>
      <c r="AM174" s="1144" t="s">
        <v>1651</v>
      </c>
      <c r="AN174" s="1144" t="s">
        <v>2897</v>
      </c>
    </row>
    <row r="175" ht="31" spans="2:40">
      <c r="B175" s="1869" t="s">
        <v>91</v>
      </c>
      <c r="C175" s="1848" t="s">
        <v>1996</v>
      </c>
      <c r="D175" s="1704" t="s">
        <v>100</v>
      </c>
      <c r="E175" s="1704" t="s">
        <v>100</v>
      </c>
      <c r="F175" s="1704" t="s">
        <v>2898</v>
      </c>
      <c r="G175" s="1704" t="s">
        <v>2899</v>
      </c>
      <c r="H175" s="1704" t="s">
        <v>2900</v>
      </c>
      <c r="I175" s="1991" t="s">
        <v>2901</v>
      </c>
      <c r="J175" s="1704" t="s">
        <v>2902</v>
      </c>
      <c r="K175" s="1792" t="s">
        <v>2903</v>
      </c>
      <c r="L175" s="1167"/>
      <c r="M175" s="1973">
        <v>62</v>
      </c>
      <c r="N175" s="1974" t="s">
        <v>2904</v>
      </c>
      <c r="O175" s="1974"/>
      <c r="P175" s="1974"/>
      <c r="Q175" s="1974"/>
      <c r="R175" s="1977"/>
      <c r="S175" s="1250">
        <v>62</v>
      </c>
      <c r="T175" s="1974" t="s">
        <v>2905</v>
      </c>
      <c r="U175" s="1974"/>
      <c r="V175" s="1974"/>
      <c r="W175" s="1974"/>
      <c r="X175" s="1974"/>
      <c r="Y175" s="1979" t="s">
        <v>237</v>
      </c>
      <c r="Z175" s="1995" t="s">
        <v>2906</v>
      </c>
      <c r="AA175" s="1704" t="s">
        <v>2907</v>
      </c>
      <c r="AE175" s="1921">
        <v>2032</v>
      </c>
      <c r="AL175" s="1144" t="s">
        <v>2884</v>
      </c>
      <c r="AM175" s="1144" t="s">
        <v>1664</v>
      </c>
      <c r="AN175" s="1144" t="s">
        <v>2908</v>
      </c>
    </row>
    <row r="176" ht="31" spans="2:40">
      <c r="B176" s="1869" t="s">
        <v>96</v>
      </c>
      <c r="C176" s="1848" t="s">
        <v>2011</v>
      </c>
      <c r="D176" s="1704" t="s">
        <v>100</v>
      </c>
      <c r="E176" s="1704" t="s">
        <v>100</v>
      </c>
      <c r="F176" s="1704" t="s">
        <v>2909</v>
      </c>
      <c r="G176" s="1704" t="s">
        <v>2910</v>
      </c>
      <c r="H176" s="1991" t="s">
        <v>2911</v>
      </c>
      <c r="I176" s="1991" t="s">
        <v>2912</v>
      </c>
      <c r="J176" s="1704" t="s">
        <v>2913</v>
      </c>
      <c r="K176" s="1792" t="s">
        <v>2914</v>
      </c>
      <c r="L176" s="1167"/>
      <c r="M176" s="1973">
        <v>63</v>
      </c>
      <c r="N176" s="1974" t="s">
        <v>2915</v>
      </c>
      <c r="O176" s="1974"/>
      <c r="P176" s="1974"/>
      <c r="Q176" s="1974"/>
      <c r="R176" s="1977"/>
      <c r="S176" s="1250">
        <v>63</v>
      </c>
      <c r="T176" s="1974" t="s">
        <v>2916</v>
      </c>
      <c r="U176" s="1974"/>
      <c r="V176" s="1974"/>
      <c r="W176" s="1974"/>
      <c r="X176" s="1974"/>
      <c r="Y176" s="1979" t="s">
        <v>2917</v>
      </c>
      <c r="Z176" s="1995" t="s">
        <v>2918</v>
      </c>
      <c r="AA176" s="1704" t="s">
        <v>2919</v>
      </c>
      <c r="AE176" s="1921">
        <v>2033</v>
      </c>
      <c r="AL176" s="1144" t="s">
        <v>2884</v>
      </c>
      <c r="AM176" s="1144" t="s">
        <v>1674</v>
      </c>
      <c r="AN176" s="1144" t="s">
        <v>2920</v>
      </c>
    </row>
    <row r="177" ht="46" spans="2:39">
      <c r="B177" s="1869" t="s">
        <v>103</v>
      </c>
      <c r="C177" s="1848" t="s">
        <v>2478</v>
      </c>
      <c r="D177" s="1704" t="s">
        <v>2365</v>
      </c>
      <c r="E177" s="1922" t="s">
        <v>2366</v>
      </c>
      <c r="F177" s="1704" t="s">
        <v>2921</v>
      </c>
      <c r="G177" s="1704" t="s">
        <v>2368</v>
      </c>
      <c r="H177" s="1704" t="s">
        <v>2369</v>
      </c>
      <c r="I177" s="1704" t="s">
        <v>2922</v>
      </c>
      <c r="J177" s="1704" t="s">
        <v>2923</v>
      </c>
      <c r="K177" s="1792" t="s">
        <v>2924</v>
      </c>
      <c r="L177" s="1167"/>
      <c r="M177" s="1973">
        <v>64</v>
      </c>
      <c r="N177" s="1974" t="s">
        <v>2925</v>
      </c>
      <c r="O177" s="1974"/>
      <c r="P177" s="1974"/>
      <c r="Q177" s="1974"/>
      <c r="R177" s="1977"/>
      <c r="S177" s="1250">
        <v>64</v>
      </c>
      <c r="T177" s="1974" t="s">
        <v>2926</v>
      </c>
      <c r="U177" s="1974"/>
      <c r="V177" s="1974"/>
      <c r="W177" s="1974"/>
      <c r="X177" s="1974"/>
      <c r="Y177" s="1979" t="s">
        <v>2927</v>
      </c>
      <c r="Z177" s="1995" t="s">
        <v>2928</v>
      </c>
      <c r="AA177" s="1704" t="s">
        <v>2929</v>
      </c>
      <c r="AE177" s="1921">
        <v>2034</v>
      </c>
      <c r="AL177" s="1144" t="s">
        <v>2884</v>
      </c>
      <c r="AM177" s="1144" t="s">
        <v>1681</v>
      </c>
    </row>
    <row r="178" ht="46" spans="2:39">
      <c r="B178" s="1869" t="s">
        <v>385</v>
      </c>
      <c r="C178" s="1848" t="s">
        <v>2011</v>
      </c>
      <c r="D178" s="1704" t="s">
        <v>2059</v>
      </c>
      <c r="E178" s="1704" t="s">
        <v>100</v>
      </c>
      <c r="F178" s="1704" t="s">
        <v>2930</v>
      </c>
      <c r="G178" s="1704" t="s">
        <v>100</v>
      </c>
      <c r="H178" s="1704" t="s">
        <v>100</v>
      </c>
      <c r="I178" s="1704" t="s">
        <v>100</v>
      </c>
      <c r="J178" s="1704" t="s">
        <v>100</v>
      </c>
      <c r="K178" s="1792" t="s">
        <v>100</v>
      </c>
      <c r="L178" s="1167"/>
      <c r="M178" s="1973">
        <v>65</v>
      </c>
      <c r="N178" s="1974" t="s">
        <v>2931</v>
      </c>
      <c r="O178" s="1974"/>
      <c r="P178" s="1974"/>
      <c r="Q178" s="1974"/>
      <c r="R178" s="1977"/>
      <c r="S178" s="1250">
        <v>65</v>
      </c>
      <c r="T178" s="1974" t="s">
        <v>2932</v>
      </c>
      <c r="U178" s="1974"/>
      <c r="V178" s="1974"/>
      <c r="W178" s="1974"/>
      <c r="X178" s="1974"/>
      <c r="Y178" s="1979" t="s">
        <v>2933</v>
      </c>
      <c r="Z178" s="1995" t="s">
        <v>2934</v>
      </c>
      <c r="AE178" s="1921">
        <v>2035</v>
      </c>
      <c r="AL178" s="1144" t="s">
        <v>2884</v>
      </c>
      <c r="AM178" s="1144" t="s">
        <v>1686</v>
      </c>
    </row>
    <row r="179" ht="31" spans="2:39">
      <c r="B179" s="1869" t="s">
        <v>112</v>
      </c>
      <c r="C179" s="1848" t="s">
        <v>2011</v>
      </c>
      <c r="D179" s="1704" t="s">
        <v>100</v>
      </c>
      <c r="E179" s="1704" t="s">
        <v>100</v>
      </c>
      <c r="F179" s="1704" t="s">
        <v>2935</v>
      </c>
      <c r="G179" s="1704" t="s">
        <v>2936</v>
      </c>
      <c r="H179" s="1704" t="s">
        <v>2937</v>
      </c>
      <c r="I179" s="1704" t="s">
        <v>2938</v>
      </c>
      <c r="J179" s="1704" t="s">
        <v>2939</v>
      </c>
      <c r="K179" s="1792" t="s">
        <v>2940</v>
      </c>
      <c r="L179" s="1167"/>
      <c r="M179" s="1973">
        <v>66</v>
      </c>
      <c r="N179" s="1974" t="s">
        <v>2941</v>
      </c>
      <c r="O179" s="1974"/>
      <c r="P179" s="1974"/>
      <c r="Q179" s="1974"/>
      <c r="R179" s="1977"/>
      <c r="S179" s="1250">
        <v>66</v>
      </c>
      <c r="T179" s="1974" t="s">
        <v>2942</v>
      </c>
      <c r="U179" s="1974"/>
      <c r="V179" s="1974"/>
      <c r="W179" s="1974"/>
      <c r="X179" s="1974"/>
      <c r="Y179" s="1979" t="s">
        <v>237</v>
      </c>
      <c r="Z179" s="1995" t="s">
        <v>2943</v>
      </c>
      <c r="AA179" s="1704" t="s">
        <v>2944</v>
      </c>
      <c r="AE179" s="1921">
        <v>2036</v>
      </c>
      <c r="AL179" s="1144" t="s">
        <v>2884</v>
      </c>
      <c r="AM179" s="1144" t="s">
        <v>1694</v>
      </c>
    </row>
    <row r="180" ht="31" spans="2:39">
      <c r="B180" s="1869" t="s">
        <v>114</v>
      </c>
      <c r="C180" s="1848" t="s">
        <v>2478</v>
      </c>
      <c r="D180" s="1704" t="s">
        <v>2365</v>
      </c>
      <c r="E180" s="1704" t="s">
        <v>2945</v>
      </c>
      <c r="F180" s="1704" t="s">
        <v>2946</v>
      </c>
      <c r="G180" s="1704" t="s">
        <v>2368</v>
      </c>
      <c r="H180" s="1704" t="s">
        <v>2369</v>
      </c>
      <c r="I180" s="1704" t="s">
        <v>2947</v>
      </c>
      <c r="J180" s="1704" t="s">
        <v>2948</v>
      </c>
      <c r="K180" s="1792" t="s">
        <v>2949</v>
      </c>
      <c r="L180" s="1167"/>
      <c r="M180" s="1973">
        <v>67</v>
      </c>
      <c r="N180" s="1974" t="s">
        <v>2950</v>
      </c>
      <c r="O180" s="1974"/>
      <c r="P180" s="1974"/>
      <c r="Q180" s="1974"/>
      <c r="R180" s="1977"/>
      <c r="S180" s="1250">
        <v>67</v>
      </c>
      <c r="T180" s="1974" t="s">
        <v>2951</v>
      </c>
      <c r="U180" s="1974"/>
      <c r="V180" s="1974"/>
      <c r="W180" s="1974"/>
      <c r="X180" s="1974"/>
      <c r="Y180" s="1979" t="s">
        <v>2952</v>
      </c>
      <c r="Z180" s="1704" t="s">
        <v>338</v>
      </c>
      <c r="AA180" s="1704" t="s">
        <v>2953</v>
      </c>
      <c r="AE180" s="1921">
        <v>2037</v>
      </c>
      <c r="AL180" s="1144" t="s">
        <v>2884</v>
      </c>
      <c r="AM180" s="1144" t="s">
        <v>1703</v>
      </c>
    </row>
    <row r="181" ht="46" spans="2:39">
      <c r="B181" s="1869" t="s">
        <v>117</v>
      </c>
      <c r="C181" s="1848" t="s">
        <v>1996</v>
      </c>
      <c r="D181" s="1704" t="s">
        <v>100</v>
      </c>
      <c r="E181" s="1704" t="s">
        <v>2954</v>
      </c>
      <c r="F181" s="1704" t="s">
        <v>2955</v>
      </c>
      <c r="G181" s="1704" t="s">
        <v>2956</v>
      </c>
      <c r="H181" s="1704" t="s">
        <v>2957</v>
      </c>
      <c r="I181" s="1704" t="s">
        <v>2958</v>
      </c>
      <c r="J181" s="1704" t="s">
        <v>2959</v>
      </c>
      <c r="K181" s="1792" t="s">
        <v>2960</v>
      </c>
      <c r="L181" s="1167"/>
      <c r="M181" s="1973">
        <v>68</v>
      </c>
      <c r="N181" s="1974" t="s">
        <v>2961</v>
      </c>
      <c r="O181" s="1974"/>
      <c r="P181" s="1974"/>
      <c r="Q181" s="1974"/>
      <c r="R181" s="1977"/>
      <c r="S181" s="1250">
        <v>68</v>
      </c>
      <c r="T181" s="1974" t="s">
        <v>2962</v>
      </c>
      <c r="U181" s="1974"/>
      <c r="V181" s="1974"/>
      <c r="W181" s="1974"/>
      <c r="X181" s="1974"/>
      <c r="Y181" s="1979" t="s">
        <v>2963</v>
      </c>
      <c r="AA181" s="1704" t="s">
        <v>2964</v>
      </c>
      <c r="AE181" s="1921">
        <v>2038</v>
      </c>
      <c r="AL181" s="1144" t="s">
        <v>2884</v>
      </c>
      <c r="AM181" s="1144" t="s">
        <v>1716</v>
      </c>
    </row>
    <row r="182" ht="31" spans="2:39">
      <c r="B182" s="1723" t="s">
        <v>2050</v>
      </c>
      <c r="C182" s="1848" t="s">
        <v>237</v>
      </c>
      <c r="D182" s="1704" t="s">
        <v>237</v>
      </c>
      <c r="E182" s="1704" t="s">
        <v>237</v>
      </c>
      <c r="F182" s="1704" t="s">
        <v>237</v>
      </c>
      <c r="G182" s="1704" t="s">
        <v>237</v>
      </c>
      <c r="H182" s="1704" t="s">
        <v>237</v>
      </c>
      <c r="I182" s="1704" t="s">
        <v>237</v>
      </c>
      <c r="J182" s="1704" t="s">
        <v>237</v>
      </c>
      <c r="K182" s="1792" t="s">
        <v>237</v>
      </c>
      <c r="L182" s="1167"/>
      <c r="M182" s="1973">
        <v>69</v>
      </c>
      <c r="N182" s="1974" t="s">
        <v>2965</v>
      </c>
      <c r="O182" s="1974"/>
      <c r="P182" s="1974"/>
      <c r="Q182" s="1974"/>
      <c r="R182" s="1977"/>
      <c r="S182" s="1250">
        <v>69</v>
      </c>
      <c r="T182" s="1974" t="s">
        <v>2966</v>
      </c>
      <c r="U182" s="1974"/>
      <c r="V182" s="1974"/>
      <c r="W182" s="1974"/>
      <c r="X182" s="1974"/>
      <c r="Y182" s="1979" t="s">
        <v>2967</v>
      </c>
      <c r="AA182" s="1704" t="s">
        <v>2968</v>
      </c>
      <c r="AE182" s="1921">
        <v>2039</v>
      </c>
      <c r="AL182" s="1144" t="s">
        <v>2884</v>
      </c>
      <c r="AM182" s="1144" t="s">
        <v>1724</v>
      </c>
    </row>
    <row r="183" ht="16.8" spans="2:39">
      <c r="B183" s="1871" t="s">
        <v>1860</v>
      </c>
      <c r="C183" s="1848" t="s">
        <v>2011</v>
      </c>
      <c r="D183" s="1704" t="s">
        <v>2059</v>
      </c>
      <c r="E183" s="1704" t="s">
        <v>100</v>
      </c>
      <c r="F183" s="1704" t="s">
        <v>2969</v>
      </c>
      <c r="G183" s="1704" t="s">
        <v>2970</v>
      </c>
      <c r="H183" s="1704" t="s">
        <v>2971</v>
      </c>
      <c r="I183" s="1704" t="s">
        <v>2972</v>
      </c>
      <c r="J183" s="1704" t="s">
        <v>2973</v>
      </c>
      <c r="K183" s="1792" t="s">
        <v>2974</v>
      </c>
      <c r="L183" s="1167"/>
      <c r="M183" s="1973">
        <v>70</v>
      </c>
      <c r="N183" s="1974" t="s">
        <v>2975</v>
      </c>
      <c r="O183" s="1974"/>
      <c r="P183" s="1974"/>
      <c r="Q183" s="1974"/>
      <c r="R183" s="1977"/>
      <c r="S183" s="1250">
        <v>70</v>
      </c>
      <c r="T183" s="1974" t="s">
        <v>2976</v>
      </c>
      <c r="U183" s="1974"/>
      <c r="V183" s="1974"/>
      <c r="W183" s="1974"/>
      <c r="X183" s="1974"/>
      <c r="Y183" s="1979" t="s">
        <v>237</v>
      </c>
      <c r="AA183" s="1704" t="s">
        <v>2977</v>
      </c>
      <c r="AE183" s="1921">
        <v>2040</v>
      </c>
      <c r="AL183" s="1192"/>
      <c r="AM183" s="1144" t="s">
        <v>1735</v>
      </c>
    </row>
    <row r="184" ht="31" spans="2:39">
      <c r="B184" s="1723" t="s">
        <v>2978</v>
      </c>
      <c r="C184" s="1848" t="s">
        <v>2011</v>
      </c>
      <c r="D184" s="1704" t="s">
        <v>2979</v>
      </c>
      <c r="E184" s="1704" t="s">
        <v>100</v>
      </c>
      <c r="F184" s="1704" t="s">
        <v>2980</v>
      </c>
      <c r="G184" s="1704" t="s">
        <v>2970</v>
      </c>
      <c r="H184" s="1704" t="s">
        <v>2971</v>
      </c>
      <c r="I184" s="1704" t="s">
        <v>2972</v>
      </c>
      <c r="J184" s="1704" t="s">
        <v>2973</v>
      </c>
      <c r="K184" s="1792" t="s">
        <v>2974</v>
      </c>
      <c r="L184" s="1167"/>
      <c r="M184" s="1973">
        <v>71</v>
      </c>
      <c r="N184" s="1974" t="s">
        <v>2981</v>
      </c>
      <c r="O184" s="1974"/>
      <c r="P184" s="1974"/>
      <c r="Q184" s="1974"/>
      <c r="R184" s="1977"/>
      <c r="S184" s="1250">
        <v>71</v>
      </c>
      <c r="T184" s="1974" t="s">
        <v>2982</v>
      </c>
      <c r="U184" s="1974"/>
      <c r="V184" s="1974"/>
      <c r="W184" s="1974"/>
      <c r="X184" s="1974"/>
      <c r="Y184" s="1979" t="s">
        <v>2983</v>
      </c>
      <c r="AA184" s="1704" t="s">
        <v>2984</v>
      </c>
      <c r="AE184" s="1921">
        <v>2041</v>
      </c>
      <c r="AL184" s="1192"/>
      <c r="AM184" s="1144" t="s">
        <v>1743</v>
      </c>
    </row>
    <row r="185" ht="46" spans="2:39">
      <c r="B185" s="1723" t="s">
        <v>2985</v>
      </c>
      <c r="C185" s="1848" t="s">
        <v>2011</v>
      </c>
      <c r="D185" s="1704" t="s">
        <v>2979</v>
      </c>
      <c r="E185" s="1704" t="s">
        <v>100</v>
      </c>
      <c r="F185" s="1704" t="s">
        <v>2986</v>
      </c>
      <c r="G185" s="1704" t="s">
        <v>2970</v>
      </c>
      <c r="H185" s="1704" t="s">
        <v>2971</v>
      </c>
      <c r="I185" s="1704" t="s">
        <v>2972</v>
      </c>
      <c r="J185" s="1704" t="s">
        <v>2973</v>
      </c>
      <c r="K185" s="1792" t="s">
        <v>2974</v>
      </c>
      <c r="L185" s="1167"/>
      <c r="M185" s="1973">
        <v>72</v>
      </c>
      <c r="N185" s="1974" t="s">
        <v>2987</v>
      </c>
      <c r="O185" s="1974"/>
      <c r="P185" s="1974"/>
      <c r="Q185" s="1974"/>
      <c r="R185" s="1977"/>
      <c r="S185" s="1250">
        <v>72</v>
      </c>
      <c r="T185" s="1974" t="s">
        <v>2988</v>
      </c>
      <c r="U185" s="1974"/>
      <c r="V185" s="1974"/>
      <c r="W185" s="1974"/>
      <c r="X185" s="1974"/>
      <c r="Y185" s="1979" t="s">
        <v>2989</v>
      </c>
      <c r="AE185" s="1921">
        <v>2042</v>
      </c>
      <c r="AL185" s="1192"/>
      <c r="AM185" s="1144" t="s">
        <v>1751</v>
      </c>
    </row>
    <row r="186" ht="46" spans="2:39">
      <c r="B186" s="1723" t="s">
        <v>2990</v>
      </c>
      <c r="C186" s="1848" t="s">
        <v>2011</v>
      </c>
      <c r="D186" s="1704" t="s">
        <v>2979</v>
      </c>
      <c r="E186" s="1704" t="s">
        <v>100</v>
      </c>
      <c r="F186" s="1704" t="s">
        <v>2991</v>
      </c>
      <c r="G186" s="1704" t="s">
        <v>2970</v>
      </c>
      <c r="H186" s="1704" t="s">
        <v>2971</v>
      </c>
      <c r="I186" s="1704" t="s">
        <v>2972</v>
      </c>
      <c r="J186" s="1704" t="s">
        <v>2973</v>
      </c>
      <c r="K186" s="1792" t="s">
        <v>2974</v>
      </c>
      <c r="L186" s="1167"/>
      <c r="M186" s="1973">
        <v>73</v>
      </c>
      <c r="N186" s="1974" t="s">
        <v>2992</v>
      </c>
      <c r="O186" s="1974"/>
      <c r="P186" s="1974"/>
      <c r="Q186" s="1974"/>
      <c r="R186" s="1977"/>
      <c r="S186" s="1250">
        <v>73</v>
      </c>
      <c r="T186" s="1974" t="s">
        <v>2993</v>
      </c>
      <c r="U186" s="1974"/>
      <c r="V186" s="1974"/>
      <c r="W186" s="1974"/>
      <c r="X186" s="1974"/>
      <c r="Y186" s="1979" t="s">
        <v>2994</v>
      </c>
      <c r="AA186" s="1704" t="s">
        <v>2995</v>
      </c>
      <c r="AE186" s="1921">
        <v>2043</v>
      </c>
      <c r="AL186" s="1192"/>
      <c r="AM186" s="1144" t="s">
        <v>1758</v>
      </c>
    </row>
    <row r="187" ht="16.8" spans="2:39">
      <c r="B187" s="1723" t="s">
        <v>2996</v>
      </c>
      <c r="C187" s="1848" t="s">
        <v>2478</v>
      </c>
      <c r="D187" s="1704" t="s">
        <v>2979</v>
      </c>
      <c r="E187" s="1704" t="s">
        <v>100</v>
      </c>
      <c r="F187" s="1704" t="s">
        <v>2997</v>
      </c>
      <c r="G187" s="1704" t="s">
        <v>2970</v>
      </c>
      <c r="H187" s="1704" t="s">
        <v>2971</v>
      </c>
      <c r="I187" s="1704" t="s">
        <v>2972</v>
      </c>
      <c r="J187" s="1704" t="s">
        <v>2973</v>
      </c>
      <c r="K187" s="1792" t="s">
        <v>2974</v>
      </c>
      <c r="L187" s="1167"/>
      <c r="M187" s="1973">
        <v>74</v>
      </c>
      <c r="N187" s="1974" t="s">
        <v>2998</v>
      </c>
      <c r="O187" s="1974"/>
      <c r="P187" s="1974"/>
      <c r="Q187" s="1974"/>
      <c r="R187" s="1977"/>
      <c r="S187" s="1250">
        <v>74</v>
      </c>
      <c r="T187" s="1974" t="s">
        <v>2999</v>
      </c>
      <c r="U187" s="1974"/>
      <c r="V187" s="1974"/>
      <c r="W187" s="1974"/>
      <c r="X187" s="1974"/>
      <c r="Y187" s="1979" t="s">
        <v>237</v>
      </c>
      <c r="AA187" s="1704" t="s">
        <v>3000</v>
      </c>
      <c r="AE187" s="1723"/>
      <c r="AL187" s="1192"/>
      <c r="AM187" s="1144"/>
    </row>
    <row r="188" ht="17.55" spans="2:39">
      <c r="B188" s="1723" t="s">
        <v>3001</v>
      </c>
      <c r="C188" s="1848" t="s">
        <v>2011</v>
      </c>
      <c r="D188" s="1704" t="s">
        <v>2979</v>
      </c>
      <c r="E188" s="1704" t="s">
        <v>100</v>
      </c>
      <c r="F188" s="1704" t="s">
        <v>3002</v>
      </c>
      <c r="G188" s="1704" t="s">
        <v>2970</v>
      </c>
      <c r="H188" s="1704" t="s">
        <v>2971</v>
      </c>
      <c r="I188" s="1704" t="s">
        <v>2972</v>
      </c>
      <c r="J188" s="1704" t="s">
        <v>2973</v>
      </c>
      <c r="K188" s="1792" t="s">
        <v>2974</v>
      </c>
      <c r="L188" s="1167"/>
      <c r="M188" s="1973">
        <v>75</v>
      </c>
      <c r="N188" s="1974" t="s">
        <v>3003</v>
      </c>
      <c r="O188" s="1974"/>
      <c r="P188" s="1974"/>
      <c r="Q188" s="1974"/>
      <c r="R188" s="1977"/>
      <c r="S188" s="1250">
        <v>75</v>
      </c>
      <c r="T188" s="1974" t="s">
        <v>3004</v>
      </c>
      <c r="U188" s="1974"/>
      <c r="V188" s="1974"/>
      <c r="W188" s="1974"/>
      <c r="X188" s="1974"/>
      <c r="Y188" s="1979" t="s">
        <v>3005</v>
      </c>
      <c r="AA188" s="1704" t="s">
        <v>3006</v>
      </c>
      <c r="AE188" s="1726"/>
      <c r="AG188" s="1728"/>
      <c r="AH188" s="1728"/>
      <c r="AI188" s="1728"/>
      <c r="AJ188" s="1728"/>
      <c r="AK188" s="1728"/>
      <c r="AL188" s="1193"/>
      <c r="AM188" s="1144"/>
    </row>
    <row r="189" ht="46" spans="2:39">
      <c r="B189" s="1723" t="s">
        <v>3007</v>
      </c>
      <c r="C189" s="1848" t="s">
        <v>2011</v>
      </c>
      <c r="D189" s="1704" t="s">
        <v>2979</v>
      </c>
      <c r="E189" s="1704" t="s">
        <v>100</v>
      </c>
      <c r="F189" s="1704" t="s">
        <v>3008</v>
      </c>
      <c r="G189" s="1704" t="s">
        <v>2970</v>
      </c>
      <c r="H189" s="1704" t="s">
        <v>2971</v>
      </c>
      <c r="I189" s="1704" t="s">
        <v>2972</v>
      </c>
      <c r="J189" s="1704" t="s">
        <v>2973</v>
      </c>
      <c r="K189" s="1792" t="s">
        <v>2974</v>
      </c>
      <c r="L189" s="1167"/>
      <c r="M189" s="1973">
        <v>76</v>
      </c>
      <c r="N189" s="1974" t="s">
        <v>3009</v>
      </c>
      <c r="O189" s="1974"/>
      <c r="P189" s="1974"/>
      <c r="Q189" s="1974"/>
      <c r="R189" s="1977"/>
      <c r="S189" s="1250">
        <v>76</v>
      </c>
      <c r="T189" s="1974" t="s">
        <v>3010</v>
      </c>
      <c r="U189" s="1974"/>
      <c r="V189" s="1974"/>
      <c r="W189" s="1974"/>
      <c r="X189" s="1974"/>
      <c r="Y189" s="1979" t="s">
        <v>3011</v>
      </c>
      <c r="AA189" s="1704" t="s">
        <v>3012</v>
      </c>
      <c r="AL189" s="1144"/>
      <c r="AM189" s="1144"/>
    </row>
    <row r="190" ht="46" spans="2:39">
      <c r="B190" s="1723" t="s">
        <v>3013</v>
      </c>
      <c r="C190" s="1848" t="s">
        <v>2011</v>
      </c>
      <c r="D190" s="1704" t="s">
        <v>2979</v>
      </c>
      <c r="E190" s="1704" t="s">
        <v>100</v>
      </c>
      <c r="F190" s="1704" t="s">
        <v>3014</v>
      </c>
      <c r="G190" s="1704" t="s">
        <v>2970</v>
      </c>
      <c r="H190" s="1704" t="s">
        <v>2971</v>
      </c>
      <c r="I190" s="1704" t="s">
        <v>2972</v>
      </c>
      <c r="J190" s="1704" t="s">
        <v>2973</v>
      </c>
      <c r="K190" s="1792" t="s">
        <v>2974</v>
      </c>
      <c r="L190" s="1167"/>
      <c r="M190" s="1973">
        <v>77</v>
      </c>
      <c r="N190" s="1974" t="s">
        <v>3015</v>
      </c>
      <c r="O190" s="1974"/>
      <c r="P190" s="1974"/>
      <c r="Q190" s="1974"/>
      <c r="R190" s="1977"/>
      <c r="S190" s="1250">
        <v>77</v>
      </c>
      <c r="T190" s="1974" t="s">
        <v>3016</v>
      </c>
      <c r="U190" s="1974"/>
      <c r="V190" s="1974"/>
      <c r="W190" s="1974"/>
      <c r="X190" s="1974"/>
      <c r="Y190" s="1979" t="s">
        <v>3017</v>
      </c>
      <c r="AA190" s="1704" t="s">
        <v>3018</v>
      </c>
      <c r="AL190" s="1144"/>
      <c r="AM190" s="1144"/>
    </row>
    <row r="191" ht="31" spans="2:39">
      <c r="B191" s="1723" t="s">
        <v>3019</v>
      </c>
      <c r="C191" s="1848" t="s">
        <v>2011</v>
      </c>
      <c r="D191" s="1704" t="s">
        <v>2979</v>
      </c>
      <c r="E191" s="1704" t="s">
        <v>100</v>
      </c>
      <c r="F191" s="1704" t="s">
        <v>3020</v>
      </c>
      <c r="G191" s="1704" t="s">
        <v>2970</v>
      </c>
      <c r="H191" s="1704" t="s">
        <v>2971</v>
      </c>
      <c r="I191" s="1704" t="s">
        <v>2972</v>
      </c>
      <c r="J191" s="1704" t="s">
        <v>2973</v>
      </c>
      <c r="K191" s="1792" t="s">
        <v>2974</v>
      </c>
      <c r="L191" s="1167"/>
      <c r="M191" s="1973">
        <v>78</v>
      </c>
      <c r="N191" s="1974" t="s">
        <v>3021</v>
      </c>
      <c r="O191" s="1974"/>
      <c r="P191" s="1974"/>
      <c r="Q191" s="1974"/>
      <c r="R191" s="1977"/>
      <c r="S191" s="1250">
        <v>78</v>
      </c>
      <c r="T191" s="1974" t="s">
        <v>3022</v>
      </c>
      <c r="U191" s="1974"/>
      <c r="V191" s="1974"/>
      <c r="W191" s="1974"/>
      <c r="X191" s="1974"/>
      <c r="Y191" s="1979" t="s">
        <v>3023</v>
      </c>
      <c r="AA191" s="1704" t="s">
        <v>3024</v>
      </c>
      <c r="AL191" s="1144"/>
      <c r="AM191" s="1144"/>
    </row>
    <row r="192" ht="46" spans="2:39">
      <c r="B192" s="1723" t="s">
        <v>3025</v>
      </c>
      <c r="C192" s="1848" t="s">
        <v>2011</v>
      </c>
      <c r="D192" s="1704" t="s">
        <v>2979</v>
      </c>
      <c r="E192" s="1704" t="s">
        <v>100</v>
      </c>
      <c r="F192" s="1704" t="s">
        <v>3026</v>
      </c>
      <c r="G192" s="1704" t="s">
        <v>2970</v>
      </c>
      <c r="H192" s="1704" t="s">
        <v>2971</v>
      </c>
      <c r="I192" s="1704" t="s">
        <v>2972</v>
      </c>
      <c r="J192" s="1704" t="s">
        <v>2973</v>
      </c>
      <c r="K192" s="1792" t="s">
        <v>2974</v>
      </c>
      <c r="L192" s="1167"/>
      <c r="M192" s="1973">
        <v>79</v>
      </c>
      <c r="N192" s="1974" t="s">
        <v>3027</v>
      </c>
      <c r="O192" s="1974"/>
      <c r="P192" s="1974"/>
      <c r="Q192" s="1974"/>
      <c r="R192" s="1977"/>
      <c r="S192" s="1250">
        <v>79</v>
      </c>
      <c r="T192" s="1974" t="s">
        <v>3028</v>
      </c>
      <c r="U192" s="1974"/>
      <c r="V192" s="1974"/>
      <c r="W192" s="1974"/>
      <c r="X192" s="1974"/>
      <c r="Y192" s="1979" t="s">
        <v>3029</v>
      </c>
      <c r="AA192" s="1704" t="s">
        <v>3030</v>
      </c>
      <c r="AM192" s="1144"/>
    </row>
    <row r="193" ht="16.8" spans="2:39">
      <c r="B193" s="1723" t="s">
        <v>3031</v>
      </c>
      <c r="C193" s="1848" t="s">
        <v>2011</v>
      </c>
      <c r="D193" s="1704" t="s">
        <v>2979</v>
      </c>
      <c r="E193" s="1704" t="s">
        <v>100</v>
      </c>
      <c r="F193" s="1704" t="s">
        <v>3032</v>
      </c>
      <c r="G193" s="1704" t="s">
        <v>2970</v>
      </c>
      <c r="H193" s="1704" t="s">
        <v>2971</v>
      </c>
      <c r="I193" s="1704" t="s">
        <v>2972</v>
      </c>
      <c r="J193" s="1704" t="s">
        <v>2973</v>
      </c>
      <c r="K193" s="1792" t="s">
        <v>2974</v>
      </c>
      <c r="L193" s="1167"/>
      <c r="M193" s="1973">
        <v>80</v>
      </c>
      <c r="N193" s="1974" t="s">
        <v>3033</v>
      </c>
      <c r="O193" s="1974"/>
      <c r="P193" s="1974"/>
      <c r="Q193" s="1974"/>
      <c r="R193" s="1977"/>
      <c r="S193" s="1250">
        <v>80</v>
      </c>
      <c r="T193" s="1974" t="s">
        <v>3034</v>
      </c>
      <c r="U193" s="1974"/>
      <c r="V193" s="1974"/>
      <c r="W193" s="1974"/>
      <c r="X193" s="1974"/>
      <c r="Y193" s="1979" t="s">
        <v>237</v>
      </c>
      <c r="AA193" s="1704" t="s">
        <v>3035</v>
      </c>
      <c r="AL193" s="1144"/>
      <c r="AM193" s="1144"/>
    </row>
    <row r="194" ht="16.8" spans="2:39">
      <c r="B194" s="1723" t="s">
        <v>3036</v>
      </c>
      <c r="C194" s="1848" t="s">
        <v>2011</v>
      </c>
      <c r="D194" s="1704" t="s">
        <v>2979</v>
      </c>
      <c r="E194" s="1704" t="s">
        <v>100</v>
      </c>
      <c r="F194" s="1704" t="s">
        <v>3037</v>
      </c>
      <c r="G194" s="1704" t="s">
        <v>2970</v>
      </c>
      <c r="H194" s="1704" t="s">
        <v>2971</v>
      </c>
      <c r="I194" s="1704" t="s">
        <v>2972</v>
      </c>
      <c r="J194" s="1704" t="s">
        <v>2973</v>
      </c>
      <c r="K194" s="1792" t="s">
        <v>2974</v>
      </c>
      <c r="L194" s="1167"/>
      <c r="M194" s="1973">
        <v>81</v>
      </c>
      <c r="N194" s="1974" t="s">
        <v>3038</v>
      </c>
      <c r="O194" s="1974"/>
      <c r="P194" s="1974"/>
      <c r="Q194" s="1974"/>
      <c r="R194" s="1977"/>
      <c r="S194" s="1250">
        <v>81</v>
      </c>
      <c r="T194" s="1974" t="s">
        <v>3039</v>
      </c>
      <c r="U194" s="1974"/>
      <c r="V194" s="1974"/>
      <c r="W194" s="1974"/>
      <c r="X194" s="1974"/>
      <c r="Y194" s="1979" t="s">
        <v>3040</v>
      </c>
      <c r="AA194" s="1704" t="s">
        <v>3041</v>
      </c>
      <c r="AL194" s="1144"/>
      <c r="AM194" s="1144"/>
    </row>
    <row r="195" ht="46" spans="2:39">
      <c r="B195" s="1723" t="s">
        <v>3042</v>
      </c>
      <c r="C195" s="1848" t="s">
        <v>2011</v>
      </c>
      <c r="D195" s="1704" t="s">
        <v>2979</v>
      </c>
      <c r="E195" s="1704" t="s">
        <v>100</v>
      </c>
      <c r="F195" s="1704" t="s">
        <v>3043</v>
      </c>
      <c r="G195" s="1704" t="s">
        <v>2970</v>
      </c>
      <c r="H195" s="1704" t="s">
        <v>2971</v>
      </c>
      <c r="I195" s="1704" t="s">
        <v>2972</v>
      </c>
      <c r="J195" s="1704" t="s">
        <v>2973</v>
      </c>
      <c r="K195" s="1792" t="s">
        <v>2974</v>
      </c>
      <c r="L195" s="1167"/>
      <c r="M195" s="1973">
        <v>82</v>
      </c>
      <c r="N195" s="1974" t="s">
        <v>3044</v>
      </c>
      <c r="O195" s="1974"/>
      <c r="P195" s="1974"/>
      <c r="Q195" s="1974"/>
      <c r="R195" s="1977"/>
      <c r="S195" s="1250">
        <v>82</v>
      </c>
      <c r="T195" s="1974" t="s">
        <v>3045</v>
      </c>
      <c r="U195" s="1974"/>
      <c r="V195" s="1974"/>
      <c r="W195" s="1974"/>
      <c r="X195" s="1974"/>
      <c r="Y195" s="1979" t="s">
        <v>3046</v>
      </c>
      <c r="AA195" s="1704" t="s">
        <v>3047</v>
      </c>
      <c r="AL195" s="1144"/>
      <c r="AM195" s="1144"/>
    </row>
    <row r="196" ht="46" spans="2:39">
      <c r="B196" s="1723" t="s">
        <v>3048</v>
      </c>
      <c r="C196" s="1848" t="s">
        <v>2011</v>
      </c>
      <c r="D196" s="1704" t="s">
        <v>2979</v>
      </c>
      <c r="E196" s="1704" t="s">
        <v>100</v>
      </c>
      <c r="F196" s="1704" t="s">
        <v>3049</v>
      </c>
      <c r="G196" s="1704" t="s">
        <v>2970</v>
      </c>
      <c r="H196" s="1704" t="s">
        <v>2971</v>
      </c>
      <c r="I196" s="1704" t="s">
        <v>2972</v>
      </c>
      <c r="J196" s="1704" t="s">
        <v>2973</v>
      </c>
      <c r="K196" s="1792" t="s">
        <v>2974</v>
      </c>
      <c r="L196" s="1167"/>
      <c r="M196" s="1973">
        <v>83</v>
      </c>
      <c r="N196" s="1974" t="s">
        <v>3050</v>
      </c>
      <c r="O196" s="1974"/>
      <c r="P196" s="1974"/>
      <c r="Q196" s="1974"/>
      <c r="R196" s="1977"/>
      <c r="S196" s="1250">
        <v>83</v>
      </c>
      <c r="T196" s="1974" t="s">
        <v>3051</v>
      </c>
      <c r="U196" s="1974"/>
      <c r="V196" s="1974"/>
      <c r="W196" s="1974"/>
      <c r="X196" s="1974"/>
      <c r="Y196" s="1979" t="s">
        <v>3052</v>
      </c>
      <c r="AA196" s="1704" t="s">
        <v>3053</v>
      </c>
      <c r="AL196" s="1144"/>
      <c r="AM196" s="1144"/>
    </row>
    <row r="197" ht="16.8" spans="2:39">
      <c r="B197" s="1723" t="s">
        <v>2050</v>
      </c>
      <c r="C197" s="1848" t="s">
        <v>237</v>
      </c>
      <c r="D197" s="1704" t="s">
        <v>237</v>
      </c>
      <c r="E197" s="1704" t="s">
        <v>237</v>
      </c>
      <c r="F197" s="1704" t="s">
        <v>237</v>
      </c>
      <c r="G197" s="1704" t="s">
        <v>237</v>
      </c>
      <c r="H197" s="1704" t="s">
        <v>237</v>
      </c>
      <c r="I197" s="1704" t="s">
        <v>237</v>
      </c>
      <c r="J197" s="1704" t="s">
        <v>237</v>
      </c>
      <c r="K197" s="1792" t="s">
        <v>237</v>
      </c>
      <c r="L197" s="1167"/>
      <c r="M197" s="1973">
        <v>84</v>
      </c>
      <c r="N197" s="1974" t="s">
        <v>3054</v>
      </c>
      <c r="O197" s="1974"/>
      <c r="P197" s="1974"/>
      <c r="Q197" s="1974"/>
      <c r="R197" s="1977"/>
      <c r="S197" s="1250">
        <v>84</v>
      </c>
      <c r="T197" s="1974" t="s">
        <v>3055</v>
      </c>
      <c r="U197" s="1974"/>
      <c r="V197" s="1974"/>
      <c r="W197" s="1974"/>
      <c r="X197" s="1974"/>
      <c r="Y197" s="1979" t="s">
        <v>237</v>
      </c>
      <c r="AA197" s="1704" t="s">
        <v>3056</v>
      </c>
      <c r="AL197" s="1144"/>
      <c r="AM197" s="1144"/>
    </row>
    <row r="198" ht="16.8" spans="2:39">
      <c r="B198" s="1869" t="s">
        <v>127</v>
      </c>
      <c r="C198" s="1848" t="s">
        <v>2478</v>
      </c>
      <c r="D198" s="1704" t="s">
        <v>100</v>
      </c>
      <c r="E198" s="1704" t="s">
        <v>3057</v>
      </c>
      <c r="F198" s="1704" t="s">
        <v>3058</v>
      </c>
      <c r="G198" s="1704" t="s">
        <v>3059</v>
      </c>
      <c r="H198" s="1704" t="s">
        <v>3060</v>
      </c>
      <c r="I198" s="1704" t="s">
        <v>3061</v>
      </c>
      <c r="J198" s="1704" t="s">
        <v>3062</v>
      </c>
      <c r="K198" s="1792" t="s">
        <v>3063</v>
      </c>
      <c r="L198" s="1167"/>
      <c r="M198" s="1973">
        <v>85</v>
      </c>
      <c r="N198" s="1974" t="s">
        <v>3064</v>
      </c>
      <c r="O198" s="1974"/>
      <c r="P198" s="1974"/>
      <c r="Q198" s="1974"/>
      <c r="R198" s="1977"/>
      <c r="S198" s="1250">
        <v>85</v>
      </c>
      <c r="T198" s="1974" t="s">
        <v>3065</v>
      </c>
      <c r="U198" s="1974"/>
      <c r="V198" s="1974"/>
      <c r="W198" s="1974"/>
      <c r="X198" s="1974"/>
      <c r="Y198" s="1979" t="s">
        <v>3066</v>
      </c>
      <c r="AL198" s="1144"/>
      <c r="AM198" s="1144"/>
    </row>
    <row r="199" ht="31" spans="2:39">
      <c r="B199" s="1869" t="s">
        <v>129</v>
      </c>
      <c r="C199" s="1848" t="s">
        <v>2555</v>
      </c>
      <c r="D199" s="1704" t="s">
        <v>100</v>
      </c>
      <c r="E199" s="1704" t="s">
        <v>3067</v>
      </c>
      <c r="F199" s="1704" t="s">
        <v>3068</v>
      </c>
      <c r="G199" s="1704" t="s">
        <v>3069</v>
      </c>
      <c r="H199" s="1704" t="s">
        <v>3070</v>
      </c>
      <c r="I199" s="1704" t="s">
        <v>3071</v>
      </c>
      <c r="J199" s="1704" t="s">
        <v>3072</v>
      </c>
      <c r="K199" s="1792" t="s">
        <v>3073</v>
      </c>
      <c r="L199" s="1167"/>
      <c r="M199" s="1973">
        <v>86</v>
      </c>
      <c r="N199" s="1974" t="s">
        <v>3074</v>
      </c>
      <c r="O199" s="1974"/>
      <c r="P199" s="1974"/>
      <c r="Q199" s="1974"/>
      <c r="R199" s="1977"/>
      <c r="S199" s="1250">
        <v>86</v>
      </c>
      <c r="T199" s="1974" t="s">
        <v>3075</v>
      </c>
      <c r="U199" s="1974"/>
      <c r="V199" s="1974"/>
      <c r="W199" s="1974"/>
      <c r="X199" s="1974"/>
      <c r="Y199" s="1979" t="s">
        <v>3076</v>
      </c>
      <c r="AA199" s="1704" t="s">
        <v>3077</v>
      </c>
      <c r="AM199" s="1144"/>
    </row>
    <row r="200" ht="31" spans="2:39">
      <c r="B200" s="1869" t="s">
        <v>133</v>
      </c>
      <c r="C200" s="1848" t="s">
        <v>2378</v>
      </c>
      <c r="D200" s="1704" t="s">
        <v>100</v>
      </c>
      <c r="E200" s="1704" t="s">
        <v>3078</v>
      </c>
      <c r="F200" s="1704" t="s">
        <v>3079</v>
      </c>
      <c r="G200" s="1704" t="s">
        <v>3080</v>
      </c>
      <c r="H200" s="1704" t="s">
        <v>3081</v>
      </c>
      <c r="I200" s="1704" t="s">
        <v>3082</v>
      </c>
      <c r="J200" s="1704" t="s">
        <v>3083</v>
      </c>
      <c r="K200" s="1792" t="s">
        <v>3084</v>
      </c>
      <c r="L200" s="1167"/>
      <c r="M200" s="1973">
        <v>87</v>
      </c>
      <c r="N200" s="1974" t="s">
        <v>3085</v>
      </c>
      <c r="O200" s="1974"/>
      <c r="P200" s="1974"/>
      <c r="Q200" s="1974"/>
      <c r="R200" s="1977"/>
      <c r="S200" s="1250">
        <v>87</v>
      </c>
      <c r="T200" s="1974" t="s">
        <v>3086</v>
      </c>
      <c r="U200" s="1974"/>
      <c r="V200" s="1974"/>
      <c r="W200" s="1974"/>
      <c r="X200" s="1974"/>
      <c r="Y200" s="1979" t="s">
        <v>3087</v>
      </c>
      <c r="AA200" s="1704" t="s">
        <v>3088</v>
      </c>
      <c r="AL200" s="1144"/>
      <c r="AM200" s="1144"/>
    </row>
    <row r="201" ht="31" spans="2:39">
      <c r="B201" s="1869" t="s">
        <v>138</v>
      </c>
      <c r="C201" s="1848" t="s">
        <v>2478</v>
      </c>
      <c r="D201" s="1704" t="s">
        <v>2059</v>
      </c>
      <c r="E201" s="1704" t="s">
        <v>3089</v>
      </c>
      <c r="F201" s="1704" t="s">
        <v>3090</v>
      </c>
      <c r="G201" s="1704" t="s">
        <v>3091</v>
      </c>
      <c r="H201" s="1704" t="s">
        <v>3092</v>
      </c>
      <c r="I201" s="1704" t="s">
        <v>3093</v>
      </c>
      <c r="J201" s="1704" t="s">
        <v>3094</v>
      </c>
      <c r="K201" s="2021" t="s">
        <v>3095</v>
      </c>
      <c r="L201" s="1167"/>
      <c r="M201" s="1973">
        <v>88</v>
      </c>
      <c r="N201" s="1974" t="s">
        <v>3096</v>
      </c>
      <c r="O201" s="1974"/>
      <c r="P201" s="1974"/>
      <c r="Q201" s="1974"/>
      <c r="R201" s="1977"/>
      <c r="S201" s="1250">
        <v>88</v>
      </c>
      <c r="T201" s="1974" t="s">
        <v>3097</v>
      </c>
      <c r="U201" s="1974"/>
      <c r="V201" s="1974"/>
      <c r="W201" s="1974"/>
      <c r="X201" s="1974"/>
      <c r="Y201" s="1979" t="s">
        <v>3098</v>
      </c>
      <c r="AA201" s="1704" t="s">
        <v>3099</v>
      </c>
      <c r="AL201" s="1144"/>
      <c r="AM201" s="1144"/>
    </row>
    <row r="202" ht="16.8" spans="2:39">
      <c r="B202" s="1869" t="s">
        <v>141</v>
      </c>
      <c r="C202" s="1848" t="s">
        <v>2378</v>
      </c>
      <c r="D202" s="1704" t="s">
        <v>100</v>
      </c>
      <c r="E202" s="1704" t="s">
        <v>3100</v>
      </c>
      <c r="F202" s="1704" t="s">
        <v>3101</v>
      </c>
      <c r="G202" s="1704" t="s">
        <v>3102</v>
      </c>
      <c r="H202" s="1704" t="s">
        <v>3103</v>
      </c>
      <c r="I202" s="1704" t="s">
        <v>3104</v>
      </c>
      <c r="J202" s="1704" t="s">
        <v>3105</v>
      </c>
      <c r="K202" s="1792" t="s">
        <v>3106</v>
      </c>
      <c r="L202" s="1167"/>
      <c r="M202" s="1973">
        <v>89</v>
      </c>
      <c r="N202" s="1974" t="s">
        <v>3107</v>
      </c>
      <c r="O202" s="1974"/>
      <c r="P202" s="1974"/>
      <c r="Q202" s="1974"/>
      <c r="R202" s="1977"/>
      <c r="S202" s="1250">
        <v>89</v>
      </c>
      <c r="T202" s="1974" t="s">
        <v>3108</v>
      </c>
      <c r="U202" s="1974"/>
      <c r="V202" s="1974"/>
      <c r="W202" s="1974"/>
      <c r="X202" s="1974"/>
      <c r="Y202" s="1979" t="s">
        <v>237</v>
      </c>
      <c r="AA202" s="1704" t="s">
        <v>3109</v>
      </c>
      <c r="AL202" s="1144"/>
      <c r="AM202" s="1144"/>
    </row>
    <row r="203" ht="31" spans="2:39">
      <c r="B203" s="1869" t="s">
        <v>144</v>
      </c>
      <c r="C203" s="1848" t="s">
        <v>2378</v>
      </c>
      <c r="D203" s="1704" t="s">
        <v>100</v>
      </c>
      <c r="E203" s="1704" t="s">
        <v>3110</v>
      </c>
      <c r="F203" s="1704" t="s">
        <v>3111</v>
      </c>
      <c r="G203" s="1991" t="s">
        <v>3112</v>
      </c>
      <c r="H203" s="1704" t="s">
        <v>3113</v>
      </c>
      <c r="I203" s="1704" t="s">
        <v>3114</v>
      </c>
      <c r="J203" s="1704" t="s">
        <v>3115</v>
      </c>
      <c r="K203" s="1792" t="s">
        <v>3116</v>
      </c>
      <c r="L203" s="1167"/>
      <c r="M203" s="1973">
        <v>90</v>
      </c>
      <c r="N203" s="1974" t="s">
        <v>3117</v>
      </c>
      <c r="O203" s="1974"/>
      <c r="P203" s="1974"/>
      <c r="Q203" s="1974"/>
      <c r="R203" s="1977"/>
      <c r="S203" s="1250">
        <v>90</v>
      </c>
      <c r="T203" s="1974" t="s">
        <v>3118</v>
      </c>
      <c r="U203" s="1974"/>
      <c r="V203" s="1974"/>
      <c r="W203" s="1974"/>
      <c r="X203" s="1974"/>
      <c r="Y203" s="1979" t="s">
        <v>3119</v>
      </c>
      <c r="AA203" s="1704" t="s">
        <v>338</v>
      </c>
      <c r="AL203" s="1144"/>
      <c r="AM203" s="1144"/>
    </row>
    <row r="204" ht="31" spans="2:39">
      <c r="B204" s="2006" t="s">
        <v>146</v>
      </c>
      <c r="C204" s="1848" t="s">
        <v>2478</v>
      </c>
      <c r="D204" s="1704" t="s">
        <v>100</v>
      </c>
      <c r="E204" s="1990" t="s">
        <v>3120</v>
      </c>
      <c r="F204" s="1990" t="s">
        <v>3121</v>
      </c>
      <c r="G204" s="1990" t="s">
        <v>3122</v>
      </c>
      <c r="H204" s="2018" t="s">
        <v>3123</v>
      </c>
      <c r="I204" s="1990" t="s">
        <v>3124</v>
      </c>
      <c r="J204" s="1704" t="s">
        <v>3125</v>
      </c>
      <c r="K204" s="1792" t="s">
        <v>3126</v>
      </c>
      <c r="L204" s="1167"/>
      <c r="M204" s="1973">
        <v>91</v>
      </c>
      <c r="N204" s="1974" t="s">
        <v>3127</v>
      </c>
      <c r="O204" s="1974"/>
      <c r="P204" s="1974"/>
      <c r="Q204" s="1974"/>
      <c r="R204" s="1977"/>
      <c r="S204" s="1250">
        <v>91</v>
      </c>
      <c r="T204" s="1974" t="s">
        <v>3128</v>
      </c>
      <c r="U204" s="1974"/>
      <c r="V204" s="1974"/>
      <c r="W204" s="1974"/>
      <c r="X204" s="1974"/>
      <c r="Y204" s="1979" t="s">
        <v>3129</v>
      </c>
      <c r="AM204" s="1144"/>
    </row>
    <row r="205" ht="31" spans="2:39">
      <c r="B205" s="1871" t="s">
        <v>3130</v>
      </c>
      <c r="C205" s="1848" t="s">
        <v>1996</v>
      </c>
      <c r="D205" s="1704" t="s">
        <v>3131</v>
      </c>
      <c r="E205" s="1704" t="s">
        <v>100</v>
      </c>
      <c r="F205" s="1704" t="s">
        <v>3132</v>
      </c>
      <c r="G205" s="1704" t="s">
        <v>3133</v>
      </c>
      <c r="H205" s="1704" t="s">
        <v>3134</v>
      </c>
      <c r="I205" s="1704" t="s">
        <v>3135</v>
      </c>
      <c r="J205" s="1951" t="s">
        <v>3136</v>
      </c>
      <c r="K205" s="1792" t="s">
        <v>3137</v>
      </c>
      <c r="L205" s="1167"/>
      <c r="M205" s="1973">
        <v>92</v>
      </c>
      <c r="N205" s="1974" t="s">
        <v>3138</v>
      </c>
      <c r="O205" s="1974"/>
      <c r="P205" s="1974"/>
      <c r="Q205" s="1974"/>
      <c r="R205" s="1977"/>
      <c r="S205" s="1250">
        <v>92</v>
      </c>
      <c r="T205" s="1974" t="s">
        <v>3139</v>
      </c>
      <c r="U205" s="1974"/>
      <c r="V205" s="1974"/>
      <c r="W205" s="1974"/>
      <c r="X205" s="1974"/>
      <c r="Y205" s="1979" t="s">
        <v>3140</v>
      </c>
      <c r="AL205" s="1144"/>
      <c r="AM205" s="1144"/>
    </row>
    <row r="206" ht="46" spans="2:39">
      <c r="B206" s="1871" t="s">
        <v>150</v>
      </c>
      <c r="C206" s="1848" t="s">
        <v>2011</v>
      </c>
      <c r="D206" s="1704" t="s">
        <v>3131</v>
      </c>
      <c r="E206" s="1704" t="s">
        <v>100</v>
      </c>
      <c r="F206" s="1704" t="s">
        <v>3141</v>
      </c>
      <c r="G206" s="1704" t="s">
        <v>3142</v>
      </c>
      <c r="H206" s="1704" t="s">
        <v>3143</v>
      </c>
      <c r="I206" s="1704" t="s">
        <v>3144</v>
      </c>
      <c r="J206" s="1704" t="s">
        <v>3145</v>
      </c>
      <c r="K206" s="1792" t="s">
        <v>3146</v>
      </c>
      <c r="L206" s="1167"/>
      <c r="M206" s="1973">
        <v>93</v>
      </c>
      <c r="N206" s="1974" t="s">
        <v>3147</v>
      </c>
      <c r="O206" s="1974"/>
      <c r="P206" s="1974"/>
      <c r="Q206" s="1974"/>
      <c r="R206" s="1977"/>
      <c r="S206" s="1250">
        <v>93</v>
      </c>
      <c r="T206" s="1974" t="s">
        <v>3148</v>
      </c>
      <c r="U206" s="1974"/>
      <c r="V206" s="1974"/>
      <c r="W206" s="1974"/>
      <c r="X206" s="1974"/>
      <c r="Y206" s="1979" t="s">
        <v>3149</v>
      </c>
      <c r="AL206" s="1144"/>
      <c r="AM206" s="1144"/>
    </row>
    <row r="207" ht="16.8" spans="2:39">
      <c r="B207" s="1871" t="s">
        <v>152</v>
      </c>
      <c r="C207" s="1848" t="s">
        <v>2011</v>
      </c>
      <c r="D207" s="1704" t="s">
        <v>3131</v>
      </c>
      <c r="E207" s="1704" t="s">
        <v>100</v>
      </c>
      <c r="F207" s="1704" t="s">
        <v>3150</v>
      </c>
      <c r="G207" s="1704" t="s">
        <v>3151</v>
      </c>
      <c r="H207" s="1991" t="s">
        <v>3152</v>
      </c>
      <c r="I207" s="1704" t="s">
        <v>3153</v>
      </c>
      <c r="J207" s="1704" t="s">
        <v>3154</v>
      </c>
      <c r="K207" s="1792" t="s">
        <v>3155</v>
      </c>
      <c r="L207" s="1167"/>
      <c r="M207" s="1973">
        <v>94</v>
      </c>
      <c r="N207" s="1974" t="s">
        <v>3156</v>
      </c>
      <c r="O207" s="1974"/>
      <c r="P207" s="1974"/>
      <c r="Q207" s="1974"/>
      <c r="R207" s="1977"/>
      <c r="S207" s="1250">
        <v>94</v>
      </c>
      <c r="T207" s="1974" t="s">
        <v>3157</v>
      </c>
      <c r="U207" s="1974"/>
      <c r="V207" s="1974"/>
      <c r="W207" s="1974"/>
      <c r="X207" s="1974"/>
      <c r="Y207" s="1979" t="s">
        <v>237</v>
      </c>
      <c r="AL207" s="1144"/>
      <c r="AM207" s="1144"/>
    </row>
    <row r="208" ht="16.8" spans="2:39">
      <c r="B208" s="1871" t="s">
        <v>155</v>
      </c>
      <c r="C208" s="1848" t="s">
        <v>2011</v>
      </c>
      <c r="D208" s="1704" t="s">
        <v>3131</v>
      </c>
      <c r="E208" s="1704" t="s">
        <v>3158</v>
      </c>
      <c r="F208" s="1704" t="s">
        <v>3159</v>
      </c>
      <c r="G208" s="1704" t="s">
        <v>3160</v>
      </c>
      <c r="H208" s="1704" t="s">
        <v>3161</v>
      </c>
      <c r="I208" s="1704" t="s">
        <v>3162</v>
      </c>
      <c r="J208" s="1704" t="s">
        <v>3163</v>
      </c>
      <c r="K208" s="1792" t="s">
        <v>3164</v>
      </c>
      <c r="L208" s="1167"/>
      <c r="M208" s="1973">
        <v>95</v>
      </c>
      <c r="N208" s="1974" t="s">
        <v>3165</v>
      </c>
      <c r="O208" s="1974"/>
      <c r="P208" s="1974"/>
      <c r="Q208" s="1974"/>
      <c r="R208" s="1977"/>
      <c r="S208" s="1250">
        <v>95</v>
      </c>
      <c r="T208" s="1974" t="s">
        <v>3166</v>
      </c>
      <c r="U208" s="1974"/>
      <c r="V208" s="1974"/>
      <c r="W208" s="1974"/>
      <c r="X208" s="1974"/>
      <c r="Y208" s="1979" t="s">
        <v>3167</v>
      </c>
      <c r="AL208" s="1144"/>
      <c r="AM208" s="1144"/>
    </row>
    <row r="209" ht="46" spans="2:39">
      <c r="B209" s="1871" t="s">
        <v>157</v>
      </c>
      <c r="C209" s="1848" t="s">
        <v>2011</v>
      </c>
      <c r="D209" s="1704" t="s">
        <v>3131</v>
      </c>
      <c r="E209" s="1704" t="s">
        <v>3168</v>
      </c>
      <c r="F209" s="1704" t="s">
        <v>3169</v>
      </c>
      <c r="G209" s="1704" t="s">
        <v>100</v>
      </c>
      <c r="H209" s="1704" t="s">
        <v>100</v>
      </c>
      <c r="I209" s="1704" t="s">
        <v>3170</v>
      </c>
      <c r="J209" s="1704" t="s">
        <v>3171</v>
      </c>
      <c r="K209" s="1792" t="s">
        <v>3172</v>
      </c>
      <c r="L209" s="1167"/>
      <c r="M209" s="1973">
        <v>96</v>
      </c>
      <c r="N209" s="1974" t="s">
        <v>3173</v>
      </c>
      <c r="O209" s="1974"/>
      <c r="P209" s="1974"/>
      <c r="Q209" s="1974"/>
      <c r="R209" s="1977"/>
      <c r="S209" s="1250">
        <v>96</v>
      </c>
      <c r="T209" s="1974" t="s">
        <v>3174</v>
      </c>
      <c r="U209" s="1974"/>
      <c r="V209" s="1974"/>
      <c r="W209" s="1974"/>
      <c r="X209" s="1974"/>
      <c r="Y209" s="1979" t="s">
        <v>3175</v>
      </c>
      <c r="AL209" s="1144"/>
      <c r="AM209" s="1144"/>
    </row>
    <row r="210" ht="46" spans="2:39">
      <c r="B210" s="1871" t="s">
        <v>159</v>
      </c>
      <c r="C210" s="1848" t="s">
        <v>2011</v>
      </c>
      <c r="D210" s="1704" t="s">
        <v>3176</v>
      </c>
      <c r="E210" s="1704" t="s">
        <v>100</v>
      </c>
      <c r="F210" s="1704" t="s">
        <v>3177</v>
      </c>
      <c r="G210" s="1704" t="s">
        <v>3178</v>
      </c>
      <c r="H210" s="1704" t="s">
        <v>3179</v>
      </c>
      <c r="I210" s="1704" t="s">
        <v>2521</v>
      </c>
      <c r="J210" s="1704" t="s">
        <v>100</v>
      </c>
      <c r="K210" s="1792" t="s">
        <v>100</v>
      </c>
      <c r="L210" s="1167"/>
      <c r="M210" s="1973">
        <v>97</v>
      </c>
      <c r="N210" s="1974" t="s">
        <v>3180</v>
      </c>
      <c r="O210" s="1974"/>
      <c r="P210" s="1974"/>
      <c r="Q210" s="1974"/>
      <c r="R210" s="1977"/>
      <c r="S210" s="1250">
        <v>97</v>
      </c>
      <c r="T210" s="1974" t="s">
        <v>3181</v>
      </c>
      <c r="U210" s="1974"/>
      <c r="V210" s="1974"/>
      <c r="W210" s="1974"/>
      <c r="X210" s="1974"/>
      <c r="Y210" s="1979" t="s">
        <v>3182</v>
      </c>
      <c r="AL210" s="1144"/>
      <c r="AM210" s="1144"/>
    </row>
    <row r="211" ht="16.8" spans="2:39">
      <c r="B211" s="1871" t="s">
        <v>161</v>
      </c>
      <c r="C211" s="1848" t="s">
        <v>2011</v>
      </c>
      <c r="D211" s="1704" t="s">
        <v>3183</v>
      </c>
      <c r="E211" s="1704" t="s">
        <v>100</v>
      </c>
      <c r="F211" s="1704" t="s">
        <v>3184</v>
      </c>
      <c r="G211" s="1704" t="s">
        <v>100</v>
      </c>
      <c r="H211" s="1704" t="s">
        <v>100</v>
      </c>
      <c r="I211" s="1704" t="s">
        <v>100</v>
      </c>
      <c r="J211" s="1704" t="s">
        <v>100</v>
      </c>
      <c r="K211" s="1792" t="s">
        <v>100</v>
      </c>
      <c r="L211" s="1167"/>
      <c r="M211" s="1973">
        <v>98</v>
      </c>
      <c r="N211" s="1974" t="s">
        <v>3185</v>
      </c>
      <c r="O211" s="1974"/>
      <c r="P211" s="1974"/>
      <c r="Q211" s="1974"/>
      <c r="R211" s="1977"/>
      <c r="S211" s="1250">
        <v>98</v>
      </c>
      <c r="T211" s="1974" t="s">
        <v>3186</v>
      </c>
      <c r="U211" s="1974"/>
      <c r="V211" s="1974"/>
      <c r="W211" s="1974"/>
      <c r="X211" s="1974"/>
      <c r="Y211" s="1979" t="s">
        <v>237</v>
      </c>
      <c r="AL211" s="1144"/>
      <c r="AM211" s="1144"/>
    </row>
    <row r="212" ht="31.75" spans="2:39">
      <c r="B212" s="1726">
        <f>人物卡!AU27</f>
        <v>0</v>
      </c>
      <c r="C212" s="2007">
        <f>人物卡!BA27</f>
        <v>0</v>
      </c>
      <c r="D212" s="1728" t="s">
        <v>163</v>
      </c>
      <c r="E212" s="1728" t="s">
        <v>237</v>
      </c>
      <c r="F212" s="1728" t="str">
        <f>IF(ISBLANK(人物卡!BA30),"",人物卡!BA30)</f>
        <v/>
      </c>
      <c r="G212" s="1728" t="s">
        <v>237</v>
      </c>
      <c r="H212" s="1728" t="s">
        <v>237</v>
      </c>
      <c r="I212" s="1728" t="s">
        <v>237</v>
      </c>
      <c r="J212" s="1728" t="s">
        <v>237</v>
      </c>
      <c r="K212" s="1793" t="s">
        <v>237</v>
      </c>
      <c r="L212" s="1167"/>
      <c r="M212" s="1973">
        <v>99</v>
      </c>
      <c r="N212" s="1974" t="s">
        <v>3187</v>
      </c>
      <c r="O212" s="1974"/>
      <c r="P212" s="1974"/>
      <c r="Q212" s="1974"/>
      <c r="R212" s="1977"/>
      <c r="S212" s="1250">
        <v>99</v>
      </c>
      <c r="T212" s="1974" t="s">
        <v>3188</v>
      </c>
      <c r="U212" s="1974"/>
      <c r="V212" s="1974"/>
      <c r="W212" s="1974"/>
      <c r="X212" s="1974"/>
      <c r="Y212" s="1979" t="s">
        <v>3189</v>
      </c>
      <c r="AL212" s="1144"/>
      <c r="AM212" s="1144"/>
    </row>
    <row r="213" ht="46" spans="2:38">
      <c r="B213" s="1145" t="s">
        <v>3190</v>
      </c>
      <c r="C213" s="1704">
        <v>0</v>
      </c>
      <c r="D213" s="1704">
        <v>0</v>
      </c>
      <c r="E213" s="1704">
        <v>0</v>
      </c>
      <c r="F213" s="1704">
        <v>0</v>
      </c>
      <c r="G213" s="1704">
        <v>0</v>
      </c>
      <c r="H213" s="1704">
        <v>0</v>
      </c>
      <c r="I213" s="1704">
        <v>0</v>
      </c>
      <c r="J213" s="1704">
        <v>0</v>
      </c>
      <c r="K213" s="1704">
        <v>0</v>
      </c>
      <c r="L213" s="1167"/>
      <c r="M213" s="1973">
        <v>100</v>
      </c>
      <c r="N213" s="1974" t="s">
        <v>3191</v>
      </c>
      <c r="O213" s="1974"/>
      <c r="P213" s="1974"/>
      <c r="Q213" s="1974"/>
      <c r="R213" s="1977"/>
      <c r="S213" s="1250">
        <v>100</v>
      </c>
      <c r="T213" s="1974" t="s">
        <v>3192</v>
      </c>
      <c r="U213" s="1974"/>
      <c r="V213" s="1974"/>
      <c r="W213" s="1974"/>
      <c r="X213" s="1974"/>
      <c r="Y213" s="1979" t="s">
        <v>3193</v>
      </c>
      <c r="AL213" s="1144"/>
    </row>
    <row r="214" ht="46" spans="12:38">
      <c r="L214" s="1167"/>
      <c r="M214" s="1973"/>
      <c r="N214" s="1974" t="s">
        <v>3194</v>
      </c>
      <c r="O214" s="1974"/>
      <c r="P214" s="1974"/>
      <c r="Q214" s="1974"/>
      <c r="R214" s="1977"/>
      <c r="S214"/>
      <c r="T214" s="1593"/>
      <c r="U214" s="1593"/>
      <c r="V214" s="1593"/>
      <c r="W214" s="1593"/>
      <c r="X214" s="1593"/>
      <c r="Y214" s="1979" t="s">
        <v>3195</v>
      </c>
      <c r="AL214" s="1144"/>
    </row>
    <row r="215" ht="17.55" spans="13:38">
      <c r="M215" s="2024"/>
      <c r="N215" s="2025" t="s">
        <v>3196</v>
      </c>
      <c r="O215" s="2025"/>
      <c r="P215" s="2025"/>
      <c r="Q215" s="2025"/>
      <c r="R215" s="2043"/>
      <c r="S215" s="2044"/>
      <c r="T215" s="2045"/>
      <c r="U215" s="2045"/>
      <c r="V215" s="2045"/>
      <c r="W215" s="2045"/>
      <c r="X215" s="2045"/>
      <c r="Y215" s="1979" t="s">
        <v>237</v>
      </c>
      <c r="AL215" s="1144"/>
    </row>
    <row r="216" ht="31.75" spans="25:25">
      <c r="Y216" s="1979" t="s">
        <v>3197</v>
      </c>
    </row>
    <row r="217" ht="31" spans="13:45">
      <c r="M217" s="2026" t="s">
        <v>2058</v>
      </c>
      <c r="N217" s="2027"/>
      <c r="O217" s="2026" t="s">
        <v>1860</v>
      </c>
      <c r="P217" s="2027"/>
      <c r="Q217" s="2026" t="s">
        <v>1671</v>
      </c>
      <c r="R217" s="2046"/>
      <c r="S217" s="2027" t="s">
        <v>385</v>
      </c>
      <c r="T217" s="2046"/>
      <c r="U217" s="2056" t="s">
        <v>166</v>
      </c>
      <c r="V217" s="2046"/>
      <c r="Y217" s="1979" t="s">
        <v>3198</v>
      </c>
      <c r="AL217" s="1144"/>
      <c r="AQ217"/>
      <c r="AR217"/>
      <c r="AS217"/>
    </row>
    <row r="218" ht="16.8" spans="13:45">
      <c r="M218" s="2028" t="s">
        <v>345</v>
      </c>
      <c r="N218" s="2029" t="s">
        <v>97</v>
      </c>
      <c r="O218" s="2028" t="s">
        <v>345</v>
      </c>
      <c r="P218" s="2029" t="s">
        <v>97</v>
      </c>
      <c r="Q218" s="2028" t="s">
        <v>345</v>
      </c>
      <c r="R218" s="2047" t="s">
        <v>97</v>
      </c>
      <c r="S218" s="2048" t="s">
        <v>345</v>
      </c>
      <c r="T218" s="2049" t="s">
        <v>97</v>
      </c>
      <c r="U218" s="2057" t="s">
        <v>345</v>
      </c>
      <c r="V218" s="2047" t="s">
        <v>97</v>
      </c>
      <c r="Y218" s="1979" t="s">
        <v>237</v>
      </c>
      <c r="AL218" s="1144"/>
      <c r="AQ218"/>
      <c r="AR218"/>
      <c r="AS218"/>
    </row>
    <row r="219" ht="19" customHeight="1" spans="13:45">
      <c r="M219" s="2030" t="s">
        <v>2073</v>
      </c>
      <c r="N219" s="599">
        <v>5</v>
      </c>
      <c r="O219" s="2030" t="s">
        <v>2978</v>
      </c>
      <c r="P219" s="599">
        <v>1</v>
      </c>
      <c r="Q219" s="2031" t="s">
        <v>140</v>
      </c>
      <c r="R219" s="2034">
        <v>20</v>
      </c>
      <c r="S219" s="2050" t="s">
        <v>3199</v>
      </c>
      <c r="T219" s="2051">
        <v>1</v>
      </c>
      <c r="U219" s="82" t="s">
        <v>126</v>
      </c>
      <c r="V219" s="2033">
        <v>25</v>
      </c>
      <c r="Y219" s="1979" t="s">
        <v>3200</v>
      </c>
      <c r="Z219" s="1165" t="s">
        <v>3201</v>
      </c>
      <c r="AA219" s="1165"/>
      <c r="AB219" s="1165"/>
      <c r="AC219" s="1165"/>
      <c r="AD219" s="1165"/>
      <c r="AE219" s="1165"/>
      <c r="AF219" s="1165"/>
      <c r="AG219" s="1165"/>
      <c r="AH219" s="1165"/>
      <c r="AM219" s="2097"/>
      <c r="AN219" s="2097"/>
      <c r="AO219" s="2097"/>
      <c r="AP219" s="2098"/>
      <c r="AQ219"/>
      <c r="AR219"/>
      <c r="AS219"/>
    </row>
    <row r="220" ht="18" customHeight="1" spans="13:45">
      <c r="M220" s="2031" t="s">
        <v>2083</v>
      </c>
      <c r="N220" s="2032">
        <v>5</v>
      </c>
      <c r="O220" s="2031" t="s">
        <v>2985</v>
      </c>
      <c r="P220" s="2032">
        <v>1</v>
      </c>
      <c r="Q220" s="2030" t="s">
        <v>394</v>
      </c>
      <c r="R220" s="2033">
        <v>25</v>
      </c>
      <c r="S220" s="2052" t="s">
        <v>3202</v>
      </c>
      <c r="T220" s="2053">
        <v>1</v>
      </c>
      <c r="U220" s="82" t="s">
        <v>2530</v>
      </c>
      <c r="V220" s="2033">
        <v>5</v>
      </c>
      <c r="Y220" s="1979" t="s">
        <v>3203</v>
      </c>
      <c r="Z220" s="1756"/>
      <c r="AA220" s="1756"/>
      <c r="AM220" s="2097"/>
      <c r="AN220" s="2097"/>
      <c r="AO220" s="2097"/>
      <c r="AP220" s="2098"/>
      <c r="AQ220"/>
      <c r="AR220"/>
      <c r="AS220"/>
    </row>
    <row r="221" ht="18" customHeight="1" spans="13:45">
      <c r="M221" s="2030" t="s">
        <v>2093</v>
      </c>
      <c r="N221" s="599">
        <v>5</v>
      </c>
      <c r="O221" s="2030" t="s">
        <v>2990</v>
      </c>
      <c r="P221" s="599">
        <v>1</v>
      </c>
      <c r="Q221" s="2031" t="s">
        <v>2631</v>
      </c>
      <c r="R221" s="2034">
        <v>15</v>
      </c>
      <c r="S221" s="2054" t="str">
        <f>IF(ISBLANK(人物卡!AU27),"",人物卡!AU27)</f>
        <v/>
      </c>
      <c r="T221" s="2053" t="str">
        <f>IF(ISBLANK(人物卡!BA27),"",人物卡!BA27)</f>
        <v/>
      </c>
      <c r="U221" s="2058" t="s">
        <v>2542</v>
      </c>
      <c r="V221" s="2034">
        <v>10</v>
      </c>
      <c r="Y221" s="1979" t="s">
        <v>237</v>
      </c>
      <c r="Z221" s="1722" t="s">
        <v>3204</v>
      </c>
      <c r="AA221" s="1722"/>
      <c r="AB221" s="1866"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纪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AC221" s="2084"/>
      <c r="AD221" s="2085" t="s">
        <v>3205</v>
      </c>
      <c r="AE221" s="1167"/>
      <c r="AF221" s="1167"/>
      <c r="AG221" s="1167"/>
      <c r="AM221" s="2097"/>
      <c r="AN221" s="2097"/>
      <c r="AO221" s="2097"/>
      <c r="AP221" s="2098"/>
      <c r="AQ221"/>
      <c r="AR221"/>
      <c r="AS221"/>
    </row>
    <row r="222" ht="18" customHeight="1" spans="13:45">
      <c r="M222" s="2031" t="s">
        <v>2103</v>
      </c>
      <c r="N222" s="2032">
        <v>5</v>
      </c>
      <c r="O222" s="2031" t="s">
        <v>2996</v>
      </c>
      <c r="P222" s="2032">
        <v>1</v>
      </c>
      <c r="Q222" s="2030" t="s">
        <v>2638</v>
      </c>
      <c r="R222" s="2033">
        <v>15</v>
      </c>
      <c r="T222" s="2022"/>
      <c r="U222" s="82" t="s">
        <v>2581</v>
      </c>
      <c r="V222" s="2033">
        <v>10</v>
      </c>
      <c r="Y222" s="1979" t="s">
        <v>3206</v>
      </c>
      <c r="Z222" s="2062" t="s">
        <v>102</v>
      </c>
      <c r="AA222" s="2063"/>
      <c r="AB222" s="1171"/>
      <c r="AC222" s="1564"/>
      <c r="AD222" s="1714">
        <f>人物卡!R27</f>
        <v>20</v>
      </c>
      <c r="AE222" s="1922"/>
      <c r="AF222" s="1922"/>
      <c r="AG222" s="1922"/>
      <c r="AM222" s="2097"/>
      <c r="AN222" s="2097"/>
      <c r="AO222" s="2097"/>
      <c r="AP222" s="2098"/>
      <c r="AQ222"/>
      <c r="AR222"/>
      <c r="AS222"/>
    </row>
    <row r="223" ht="18" customHeight="1" spans="13:45">
      <c r="M223" s="2030" t="s">
        <v>2113</v>
      </c>
      <c r="N223" s="599">
        <v>5</v>
      </c>
      <c r="O223" s="2030" t="s">
        <v>3001</v>
      </c>
      <c r="P223" s="599">
        <v>1</v>
      </c>
      <c r="Q223" s="2031" t="s">
        <v>2651</v>
      </c>
      <c r="R223" s="2034">
        <v>10</v>
      </c>
      <c r="T223" s="2022"/>
      <c r="U223" s="2058" t="s">
        <v>2574</v>
      </c>
      <c r="V223" s="2034">
        <v>15</v>
      </c>
      <c r="Y223" s="1979" t="s">
        <v>3207</v>
      </c>
      <c r="Z223" s="2064" t="str">
        <f>AD222&amp;"%/"&amp;AD223&amp;"%/"&amp;AD224&amp;"%"</f>
        <v>20%/10%/4%</v>
      </c>
      <c r="AA223" s="2065"/>
      <c r="AB223" s="1171"/>
      <c r="AC223" s="1564"/>
      <c r="AD223" s="1714">
        <f>人物卡!T27</f>
        <v>10</v>
      </c>
      <c r="AE223" s="1747"/>
      <c r="AF223" s="1167"/>
      <c r="AG223" s="1922"/>
      <c r="AM223" s="2097"/>
      <c r="AN223" s="2097"/>
      <c r="AO223" s="2097"/>
      <c r="AP223" s="2098"/>
      <c r="AQ223"/>
      <c r="AR223"/>
      <c r="AS223"/>
    </row>
    <row r="224" ht="18" customHeight="1" spans="13:45">
      <c r="M224" s="2031" t="s">
        <v>2123</v>
      </c>
      <c r="N224" s="2032">
        <v>5</v>
      </c>
      <c r="O224" s="2031" t="s">
        <v>3007</v>
      </c>
      <c r="P224" s="2032">
        <v>1</v>
      </c>
      <c r="Q224" s="2030" t="s">
        <v>2664</v>
      </c>
      <c r="R224" s="2033">
        <v>10</v>
      </c>
      <c r="T224" s="2022"/>
      <c r="U224" s="2058" t="s">
        <v>2554</v>
      </c>
      <c r="V224" s="2034">
        <v>15</v>
      </c>
      <c r="Y224" s="1979" t="s">
        <v>237</v>
      </c>
      <c r="Z224" s="1165" t="s">
        <v>188</v>
      </c>
      <c r="AA224" s="1165"/>
      <c r="AB224" s="1171"/>
      <c r="AC224" s="1564"/>
      <c r="AD224" s="1713">
        <f>人物卡!V27</f>
        <v>4</v>
      </c>
      <c r="AE224" s="1747"/>
      <c r="AF224" s="1167"/>
      <c r="AM224" s="2097"/>
      <c r="AN224" s="2097"/>
      <c r="AO224" s="2097"/>
      <c r="AP224" s="2098"/>
      <c r="AQ224"/>
      <c r="AR224"/>
      <c r="AS224"/>
    </row>
    <row r="225" ht="18" customHeight="1" spans="13:45">
      <c r="M225" s="2030" t="s">
        <v>2129</v>
      </c>
      <c r="N225" s="599">
        <v>5</v>
      </c>
      <c r="O225" s="2030" t="s">
        <v>3013</v>
      </c>
      <c r="P225" s="599">
        <v>1</v>
      </c>
      <c r="Q225" s="2035" t="s">
        <v>2678</v>
      </c>
      <c r="R225" s="2036">
        <v>10</v>
      </c>
      <c r="T225" s="2022"/>
      <c r="U225" s="82" t="s">
        <v>2565</v>
      </c>
      <c r="V225" s="2033">
        <v>20</v>
      </c>
      <c r="Y225" s="1979" t="s">
        <v>3208</v>
      </c>
      <c r="Z225" s="2066" t="str">
        <f>LOOKUP(AD222,{0,1,10,50,90,99},{"身无分文","拮据","标准","小康","富裕","富豪"})</f>
        <v>标准</v>
      </c>
      <c r="AA225" s="2066"/>
      <c r="AB225" s="1171"/>
      <c r="AC225" s="1564"/>
      <c r="AE225" s="1747"/>
      <c r="AF225" s="1167"/>
      <c r="AM225" s="2097"/>
      <c r="AN225" s="2097"/>
      <c r="AO225" s="2097"/>
      <c r="AP225" s="2098"/>
      <c r="AQ225"/>
      <c r="AR225"/>
      <c r="AS225"/>
    </row>
    <row r="226" ht="18" customHeight="1" spans="13:45">
      <c r="M226" s="2031" t="s">
        <v>2139</v>
      </c>
      <c r="N226" s="2032">
        <v>5</v>
      </c>
      <c r="O226" s="2031" t="s">
        <v>3019</v>
      </c>
      <c r="P226" s="2032">
        <v>1</v>
      </c>
      <c r="Q226" s="2035" t="str">
        <f>IF(ISBLANK(人物卡!AU27),"",人物卡!AU27)</f>
        <v/>
      </c>
      <c r="R226" s="2037" t="str">
        <f>IF(ISBLANK(人物卡!BA27),"",人物卡!BA27)</f>
        <v/>
      </c>
      <c r="T226" s="2022"/>
      <c r="U226" s="2059" t="s">
        <v>2588</v>
      </c>
      <c r="V226" s="2060">
        <v>20</v>
      </c>
      <c r="Y226" s="1979" t="s">
        <v>3209</v>
      </c>
      <c r="Z226" s="2067" t="s">
        <v>189</v>
      </c>
      <c r="AA226" s="2067"/>
      <c r="AB226" s="1171"/>
      <c r="AC226" s="1564"/>
      <c r="AE226" s="2010" t="s">
        <v>3210</v>
      </c>
      <c r="AF226" s="1912" t="str">
        <f>人物卡!S63</f>
        <v>美元</v>
      </c>
      <c r="AM226" s="2097"/>
      <c r="AN226" s="2097"/>
      <c r="AO226" s="2097"/>
      <c r="AP226" s="2098"/>
      <c r="AQ226"/>
      <c r="AR226"/>
      <c r="AS226"/>
    </row>
    <row r="227" ht="18" customHeight="1" spans="13:45">
      <c r="M227" s="2030" t="s">
        <v>2148</v>
      </c>
      <c r="N227" s="599">
        <v>5</v>
      </c>
      <c r="O227" s="2030" t="s">
        <v>3025</v>
      </c>
      <c r="P227" s="2033">
        <v>1</v>
      </c>
      <c r="Q227" s="2022"/>
      <c r="T227" s="2022"/>
      <c r="U227" s="84" t="str">
        <f>IF(ISBLANK(人物卡!AU27),"",人物卡!AU27)</f>
        <v/>
      </c>
      <c r="V227" s="2037" t="str">
        <f>IF(ISBLANK(人物卡!BA27),"",人物卡!BA27)</f>
        <v/>
      </c>
      <c r="Y227" s="1979" t="s">
        <v>237</v>
      </c>
      <c r="Z227" s="2068"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10</v>
      </c>
      <c r="AA227" s="2068"/>
      <c r="AB227" s="1171"/>
      <c r="AC227" s="1564"/>
      <c r="AE227" s="2086" t="s">
        <v>3211</v>
      </c>
      <c r="AF227" s="1912" t="str">
        <f>IF(人物卡!M4="其他","现代",人物卡!M4)</f>
        <v>1920s</v>
      </c>
      <c r="AM227" s="2097"/>
      <c r="AN227" s="2097"/>
      <c r="AO227" s="2097"/>
      <c r="AP227" s="2098"/>
      <c r="AQ227"/>
      <c r="AR227"/>
      <c r="AS227"/>
    </row>
    <row r="228" ht="18" customHeight="1" spans="13:45">
      <c r="M228" s="2031" t="s">
        <v>2158</v>
      </c>
      <c r="N228" s="2032">
        <v>5</v>
      </c>
      <c r="O228" s="2031" t="s">
        <v>3031</v>
      </c>
      <c r="P228" s="2034">
        <v>1</v>
      </c>
      <c r="Q228" s="2022"/>
      <c r="T228" s="2022"/>
      <c r="U228" s="2061"/>
      <c r="V228" s="2061"/>
      <c r="Y228" s="1979" t="s">
        <v>3212</v>
      </c>
      <c r="Z228" s="2069" t="s">
        <v>190</v>
      </c>
      <c r="AA228" s="2062"/>
      <c r="AB228" s="1171"/>
      <c r="AC228" s="1564"/>
      <c r="AE228" s="2087" t="s">
        <v>3213</v>
      </c>
      <c r="AF228" s="2074"/>
      <c r="AG228" s="2091"/>
      <c r="AM228" s="2097"/>
      <c r="AN228" s="2097"/>
      <c r="AO228" s="2097"/>
      <c r="AP228" s="2098"/>
      <c r="AQ228"/>
      <c r="AR228"/>
      <c r="AS228"/>
    </row>
    <row r="229" ht="18" customHeight="1" spans="13:45">
      <c r="M229" s="2030" t="s">
        <v>2166</v>
      </c>
      <c r="N229" s="599">
        <v>5</v>
      </c>
      <c r="O229" s="2030" t="s">
        <v>3036</v>
      </c>
      <c r="P229" s="2033">
        <v>1</v>
      </c>
      <c r="Q229" s="2022"/>
      <c r="T229" s="2022"/>
      <c r="U229" s="2061"/>
      <c r="V229" s="2061"/>
      <c r="Y229" s="1979" t="s">
        <v>3214</v>
      </c>
      <c r="Z229" s="2070">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1000</v>
      </c>
      <c r="AA229" s="2071"/>
      <c r="AB229" s="1171"/>
      <c r="AC229" s="1564"/>
      <c r="AE229" s="2088" t="s">
        <v>189</v>
      </c>
      <c r="AF229" s="2076" t="s">
        <v>3215</v>
      </c>
      <c r="AG229" s="2092" t="s">
        <v>190</v>
      </c>
      <c r="AM229" s="2097"/>
      <c r="AN229" s="2097"/>
      <c r="AO229" s="2097"/>
      <c r="AP229" s="2098"/>
      <c r="AQ229"/>
      <c r="AR229"/>
      <c r="AS229"/>
    </row>
    <row r="230" ht="18" customHeight="1" spans="13:45">
      <c r="M230" s="2031" t="s">
        <v>2175</v>
      </c>
      <c r="N230" s="2032">
        <v>5</v>
      </c>
      <c r="O230" s="2031" t="s">
        <v>3042</v>
      </c>
      <c r="P230" s="2034">
        <v>1</v>
      </c>
      <c r="Q230" s="2022"/>
      <c r="T230" s="2022"/>
      <c r="U230" s="2061"/>
      <c r="V230" s="2061"/>
      <c r="Y230" s="1979" t="s">
        <v>237</v>
      </c>
      <c r="Z230" s="2062" t="s">
        <v>191</v>
      </c>
      <c r="AA230" s="2062"/>
      <c r="AB230" s="1171"/>
      <c r="AC230" s="1564"/>
      <c r="AE230" s="2089">
        <v>10</v>
      </c>
      <c r="AF230" s="1728">
        <v>10</v>
      </c>
      <c r="AG230" s="1793" t="s">
        <v>3216</v>
      </c>
      <c r="AM230" s="2097"/>
      <c r="AN230" s="2097"/>
      <c r="AO230" s="2097"/>
      <c r="AP230" s="2098"/>
      <c r="AQ230"/>
      <c r="AR230"/>
      <c r="AS230"/>
    </row>
    <row r="231" ht="18" customHeight="1" spans="13:45">
      <c r="M231" s="2030" t="s">
        <v>2188</v>
      </c>
      <c r="N231" s="599">
        <v>5</v>
      </c>
      <c r="O231" s="2035" t="s">
        <v>3048</v>
      </c>
      <c r="P231" s="2036">
        <v>1</v>
      </c>
      <c r="Q231" s="2022"/>
      <c r="T231" s="2022"/>
      <c r="U231" s="2061"/>
      <c r="V231" s="2061"/>
      <c r="Y231" s="1979" t="s">
        <v>3217</v>
      </c>
      <c r="Z231" s="2072">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40</v>
      </c>
      <c r="AA231" s="2072"/>
      <c r="AB231" s="2073"/>
      <c r="AC231" s="2090"/>
      <c r="AE231" s="2078">
        <f>ABS(AE230)</f>
        <v>10</v>
      </c>
      <c r="AF231" s="2078">
        <f>ABS(AF230)</f>
        <v>10</v>
      </c>
      <c r="AG231" s="2078">
        <f>IF(AG230="没有",0,ABS(AG230))</f>
        <v>0</v>
      </c>
      <c r="AM231" s="2097"/>
      <c r="AN231" s="2097"/>
      <c r="AO231" s="2097"/>
      <c r="AP231" s="2098"/>
      <c r="AQ231"/>
      <c r="AR231"/>
      <c r="AS231"/>
    </row>
    <row r="232" ht="18" customHeight="1" spans="13:45">
      <c r="M232" s="2031" t="s">
        <v>2201</v>
      </c>
      <c r="N232" s="2032">
        <v>5</v>
      </c>
      <c r="O232" s="2035" t="str">
        <f>IF(ISBLANK(人物卡!AU27),"",人物卡!AU27)</f>
        <v/>
      </c>
      <c r="P232" s="2037" t="str">
        <f>IF(ISBLANK(人物卡!BA27),"",人物卡!BA27)</f>
        <v/>
      </c>
      <c r="Q232" s="2022"/>
      <c r="T232" s="2022"/>
      <c r="U232" s="2061"/>
      <c r="V232" s="2061"/>
      <c r="Y232" s="1979" t="s">
        <v>3218</v>
      </c>
      <c r="AE232" s="2087" t="s">
        <v>3219</v>
      </c>
      <c r="AF232" s="2074"/>
      <c r="AG232" s="2091"/>
      <c r="AM232" s="2097"/>
      <c r="AN232" s="2097"/>
      <c r="AO232" s="2097"/>
      <c r="AP232" s="2098"/>
      <c r="AQ232"/>
      <c r="AR232"/>
      <c r="AS232"/>
    </row>
    <row r="233" ht="18" customHeight="1" spans="13:45">
      <c r="M233" s="2030" t="s">
        <v>2212</v>
      </c>
      <c r="N233" s="2033">
        <v>5</v>
      </c>
      <c r="Q233" s="2022"/>
      <c r="T233" s="2022"/>
      <c r="Y233" s="1979" t="s">
        <v>237</v>
      </c>
      <c r="Z233" s="2074" t="s">
        <v>3220</v>
      </c>
      <c r="AA233" s="2074"/>
      <c r="AB233" s="2074"/>
      <c r="AC233" s="2091"/>
      <c r="AE233" s="2088" t="s">
        <v>189</v>
      </c>
      <c r="AF233" s="2076" t="s">
        <v>3215</v>
      </c>
      <c r="AG233" s="2092" t="s">
        <v>190</v>
      </c>
      <c r="AM233" s="2097"/>
      <c r="AN233" s="2097"/>
      <c r="AO233" s="2097"/>
      <c r="AP233" s="2098"/>
      <c r="AQ233"/>
      <c r="AR233"/>
      <c r="AS233"/>
    </row>
    <row r="234" ht="18" customHeight="1" spans="13:45">
      <c r="M234" s="2031" t="s">
        <v>2224</v>
      </c>
      <c r="N234" s="2034">
        <v>5</v>
      </c>
      <c r="Q234" s="2022"/>
      <c r="R234" s="2023"/>
      <c r="Y234" s="1979" t="s">
        <v>3221</v>
      </c>
      <c r="Z234" s="2075"/>
      <c r="AA234" s="2076" t="s">
        <v>189</v>
      </c>
      <c r="AB234" s="2076" t="s">
        <v>3215</v>
      </c>
      <c r="AC234" s="2092" t="s">
        <v>190</v>
      </c>
      <c r="AE234" s="2093" t="str">
        <f>ROUND(AE230/10000,2)&amp;"万"</f>
        <v>0万</v>
      </c>
      <c r="AF234" s="2094" t="str">
        <f>ROUND(AF230/10000,2)&amp;"万"</f>
        <v>0万</v>
      </c>
      <c r="AG234" s="2040" t="str">
        <f>IF(AG230="没有","没有",ROUND(AG230/10000,2)&amp;"万")</f>
        <v>没有</v>
      </c>
      <c r="AM234" s="2097"/>
      <c r="AN234" s="2097"/>
      <c r="AO234" s="2097"/>
      <c r="AP234" s="2098"/>
      <c r="AQ234"/>
      <c r="AR234"/>
      <c r="AS234"/>
    </row>
    <row r="235" ht="18" customHeight="1" spans="13:45">
      <c r="M235" s="2030" t="s">
        <v>2235</v>
      </c>
      <c r="N235" s="2033">
        <v>5</v>
      </c>
      <c r="Q235" s="2022"/>
      <c r="R235" s="2023"/>
      <c r="S235" s="2055"/>
      <c r="T235" s="2022"/>
      <c r="Y235" s="1979" t="s">
        <v>3222</v>
      </c>
      <c r="Z235" s="2075" t="s">
        <v>3219</v>
      </c>
      <c r="AA235" s="1704">
        <f>IF((AE231&gt;=AA237),1,0)</f>
        <v>0</v>
      </c>
      <c r="AB235" s="1704">
        <f>IF(AF231&gt;=AA237,1,0)</f>
        <v>0</v>
      </c>
      <c r="AC235" s="1792">
        <f>IF(AG231&gt;=AA237,1,0)</f>
        <v>0</v>
      </c>
      <c r="AE235" s="2087" t="s">
        <v>3223</v>
      </c>
      <c r="AF235" s="2074"/>
      <c r="AG235" s="2091"/>
      <c r="AM235" s="2097"/>
      <c r="AN235" s="2097"/>
      <c r="AO235" s="2097"/>
      <c r="AP235" s="2098"/>
      <c r="AQ235"/>
      <c r="AR235"/>
      <c r="AS235"/>
    </row>
    <row r="236" ht="18" customHeight="1" spans="13:45">
      <c r="M236" s="2031" t="s">
        <v>2243</v>
      </c>
      <c r="N236" s="2034">
        <v>5</v>
      </c>
      <c r="Q236" s="2022"/>
      <c r="R236" s="2023"/>
      <c r="S236" s="2055"/>
      <c r="X236" s="1142">
        <v>0.879</v>
      </c>
      <c r="Y236" s="1979" t="s">
        <v>237</v>
      </c>
      <c r="Z236" s="2077" t="s">
        <v>3223</v>
      </c>
      <c r="AA236" s="1728">
        <f>IF(AE231&gt;=AC237,1,0)</f>
        <v>0</v>
      </c>
      <c r="AB236" s="1728">
        <f>IF(AF231&gt;=AC237,1,0)</f>
        <v>0</v>
      </c>
      <c r="AC236" s="1793">
        <f>IF(AG231&gt;=AC237,1,0)</f>
        <v>0</v>
      </c>
      <c r="AE236" s="2088" t="s">
        <v>189</v>
      </c>
      <c r="AF236" s="2076" t="s">
        <v>3215</v>
      </c>
      <c r="AG236" s="2092" t="s">
        <v>190</v>
      </c>
      <c r="AM236" s="2097"/>
      <c r="AN236" s="2097"/>
      <c r="AO236" s="2097"/>
      <c r="AP236" s="2098"/>
      <c r="AQ236"/>
      <c r="AR236"/>
      <c r="AS236"/>
    </row>
    <row r="237" ht="18" customHeight="1" spans="13:45">
      <c r="M237" s="2030" t="s">
        <v>2256</v>
      </c>
      <c r="N237" s="2033">
        <v>5</v>
      </c>
      <c r="Q237" s="2022"/>
      <c r="R237" s="2023"/>
      <c r="S237" s="2055"/>
      <c r="Y237" s="1979" t="s">
        <v>3224</v>
      </c>
      <c r="AA237" s="2078">
        <v>10000</v>
      </c>
      <c r="AC237" s="2095">
        <v>10000000</v>
      </c>
      <c r="AE237" s="2093" t="str">
        <f>ROUND(AE230/100000000,2)&amp;"亿"</f>
        <v>0亿</v>
      </c>
      <c r="AF237" s="2094" t="str">
        <f>ROUND(AF230/100000000,2)&amp;"亿"</f>
        <v>0亿</v>
      </c>
      <c r="AG237" s="2040" t="str">
        <f>IF(AG230="没有","没有",ROUND(AG230/100000000,2)&amp;"亿")</f>
        <v>没有</v>
      </c>
      <c r="AM237" s="2097"/>
      <c r="AN237" s="2097"/>
      <c r="AO237" s="2097"/>
      <c r="AP237" s="2098"/>
      <c r="AQ237"/>
      <c r="AR237"/>
      <c r="AS237"/>
    </row>
    <row r="238" ht="18" customHeight="1" spans="2:45">
      <c r="B238" s="1755" t="s">
        <v>1173</v>
      </c>
      <c r="C238" s="1830" t="s">
        <v>3225</v>
      </c>
      <c r="M238" s="2031" t="s">
        <v>2270</v>
      </c>
      <c r="N238" s="2034">
        <v>5</v>
      </c>
      <c r="Q238" s="2022"/>
      <c r="R238" s="2023"/>
      <c r="S238" s="2055"/>
      <c r="Y238" s="1979" t="s">
        <v>3226</v>
      </c>
      <c r="AE238" s="2087" t="s">
        <v>1321</v>
      </c>
      <c r="AF238" s="2074"/>
      <c r="AG238" s="2091"/>
      <c r="AM238" s="2097"/>
      <c r="AN238" s="2097"/>
      <c r="AO238" s="2097"/>
      <c r="AP238" s="2098"/>
      <c r="AQ238"/>
      <c r="AR238"/>
      <c r="AS238"/>
    </row>
    <row r="239" ht="18" customHeight="1" spans="2:45">
      <c r="B239" s="1726" t="str">
        <f>职业列表!A244</f>
        <v>人类学</v>
      </c>
      <c r="C239" s="2008" t="str">
        <f>N253&amp;N254&amp;N255&amp;N256&amp;N257&amp;N258&amp;N259&amp;N260&amp;N261&amp;N262&amp;N263&amp;N264&amp;N265&amp;N266&amp;N267&amp;N268&amp;N269&amp;N270&amp;N271&amp;N272&amp;N273&amp;N274&amp;N275&amp;N276&amp;N277&amp;N278&amp;N279&amp;N280&amp;N281&amp;N282&amp;N283&amp;N284&amp;N285&amp;N286&amp;N287&amp;N288&amp;N289&amp;N290&amp;N291&amp;N292&amp;N293&amp;N294&amp;N295&amp;N296&amp;N297&amp;N298&amp;N299&amp;N300&amp;N301&amp;N302&amp;N303&amp;N304&amp;N305&amp;N306&amp;N307&amp;N308&amp;N309&amp;N310&amp;N311&amp;N312&amp;N313&amp;N314&amp;N315&amp;N316&amp;N317&amp;N318&amp;N319&amp;N320&amp;N321&amp;N322&amp;N323&amp;N324&amp;N325&amp;N326&amp;N327&amp;N328&amp;N329&amp;N330&amp;N331&amp;N332&amp;N333&amp;N334&amp;N335&amp;N336&amp;N337&amp;N338&amp;N339&amp;N340&amp;N341&amp;N342&amp;N343&amp;N344&amp;N345&amp;N346&amp;N347&amp;N348&amp;N349&amp;N350&amp;N351&amp;N352&amp;N353&amp;N354&amp;N355&amp;N356&amp;N357&amp;N358&amp;N359&amp;N360&amp;N361&amp;N362&amp;N363&amp;N364&amp;N365&amp;N366&amp;N367&amp;N368&amp;N369&amp;N370&amp;N371&amp;N372&amp;N373&amp;N374&amp;N375&amp;N376&amp;N377&amp;N378&amp;N379&amp;N380&amp;N381&amp;N382&amp;N383&amp;N384&amp;N385&amp;N386&amp;N387&amp;N388&amp;N389&amp;N390&amp;N391&amp;N392&amp;N393&amp;N394&amp;N395&amp;N396&amp;N397&amp;N398&amp;N399&amp;N400&amp;N401&amp;N402&amp;N403&amp;N404&amp;N405&amp;N406&amp;N407&amp;N408&amp;N409&amp;N410&amp;N411&amp;N412&amp;N413&amp;N414&amp;N415&amp;N416&amp;N417&amp;N418&amp;N419&amp;N420&amp;N421&amp;N422&amp;N423&amp;N424&amp;N425&amp;N426&amp;N427&amp;N428&amp;N429&amp;N430&amp;N431&amp;N432&amp;N433&amp;N434&amp;N435&amp;N436&amp;N437&amp;N438&amp;N439&amp;N440&amp;N441&amp;N442&amp;N443&amp;N444&amp;N445&amp;N446&amp;N447&amp;N448&amp;N449&amp;N450&amp;N451&amp;N452&amp;N453&amp;N454&amp;N455&amp;N456&amp;N457&amp;N458&amp;N459&amp;N460&amp;N461&amp;N462&amp;N463&amp;N464&amp;N465&amp;N466&amp;N467&amp;N468&amp;N469&amp;N470&amp;N471&amp;N472&amp;N473&amp;N474&amp;N475&amp;N476&amp;N477&amp;N478&amp;N479&amp;N480&amp;N481&amp;N482</f>
        <v>81神秘学家、83超心理学家、142商船队船员、212咨询侦探、218探险家、</v>
      </c>
      <c r="M239" s="2030" t="s">
        <v>2281</v>
      </c>
      <c r="N239" s="2033">
        <v>5</v>
      </c>
      <c r="Q239" s="2022"/>
      <c r="R239" s="2023"/>
      <c r="S239" s="2055"/>
      <c r="Y239" s="1979" t="s">
        <v>237</v>
      </c>
      <c r="AE239" s="2088" t="s">
        <v>189</v>
      </c>
      <c r="AF239" s="2076" t="s">
        <v>3215</v>
      </c>
      <c r="AG239" s="2092" t="s">
        <v>190</v>
      </c>
      <c r="AM239" s="2097"/>
      <c r="AN239" s="2097"/>
      <c r="AO239" s="2097"/>
      <c r="AP239" s="2098"/>
      <c r="AQ239"/>
      <c r="AR239"/>
      <c r="AS239"/>
    </row>
    <row r="240" ht="18" customHeight="1" spans="2:45">
      <c r="B240" s="1755" t="s">
        <v>3227</v>
      </c>
      <c r="C240" s="2009"/>
      <c r="M240" s="2031" t="s">
        <v>2291</v>
      </c>
      <c r="N240" s="2034">
        <v>5</v>
      </c>
      <c r="Q240" s="2022"/>
      <c r="R240" s="2023"/>
      <c r="S240" s="2055"/>
      <c r="Y240" s="1979" t="s">
        <v>3228</v>
      </c>
      <c r="AE240" s="2093">
        <f>IF(AA236=1,AE237,IF(AA235=1,AE234,AE230))</f>
        <v>10</v>
      </c>
      <c r="AF240" s="2094">
        <f>IF(AB236=1,AF237,IF(AB235=1,AF234,AF230))</f>
        <v>10</v>
      </c>
      <c r="AG240" s="2040" t="str">
        <f>IF(AC236=1,AG237,IF(AC235=1,AG234,AG230))</f>
        <v>没有</v>
      </c>
      <c r="AM240" s="2097"/>
      <c r="AN240" s="2097"/>
      <c r="AO240" s="2097"/>
      <c r="AP240" s="2098"/>
      <c r="AQ240"/>
      <c r="AR240"/>
      <c r="AS240"/>
    </row>
    <row r="241" ht="18" customHeight="1" spans="2:45">
      <c r="B241" s="1726" t="str">
        <f>职业列表!A238</f>
        <v>力量</v>
      </c>
      <c r="C241" s="2008" t="str">
        <f>L253&amp;L254&amp;L255&amp;L256&amp;L257&amp;L258&amp;L259&amp;L260&amp;L261&amp;L262&amp;L263&amp;L264&amp;L265&amp;L266&amp;L267&amp;L268&amp;L269&amp;L270&amp;L271&amp;L272&amp;L273&amp;L274&amp;L275&amp;L276&amp;L277&amp;L278&amp;L279&amp;L280&amp;L281&amp;L282&amp;L283&amp;L284&amp;L285&amp;L286&amp;L287&amp;L288&amp;L289&amp;L290&amp;L291&amp;L292&amp;L293&amp;L294&amp;L295&amp;L296&amp;L297&amp;L298&amp;L299&amp;L300&amp;L301&amp;L302&amp;L303&amp;L304&amp;L305&amp;L306&amp;L307&amp;L308&amp;L309&amp;L310&amp;L311&amp;L312&amp;L313&amp;L314&amp;L315&amp;L316&amp;L317&amp;L318&amp;L319&amp;L320&amp;L321&amp;L322&amp;L323&amp;L324&amp;L325&amp;L326&amp;L327&amp;L328&amp;L329&amp;L330&amp;L331&amp;L332&amp;L333&amp;L334&amp;L335&amp;L336&amp;L337&amp;L338&amp;L339&amp;L340&amp;L341&amp;L342&amp;L343&amp;L344&amp;L345&amp;L346&amp;L347&amp;L348&amp;L349&amp;L350&amp;L351&amp;L352&amp;L353&amp;L354&amp;L355&amp;L356&amp;L357&amp;L358&amp;L359&amp;L360&amp;L361&amp;L362&amp;L363&amp;L364&amp;L365&amp;L366&amp;L367&amp;L368&amp;L369&amp;L370&amp;L371&amp;L372&amp;L373&amp;L374&amp;L375&amp;L376&amp;L377&amp;L378&amp;L379&amp;L380&amp;L381&amp;L382&amp;L383&amp;L384&amp;L385&amp;L386&amp;L387&amp;L388&amp;L389&amp;L390&amp;L391&amp;L392&amp;L393&amp;L394&amp;L395&amp;L396&amp;L397&amp;L398&amp;L399&amp;L400&amp;L401&amp;L402&amp;L403&amp;L404&amp;L405&amp;L406&amp;L407&amp;L408&amp;L409&amp;L410&amp;L411&amp;L412&amp;L413&amp;L414&amp;L415&amp;L416&amp;L417&amp;L418&amp;L419&amp;L420&amp;L421&amp;L422&amp;L423&amp;L424&amp;L425&amp;L426&amp;L427&amp;L428&amp;L429&amp;L430&amp;L431&amp;L432&amp;L433&amp;L434&amp;L435&amp;L436&amp;L437&amp;L438&amp;L439&amp;L440&amp;L441&amp;L442&amp;L443&amp;L444&amp;L445&amp;L446&amp;L447&amp;L448&amp;L449&amp;L450&amp;L451&amp;L452&amp;L453&amp;L454&amp;L455&amp;L456&amp;L457&amp;L458&amp;L459&amp;L460&amp;L461&amp;L462&amp;L463&amp;L464&amp;L465&amp;L466&amp;L467&amp;L468&amp;L469&amp;L470&amp;L471&amp;L472&amp;L473&amp;L474&amp;L475&amp;L476&amp;L477&amp;L478&amp;L479&amp;L480&amp;L481&amp;L482</f>
        <v>1自定义职业、6事务所侦探/保安、14精神病院看护、15运动员、18猎人、20赏金猎人、21拳击手/摔跤手、26牛仔、28罪犯-刺客、29罪犯-银行劫匪、30罪犯-打手/暴徒、38罪犯-混混、45流浪者、47司机-司机、53探险家（古典）、54农民、56消防员、61黑帮-马仔、64勤杂护工、69工人-非熟练工人、70工人-伐木工、71工人-矿工、75军官、77登山家、82旅行家、89警方(原作向)-警探、90警方(原作向)-巡警、91私家侦探、93淘金客、104士兵/海军陆战队士兵、107替身演员、108部落成员、117运动员（游泳/潜水）、118运动员（高尔夫）、119运动员（网球）、120运动员（田径）、141运动经理、142商船队船员、149舞台工作人员、156寻宝猎人、157西部治安官、158暴走族、162家传降妖人、168非法移民、169相扑力士、170渔民、178山岳救援队员、183陆上自卫队员、184私人军事公司成员、185冒险家教授、201佣兵、203壮汉保镖、213工匠、214罪犯、218探险家、221劳工、224警察、229士兵、</v>
      </c>
      <c r="M241" s="2030" t="s">
        <v>2301</v>
      </c>
      <c r="N241" s="2033">
        <v>5</v>
      </c>
      <c r="Q241" s="2022"/>
      <c r="R241" s="2023"/>
      <c r="S241" s="2055"/>
      <c r="Y241" s="1979" t="s">
        <v>3229</v>
      </c>
      <c r="Z241" s="1162" t="s">
        <v>3230</v>
      </c>
      <c r="AA241" s="1163"/>
      <c r="AB241" s="1163"/>
      <c r="AC241" s="1163"/>
      <c r="AD241" s="1186"/>
      <c r="AE241"/>
      <c r="AF241"/>
      <c r="AG241"/>
      <c r="AH241"/>
      <c r="AI241"/>
      <c r="AM241" s="2097"/>
      <c r="AN241" s="2097"/>
      <c r="AO241" s="2097"/>
      <c r="AP241" s="2098"/>
      <c r="AQ241"/>
      <c r="AR241"/>
      <c r="AS241"/>
    </row>
    <row r="242" ht="18" customHeight="1" spans="2:45">
      <c r="B242" s="2010" t="s">
        <v>3231</v>
      </c>
      <c r="C242" s="2011"/>
      <c r="M242" s="2031" t="s">
        <v>2313</v>
      </c>
      <c r="N242" s="1189">
        <v>5</v>
      </c>
      <c r="Q242" s="2022"/>
      <c r="R242" s="2023"/>
      <c r="Y242" s="1979" t="s">
        <v>237</v>
      </c>
      <c r="Z242" s="2079"/>
      <c r="AA242" s="2080" t="s">
        <v>189</v>
      </c>
      <c r="AB242" s="2080" t="s">
        <v>3215</v>
      </c>
      <c r="AC242" s="2080" t="s">
        <v>190</v>
      </c>
      <c r="AD242" s="2096"/>
      <c r="AE242"/>
      <c r="AF242"/>
      <c r="AG242"/>
      <c r="AH242"/>
      <c r="AI242"/>
      <c r="AM242" s="2097"/>
      <c r="AN242" s="2097"/>
      <c r="AO242" s="2097"/>
      <c r="AP242" s="2098"/>
      <c r="AQ242"/>
      <c r="AR242"/>
      <c r="AS242"/>
    </row>
    <row r="243" ht="18" customHeight="1" spans="2:45">
      <c r="B243" s="1755" t="s">
        <v>3232</v>
      </c>
      <c r="C243" s="1760" t="s">
        <v>3233</v>
      </c>
      <c r="D243" s="1760" t="s">
        <v>3234</v>
      </c>
      <c r="E243" s="1830" t="s">
        <v>3233</v>
      </c>
      <c r="G243" s="1704" t="s">
        <v>3235</v>
      </c>
      <c r="I243" s="2022"/>
      <c r="J243" s="2023" t="s">
        <v>3236</v>
      </c>
      <c r="M243" s="2030" t="s">
        <v>2322</v>
      </c>
      <c r="N243" s="1188">
        <v>5</v>
      </c>
      <c r="Q243" s="2022"/>
      <c r="R243" s="2023"/>
      <c r="S243" s="2055"/>
      <c r="Y243" s="1979" t="s">
        <v>237</v>
      </c>
      <c r="Z243" s="1888" t="s">
        <v>196</v>
      </c>
      <c r="AA243" s="1893" t="str">
        <f>Z227</f>
        <v>10</v>
      </c>
      <c r="AB243" s="1893">
        <f>Z231</f>
        <v>40</v>
      </c>
      <c r="AC243" s="1893">
        <f>Z229</f>
        <v>1000</v>
      </c>
      <c r="AD243" s="1912"/>
      <c r="AE243"/>
      <c r="AF243"/>
      <c r="AG243"/>
      <c r="AH243"/>
      <c r="AI243"/>
      <c r="AM243" s="2097"/>
      <c r="AN243" s="2097"/>
      <c r="AO243" s="2097"/>
      <c r="AP243" s="2098"/>
      <c r="AQ243"/>
      <c r="AR243"/>
      <c r="AS243"/>
    </row>
    <row r="244" ht="18" customHeight="1" spans="2:45">
      <c r="B244" s="1726" t="str">
        <f>职业列表!A256</f>
        <v>最大信誉大于</v>
      </c>
      <c r="C244" s="1728">
        <f>职业列表!A258</f>
        <v>90</v>
      </c>
      <c r="D244" s="1728" t="str">
        <f>职业列表!A250</f>
        <v>最小信誉大于</v>
      </c>
      <c r="E244" s="1793">
        <f>职业列表!A252</f>
        <v>50</v>
      </c>
      <c r="J244" s="1704" t="s">
        <v>3237</v>
      </c>
      <c r="M244" s="2031" t="s">
        <v>2330</v>
      </c>
      <c r="N244" s="1189">
        <v>5</v>
      </c>
      <c r="Q244" s="2022"/>
      <c r="R244" s="2023"/>
      <c r="S244" s="2055"/>
      <c r="Y244" s="1979" t="s">
        <v>3238</v>
      </c>
      <c r="Z244" s="1723" t="s">
        <v>3239</v>
      </c>
      <c r="AD244" s="1792"/>
      <c r="AE244"/>
      <c r="AF244"/>
      <c r="AG244"/>
      <c r="AH244"/>
      <c r="AI244"/>
      <c r="AM244" s="2097"/>
      <c r="AN244" s="2097"/>
      <c r="AO244" s="2097"/>
      <c r="AP244" s="2098"/>
      <c r="AQ244"/>
      <c r="AR244"/>
      <c r="AS244"/>
    </row>
    <row r="245" ht="18" customHeight="1" spans="2:45">
      <c r="B245" s="2012" t="s">
        <v>1171</v>
      </c>
      <c r="D245" s="2013" t="s">
        <v>1169</v>
      </c>
      <c r="E245" s="1792"/>
      <c r="J245" s="1704" t="s">
        <v>3240</v>
      </c>
      <c r="M245" s="2030" t="s">
        <v>2338</v>
      </c>
      <c r="N245" s="1188">
        <v>5</v>
      </c>
      <c r="S245" s="2055"/>
      <c r="Y245" s="1979" t="s">
        <v>3241</v>
      </c>
      <c r="Z245" s="2081" t="s">
        <v>3242</v>
      </c>
      <c r="AA245" s="2070">
        <f>ROUND($Z$227*AD245,2)</f>
        <v>67.75</v>
      </c>
      <c r="AB245" s="2070">
        <f>ROUND($Z$231*AD245,2)</f>
        <v>271</v>
      </c>
      <c r="AC245" s="2070">
        <f>IF($Z$229="没有","没有",ROUND($Z$229*AD245,2))</f>
        <v>6774.9</v>
      </c>
      <c r="AD245" s="1792">
        <v>6.7749</v>
      </c>
      <c r="AE245"/>
      <c r="AF245"/>
      <c r="AG245"/>
      <c r="AH245"/>
      <c r="AI245"/>
      <c r="AM245" s="2097"/>
      <c r="AN245" s="2097"/>
      <c r="AO245" s="2097"/>
      <c r="AP245" s="2098"/>
      <c r="AQ245"/>
      <c r="AR245"/>
      <c r="AS245"/>
    </row>
    <row r="246" ht="18" customHeight="1" spans="2:45">
      <c r="B246" s="2014" t="s">
        <v>3243</v>
      </c>
      <c r="C246" s="1728"/>
      <c r="D246" s="2015" t="s">
        <v>3244</v>
      </c>
      <c r="E246" s="1793"/>
      <c r="J246" s="1704" t="s">
        <v>3245</v>
      </c>
      <c r="M246" s="2038" t="s">
        <v>2348</v>
      </c>
      <c r="N246" s="1190">
        <v>5</v>
      </c>
      <c r="Y246" s="1979" t="s">
        <v>3246</v>
      </c>
      <c r="Z246" s="2082" t="s">
        <v>3247</v>
      </c>
      <c r="AA246" s="2070">
        <f>ROUND($Z$227*AD246,0)</f>
        <v>78</v>
      </c>
      <c r="AB246" s="2070">
        <f>ROUND($Z$231*AD246,0)</f>
        <v>312</v>
      </c>
      <c r="AC246" s="2070">
        <f>IF($Z$229="没有","没有",ROUND($Z$229*AD246,0))</f>
        <v>7812</v>
      </c>
      <c r="AD246" s="1792">
        <v>7.8115</v>
      </c>
      <c r="AE246"/>
      <c r="AF246"/>
      <c r="AG246"/>
      <c r="AH246"/>
      <c r="AI246"/>
      <c r="AM246" s="2097"/>
      <c r="AN246" s="2097"/>
      <c r="AO246" s="2097"/>
      <c r="AP246" s="2098"/>
      <c r="AQ246"/>
      <c r="AR246"/>
      <c r="AS246"/>
    </row>
    <row r="247" ht="18" customHeight="1" spans="2:45">
      <c r="B247" s="1704" t="str">
        <f>I253&amp;I254&amp;I255&amp;I256&amp;I257&amp;I258&amp;I259&amp;I260&amp;I261&amp;I262&amp;I263&amp;I264&amp;I265&amp;I266&amp;I267&amp;I268&amp;I269&amp;I270&amp;I271&amp;I272&amp;I273&amp;I274&amp;I275&amp;I276&amp;I277&amp;I278&amp;I279&amp;I280&amp;I281&amp;I282&amp;I283&amp;I284&amp;I285&amp;I286&amp;I287&amp;I288&amp;I289&amp;I290&amp;I291&amp;I292&amp;I293&amp;I294&amp;I295&amp;I296&amp;I297&amp;I298&amp;I299&amp;I300&amp;I301&amp;I302&amp;I303&amp;I304&amp;I305&amp;I306&amp;I307&amp;I308&amp;I309&amp;I310&amp;I311&amp;I312&amp;I313&amp;I314&amp;I315&amp;I316&amp;I317&amp;I318&amp;I319&amp;I320&amp;I321&amp;I322&amp;I323&amp;I324&amp;I325&amp;I326&amp;I327&amp;I328&amp;I329&amp;I330&amp;I331&amp;I332&amp;I333&amp;I334&amp;I335&amp;I336&amp;I337&amp;I338&amp;I339&amp;I340&amp;I341&amp;I342&amp;I343&amp;I344&amp;I345&amp;I346&amp;I347&amp;I348&amp;I349&amp;I350&amp;I351&amp;I352&amp;I353&amp;I354&amp;I355&amp;I356&amp;I357&amp;I358&amp;I359&amp;I360&amp;I361&amp;I362&amp;I363&amp;I364&amp;I365&amp;I366&amp;I367&amp;I368&amp;I369&amp;I370&amp;I371&amp;I372&amp;I373&amp;I374&amp;I375&amp;I376&amp;I377&amp;I378&amp;I379&amp;I380&amp;I381&amp;I382&amp;I383&amp;I384&amp;I385&amp;I386&amp;I387&amp;I388&amp;I389&amp;I390&amp;I391&amp;I392&amp;I393&amp;I394&amp;I395&amp;I396&amp;I397&amp;I398&amp;I399&amp;I400&amp;I401&amp;I402&amp;I403&amp;I404&amp;I405&amp;I406&amp;I407&amp;I408&amp;I409&amp;I410&amp;I411&amp;I412&amp;I413&amp;I414&amp;I415&amp;I416&amp;I417&amp;I418&amp;I419&amp;I420&amp;I421&amp;I422&amp;I423&amp;I424&amp;I425&amp;I426&amp;I427&amp;I428&amp;I429&amp;I430&amp;I431&amp;I432&amp;I433&amp;I434&amp;I435&amp;I436&amp;I437&amp;I438&amp;I439&amp;I440&amp;I441&amp;I442&amp;I443&amp;I444&amp;I445&amp;I446&amp;I447&amp;I448&amp;I449&amp;I450&amp;I451&amp;I452&amp;I453&amp;I454&amp;I455&amp;I456&amp;I457&amp;I458&amp;I459&amp;I460&amp;I461&amp;I462&amp;I463&amp;I464&amp;I465&amp;I466&amp;I467&amp;I468&amp;I469&amp;I470&amp;I471&amp;I472&amp;I473&amp;I474&amp;I475&amp;I476&amp;I477&amp;I478&amp;I479&amp;I480&amp;I481&amp;I482</f>
        <v>1自定义职业、5演员-电影演员、27工匠、42业余艺术爱好者（原作向）、50政府官员、60黑帮-黑帮老大、62绅士/淑女、116大使、150证券经纪人、207贵族、</v>
      </c>
      <c r="C247" s="2001">
        <v>0</v>
      </c>
      <c r="D247" s="1704" t="str">
        <f>H253&amp;H254&amp;H255&amp;H256&amp;H257&amp;H258&amp;H259&amp;H260&amp;H261&amp;H262&amp;H263&amp;H264&amp;H265&amp;H266&amp;H267&amp;H268&amp;H269&amp;H270&amp;H271&amp;H272&amp;H273&amp;H274&amp;H275&amp;H276&amp;H277&amp;H278&amp;H279&amp;H280&amp;H281&amp;H282&amp;H283&amp;H284&amp;H285&amp;H286&amp;H287&amp;H288&amp;H289&amp;H290&amp;H291&amp;H292&amp;H293&amp;H294&amp;H295&amp;H296&amp;H297&amp;H298&amp;H299&amp;H300&amp;H301&amp;H302&amp;H303&amp;H304&amp;H305&amp;H306&amp;H307&amp;H308&amp;H309&amp;H310&amp;H311&amp;H312&amp;H313&amp;H314&amp;H315&amp;H316&amp;H317&amp;H318&amp;H319&amp;H320&amp;H321&amp;H322&amp;H323&amp;H324&amp;H325&amp;H326&amp;H327&amp;H328&amp;H329&amp;H330&amp;H331&amp;H332&amp;H333&amp;H334&amp;H335&amp;H336&amp;H337&amp;H338&amp;H339&amp;H340&amp;H341&amp;H342&amp;H343&amp;H344&amp;H345&amp;H346&amp;H347&amp;H348&amp;H349&amp;H350&amp;H351&amp;H352&amp;H353&amp;H354&amp;H355&amp;H356&amp;H357&amp;H358&amp;H359&amp;H360&amp;H361&amp;H362&amp;H363&amp;H364&amp;H365&amp;H366&amp;H367&amp;H368&amp;H369&amp;H370&amp;H371&amp;H372&amp;H373&amp;H374&amp;H375&amp;H376&amp;H377&amp;H378&amp;H379&amp;H380&amp;H381&amp;H382&amp;H383&amp;H384&amp;H385&amp;H386&amp;H387&amp;H388&amp;H389&amp;H390&amp;H391&amp;H392&amp;H393&amp;H394&amp;H395&amp;H396&amp;H397&amp;H398&amp;H399&amp;H400&amp;H401&amp;H402&amp;H403&amp;H404&amp;H405&amp;H406&amp;H407&amp;H408&amp;H409&amp;H410&amp;H411&amp;H412&amp;H413&amp;H414&amp;H415&amp;H416&amp;H417&amp;H418&amp;H419&amp;H420&amp;H421&amp;H422&amp;H423&amp;H424&amp;H425&amp;H426&amp;H427&amp;H428&amp;H429&amp;H430&amp;H431&amp;H432&amp;H433&amp;H434&amp;H435&amp;H436&amp;H437&amp;H438&amp;H439&amp;H440&amp;H441&amp;H442&amp;H443&amp;H444&amp;H445&amp;H446&amp;H447&amp;H448&amp;H449&amp;H450&amp;H451&amp;H452&amp;H453&amp;H454&amp;H455&amp;H456&amp;H457&amp;H458&amp;H459&amp;H460&amp;H461&amp;H462&amp;H463&amp;H464&amp;H465&amp;H466&amp;H467&amp;H468&amp;H469&amp;H470&amp;H471&amp;H472&amp;H473&amp;H474&amp;H475&amp;H476&amp;H477&amp;H478&amp;H479&amp;H480&amp;H481&amp;H482</f>
        <v>42业余艺术爱好者（原作向）、50政府官员、53探险家（古典）、60黑帮-黑帮老大、67法官、116大使、118运动员（高尔夫）、121发言人、122保释担保人、129罪犯（赌博庄家）、130罪犯（放高利贷者）、135外科医生/内科医生、144赛车手/ 赛艇手、145电台播音员、148小企业家、150证券经纪人、185冒险家教授、191播音员、192主持人、193电视解说员、207贵族、</v>
      </c>
      <c r="E247" s="2001">
        <v>0</v>
      </c>
      <c r="J247" s="1704" t="s">
        <v>3248</v>
      </c>
      <c r="M247" s="2039" t="str">
        <f>IF(ISBLANK(人物卡!AU27),"",人物卡!AU27)</f>
        <v/>
      </c>
      <c r="N247" s="2040" t="str">
        <f>IF(ISBLANK(人物卡!BA27),"",人物卡!BA27)</f>
        <v/>
      </c>
      <c r="Y247" s="1979" t="s">
        <v>3249</v>
      </c>
      <c r="Z247" s="2083" t="s">
        <v>3250</v>
      </c>
      <c r="AA247" s="2070">
        <f>ROUND($Z$227*AD247,0)</f>
        <v>304</v>
      </c>
      <c r="AB247" s="2070">
        <f>ROUND($Z$231*AD247,0)</f>
        <v>1217</v>
      </c>
      <c r="AC247" s="2070">
        <f>IF($Z$229="没有","没有",ROUND($Z$229*AD247,0))</f>
        <v>30430</v>
      </c>
      <c r="AD247" s="1792">
        <v>30.43</v>
      </c>
      <c r="AE247"/>
      <c r="AF247"/>
      <c r="AG247"/>
      <c r="AH247"/>
      <c r="AI247"/>
      <c r="AM247" s="2097"/>
      <c r="AN247" s="2097"/>
      <c r="AO247" s="2097"/>
      <c r="AP247" s="2098"/>
      <c r="AQ247"/>
      <c r="AR247"/>
      <c r="AS247"/>
    </row>
    <row r="248" ht="18" customHeight="1" spans="10:45">
      <c r="J248" s="1704" t="s">
        <v>3251</v>
      </c>
      <c r="Y248" s="1979" t="s">
        <v>3252</v>
      </c>
      <c r="Z248" s="2083" t="s">
        <v>3253</v>
      </c>
      <c r="AA248" s="2070">
        <f>ROUND($Z$227*AD248,0)</f>
        <v>1324</v>
      </c>
      <c r="AB248" s="2070">
        <f>ROUND($Z$231*AD248,0)</f>
        <v>5294</v>
      </c>
      <c r="AC248" s="2070">
        <f>IF($Z$229="没有","没有",ROUND($Z$229*AD248,0))</f>
        <v>132350</v>
      </c>
      <c r="AD248" s="1792">
        <v>132.35</v>
      </c>
      <c r="AE248"/>
      <c r="AF248"/>
      <c r="AG248"/>
      <c r="AH248"/>
      <c r="AI248"/>
      <c r="AM248" s="2097"/>
      <c r="AN248" s="2097"/>
      <c r="AO248" s="2097"/>
      <c r="AP248" s="2098"/>
      <c r="AQ248"/>
      <c r="AR248"/>
      <c r="AS248"/>
    </row>
    <row r="249" ht="18" customHeight="1" spans="25:45">
      <c r="Y249" s="1979" t="s">
        <v>3254</v>
      </c>
      <c r="Z249" s="2083" t="s">
        <v>3255</v>
      </c>
      <c r="AA249" s="2070">
        <f>ROUND($Z$227*AD249,0)</f>
        <v>12455</v>
      </c>
      <c r="AB249" s="2070">
        <f>ROUND($Z$231*AD249,0)</f>
        <v>49819</v>
      </c>
      <c r="AC249" s="2070">
        <f>IF($Z$229="没有","没有",ROUND($Z$229*AD249,0))</f>
        <v>1245480</v>
      </c>
      <c r="AD249" s="1774">
        <v>1245.48</v>
      </c>
      <c r="AE249"/>
      <c r="AF249" s="18"/>
      <c r="AG249" s="18"/>
      <c r="AH249" s="18"/>
      <c r="AI249" s="18"/>
      <c r="AJ249" s="18"/>
      <c r="AK249" s="18"/>
      <c r="AL249" s="18"/>
      <c r="AM249" s="18"/>
      <c r="AN249" s="18"/>
      <c r="AO249" s="18"/>
      <c r="AP249" s="18"/>
      <c r="AQ249"/>
      <c r="AR249"/>
      <c r="AS249"/>
    </row>
    <row r="250" ht="18" customHeight="1" spans="25:45">
      <c r="Y250" s="1979" t="s">
        <v>3256</v>
      </c>
      <c r="Z250" s="2083" t="s">
        <v>3257</v>
      </c>
      <c r="AA250" s="2070">
        <f>ROUND($Z$227*AD250,0)</f>
        <v>334</v>
      </c>
      <c r="AB250" s="2070">
        <f>ROUND($Z$231*AD250,0)</f>
        <v>1338</v>
      </c>
      <c r="AC250" s="2070">
        <f>IF($Z$229="没有","没有",ROUND($Z$229*AD250,0))</f>
        <v>33440</v>
      </c>
      <c r="AD250" s="1792">
        <v>33.44</v>
      </c>
      <c r="AE250"/>
      <c r="AF250" s="18"/>
      <c r="AG250" s="18"/>
      <c r="AH250" s="18"/>
      <c r="AI250" s="18"/>
      <c r="AJ250" s="18"/>
      <c r="AK250" s="18"/>
      <c r="AL250" s="18"/>
      <c r="AM250" s="18"/>
      <c r="AN250" s="18"/>
      <c r="AO250" s="18"/>
      <c r="AP250" s="18"/>
      <c r="AQ250"/>
      <c r="AR250"/>
      <c r="AS250"/>
    </row>
    <row r="251" ht="18" customHeight="1" spans="6:45">
      <c r="F251" s="1888">
        <f>IF(D244=D245,0,1)</f>
        <v>0</v>
      </c>
      <c r="G251" s="1912">
        <f>IF(B244=B245,0,1)</f>
        <v>0</v>
      </c>
      <c r="Y251" s="1979" t="s">
        <v>3258</v>
      </c>
      <c r="Z251" s="2082" t="s">
        <v>3259</v>
      </c>
      <c r="AA251" s="2070">
        <f>ROUND($Z$227*AD251,2)</f>
        <v>13.32</v>
      </c>
      <c r="AB251" s="2070">
        <f>ROUND($Z$231*AD251,2)</f>
        <v>53.26</v>
      </c>
      <c r="AC251" s="2070">
        <f>IF($Z$229="没有","没有",ROUND($Z$229*AD251,2))</f>
        <v>1331.5</v>
      </c>
      <c r="AD251" s="1774">
        <v>1.3315</v>
      </c>
      <c r="AE251"/>
      <c r="AF251" s="18"/>
      <c r="AG251" s="18"/>
      <c r="AH251" s="18"/>
      <c r="AI251" s="18"/>
      <c r="AJ251" s="18"/>
      <c r="AK251" s="18"/>
      <c r="AL251" s="18"/>
      <c r="AM251" s="18"/>
      <c r="AN251" s="18"/>
      <c r="AO251" s="18"/>
      <c r="AP251" s="18"/>
      <c r="AQ251"/>
      <c r="AR251"/>
      <c r="AS251"/>
    </row>
    <row r="252" ht="18" customHeight="1" spans="2:45">
      <c r="B252" s="1165" t="s">
        <v>445</v>
      </c>
      <c r="C252" s="1165" t="s">
        <v>16</v>
      </c>
      <c r="D252" s="2016" t="s">
        <v>3234</v>
      </c>
      <c r="E252" s="2019" t="s">
        <v>3232</v>
      </c>
      <c r="F252" s="2019" t="s">
        <v>3260</v>
      </c>
      <c r="G252" s="2019" t="s">
        <v>3261</v>
      </c>
      <c r="H252" s="1755" t="s">
        <v>3260</v>
      </c>
      <c r="I252" s="1760" t="s">
        <v>3261</v>
      </c>
      <c r="J252" s="1830" t="s">
        <v>3262</v>
      </c>
      <c r="K252" s="1174" t="s">
        <v>448</v>
      </c>
      <c r="L252" s="1191"/>
      <c r="M252" s="1174" t="s">
        <v>3263</v>
      </c>
      <c r="N252" s="1191"/>
      <c r="O252" s="2041" t="s">
        <v>16</v>
      </c>
      <c r="P252" s="2041" t="s">
        <v>1322</v>
      </c>
      <c r="Q252" s="2019" t="s">
        <v>3260</v>
      </c>
      <c r="R252" s="2019" t="s">
        <v>3261</v>
      </c>
      <c r="S252" s="1165" t="s">
        <v>3264</v>
      </c>
      <c r="X252" s="1165"/>
      <c r="Y252" s="1979" t="s">
        <v>3265</v>
      </c>
      <c r="Z252" s="1723" t="s">
        <v>3266</v>
      </c>
      <c r="AA252" s="1167"/>
      <c r="AB252" s="1167"/>
      <c r="AC252" s="1167"/>
      <c r="AD252" s="1792"/>
      <c r="AE252"/>
      <c r="AF252" s="18"/>
      <c r="AG252" s="18"/>
      <c r="AH252" s="18"/>
      <c r="AI252"/>
      <c r="AM252" s="2097"/>
      <c r="AN252" s="2097"/>
      <c r="AO252" s="2097"/>
      <c r="AP252" s="2098"/>
      <c r="AQ252"/>
      <c r="AR252"/>
      <c r="AS252"/>
    </row>
    <row r="253" ht="18" customHeight="1" spans="2:44">
      <c r="B253" s="1704">
        <f>职业列表!A3</f>
        <v>1</v>
      </c>
      <c r="C253" s="1704" t="str">
        <f>职业列表!B3</f>
        <v>自定义职业</v>
      </c>
      <c r="D253" s="2017">
        <f>职业列表!D3</f>
        <v>0</v>
      </c>
      <c r="E253" s="2020" t="str">
        <f>职业列表!E3</f>
        <v>50</v>
      </c>
      <c r="F253" s="2020">
        <f>IF(F251=1,IF(E244&gt;=D253,1,0),IF(E244&lt;=D253,1,0))</f>
        <v>0</v>
      </c>
      <c r="G253" s="2020">
        <f>IF(G251=1,IF(C244&gt;=E253,1,0),IF(C244&lt;=E253,1,0))</f>
        <v>1</v>
      </c>
      <c r="H253" s="1723" t="str">
        <f t="shared" ref="H253:H316" si="8">IF(F253=1,B253&amp;C253&amp;"、","")</f>
        <v/>
      </c>
      <c r="I253" s="1704" t="str">
        <f t="shared" ref="I253:I316" si="9">IF(G253=1,B253&amp;C253&amp;"、","")</f>
        <v>1自定义职业、</v>
      </c>
      <c r="J253" s="1792" t="str">
        <f t="shared" ref="J253:J316" si="10">IF(F253+G253=2,B253&amp;C253,"")</f>
        <v/>
      </c>
      <c r="K253" s="1723" t="str">
        <f>职业列表!F3</f>
        <v>教育×2+力量×2或体质×2</v>
      </c>
      <c r="L253" s="1792" t="str">
        <f>IF(ISNUMBER(FIND(B241,K253)),B253&amp;C253&amp;"、","")</f>
        <v>1自定义职业、</v>
      </c>
      <c r="M253" s="2042" t="str">
        <f>职业列表!H3</f>
        <v>不多于8个本职技能。在职业属性中输入第二职业属性的数值（留空则视为EDU）并自行设置起始信誉。使用自定义职业前，请先咨询你的守秘人。</v>
      </c>
      <c r="N253" s="1188" t="str">
        <f>IF(ISNUMBER(FIND(B239,M253)),B253&amp;C253&amp;"、","")</f>
        <v/>
      </c>
      <c r="O253" s="1704">
        <f t="shared" ref="O253:O316" si="11">IF(L253="",0,16)</f>
        <v>16</v>
      </c>
      <c r="P253" s="1704">
        <f t="shared" ref="P253:P316" si="12">IF(N253="",0,37)</f>
        <v>0</v>
      </c>
      <c r="Q253" s="1704">
        <f t="shared" ref="Q253:Q316" si="13">IF(F253=1,49,0)</f>
        <v>0</v>
      </c>
      <c r="R253" s="1704">
        <f t="shared" ref="R253:R316" si="14">IF(G253=1,69,0)</f>
        <v>69</v>
      </c>
      <c r="S253" s="1167">
        <f t="shared" ref="S253:S316" si="15">SUM(O253:R253)</f>
        <v>85</v>
      </c>
      <c r="Y253" s="1979" t="s">
        <v>3267</v>
      </c>
      <c r="Z253" s="2082" t="s">
        <v>3268</v>
      </c>
      <c r="AA253" s="2070">
        <f t="shared" ref="AA253:AA254" si="16">ROUND($Z$227*AD253,2)</f>
        <v>9.3</v>
      </c>
      <c r="AB253" s="2070">
        <f t="shared" ref="AB253:AB254" si="17">ROUND($Z$231*AD253,2)</f>
        <v>37.22</v>
      </c>
      <c r="AC253" s="2070">
        <f t="shared" ref="AC253:AC254" si="18">IF($Z$229="没有","没有",ROUND($Z$229*AD253,2))</f>
        <v>930.4</v>
      </c>
      <c r="AD253" s="1792">
        <v>0.9304</v>
      </c>
      <c r="AE253"/>
      <c r="AF253" s="18"/>
      <c r="AG253" s="18"/>
      <c r="AH253" s="18"/>
      <c r="AI253"/>
      <c r="AM253" s="2097"/>
      <c r="AN253" s="2097"/>
      <c r="AO253" s="2097"/>
      <c r="AP253" s="2098"/>
      <c r="AQ253" s="2099"/>
      <c r="AR253" s="2099"/>
    </row>
    <row r="254" ht="18" customHeight="1" spans="2:44">
      <c r="B254" s="1704">
        <f>职业列表!A4</f>
        <v>2</v>
      </c>
      <c r="C254" s="1704" t="str">
        <f>职业列表!B4</f>
        <v>会计师</v>
      </c>
      <c r="D254" s="2017">
        <f>职业列表!D4</f>
        <v>30</v>
      </c>
      <c r="E254" s="2020">
        <f>职业列表!E4</f>
        <v>70</v>
      </c>
      <c r="F254" s="2020">
        <f>IF(F251=1,IF(E244&gt;=D254,1,0),IF(E244&lt;=D254,1,0))</f>
        <v>0</v>
      </c>
      <c r="G254" s="2020">
        <f>IF(G251=1,IF(C244&gt;=E254,1,0),IF(C244&lt;=E254,1,0))</f>
        <v>0</v>
      </c>
      <c r="H254" s="1723" t="str">
        <f t="shared" si="8"/>
        <v/>
      </c>
      <c r="I254" s="1704" t="str">
        <f t="shared" si="9"/>
        <v/>
      </c>
      <c r="J254" s="1792" t="str">
        <f t="shared" si="10"/>
        <v/>
      </c>
      <c r="K254" s="1723" t="str">
        <f>职业列表!F4</f>
        <v>教育×4</v>
      </c>
      <c r="L254" s="1792" t="str">
        <f>IF(ISNUMBER(FIND(B241,K254)),B254&amp;C254&amp;"、","")</f>
        <v/>
      </c>
      <c r="M254" s="2042" t="str">
        <f>职业列表!H4</f>
        <v>会计，法律，图书馆，聆听，说服，侦查，任意其他两项个人或时代特长。</v>
      </c>
      <c r="N254" s="1188" t="str">
        <f>IF(ISNUMBER(FIND(B239,M254)),B254&amp;C254&amp;"、","")</f>
        <v/>
      </c>
      <c r="O254" s="1704">
        <f t="shared" si="11"/>
        <v>0</v>
      </c>
      <c r="P254" s="1704">
        <f t="shared" si="12"/>
        <v>0</v>
      </c>
      <c r="Q254" s="1704">
        <f t="shared" si="13"/>
        <v>0</v>
      </c>
      <c r="R254" s="1704">
        <f t="shared" si="14"/>
        <v>0</v>
      </c>
      <c r="S254" s="1167">
        <f t="shared" si="15"/>
        <v>0</v>
      </c>
      <c r="Y254" s="1979" t="s">
        <v>3269</v>
      </c>
      <c r="Z254" s="2083" t="s">
        <v>3270</v>
      </c>
      <c r="AA254" s="2070">
        <f t="shared" si="16"/>
        <v>8.22</v>
      </c>
      <c r="AB254" s="2070">
        <f t="shared" si="17"/>
        <v>32.89</v>
      </c>
      <c r="AC254" s="2070">
        <f t="shared" si="18"/>
        <v>822.2</v>
      </c>
      <c r="AD254" s="1792">
        <v>0.8222</v>
      </c>
      <c r="AE254"/>
      <c r="AF254" s="18"/>
      <c r="AG254" s="18"/>
      <c r="AH254" s="18"/>
      <c r="AI254"/>
      <c r="AM254" s="2097"/>
      <c r="AN254" s="2097"/>
      <c r="AO254" s="2097"/>
      <c r="AP254" s="2098"/>
      <c r="AQ254" s="1875"/>
      <c r="AR254" s="1875"/>
    </row>
    <row r="255" ht="18" customHeight="1" spans="2:37">
      <c r="B255" s="1704">
        <f>职业列表!A5</f>
        <v>3</v>
      </c>
      <c r="C255" s="1704" t="str">
        <f>职业列表!B5</f>
        <v>杂技演员</v>
      </c>
      <c r="D255" s="2017">
        <f>职业列表!D5</f>
        <v>9</v>
      </c>
      <c r="E255" s="2020">
        <f>职业列表!E5</f>
        <v>20</v>
      </c>
      <c r="F255" s="2020">
        <f>IF(F251=1,IF(E244&gt;=D255,1,0),IF(E244&lt;=D255,1,0))</f>
        <v>0</v>
      </c>
      <c r="G255" s="2020">
        <f>IF(G251=1,IF(C244&gt;=E255,1,0),IF(C244&lt;=E255,1,0))</f>
        <v>0</v>
      </c>
      <c r="H255" s="1723" t="str">
        <f t="shared" si="8"/>
        <v/>
      </c>
      <c r="I255" s="1704" t="str">
        <f t="shared" si="9"/>
        <v/>
      </c>
      <c r="J255" s="1792" t="str">
        <f t="shared" si="10"/>
        <v/>
      </c>
      <c r="K255" s="1723" t="str">
        <f>职业列表!F5</f>
        <v>教育×2＋敏捷×2</v>
      </c>
      <c r="L255" s="1792" t="str">
        <f>IF(ISNUMBER(FIND(B241,K255)),B255&amp;C255&amp;"、","")</f>
        <v/>
      </c>
      <c r="M255" s="2042" t="str">
        <f>职业列表!H5</f>
        <v>攀爬，闪避，跳跃，投掷，侦查，游泳，任意两项其他个人或时代特长。</v>
      </c>
      <c r="N255" s="1188" t="str">
        <f>IF(ISNUMBER(FIND(B239,M255)),B255&amp;C255&amp;"、","")</f>
        <v/>
      </c>
      <c r="O255" s="1704">
        <f t="shared" si="11"/>
        <v>0</v>
      </c>
      <c r="P255" s="1704">
        <f t="shared" si="12"/>
        <v>0</v>
      </c>
      <c r="Q255" s="1704">
        <f t="shared" si="13"/>
        <v>0</v>
      </c>
      <c r="R255" s="1704">
        <f t="shared" si="14"/>
        <v>0</v>
      </c>
      <c r="S255" s="1167">
        <f t="shared" si="15"/>
        <v>0</v>
      </c>
      <c r="Y255" s="1979" t="s">
        <v>3271</v>
      </c>
      <c r="Z255" s="2083" t="s">
        <v>3272</v>
      </c>
      <c r="AA255" s="2070">
        <f>ROUND($Z$227*AD255,0)</f>
        <v>696</v>
      </c>
      <c r="AB255" s="2070">
        <f>ROUND($Z$231*AD255,0)</f>
        <v>2783</v>
      </c>
      <c r="AC255" s="2070">
        <f>IF($Z$229="没有","没有",ROUND($Z$229*AD255,0))</f>
        <v>69565</v>
      </c>
      <c r="AD255" s="1774">
        <v>69.565</v>
      </c>
      <c r="AE255"/>
      <c r="AF255" s="18"/>
      <c r="AG255" s="18"/>
      <c r="AH255" s="18"/>
      <c r="AI255"/>
      <c r="AK255" s="1144"/>
    </row>
    <row r="256" ht="18" customHeight="1" spans="2:37">
      <c r="B256" s="1704">
        <f>职业列表!A6</f>
        <v>4</v>
      </c>
      <c r="C256" s="1704" t="str">
        <f>职业列表!B6</f>
        <v>演员-戏剧演员</v>
      </c>
      <c r="D256" s="2017">
        <f>职业列表!D6</f>
        <v>9</v>
      </c>
      <c r="E256" s="2020">
        <f>职业列表!E6</f>
        <v>40</v>
      </c>
      <c r="F256" s="2020">
        <f>IF(F251=1,IF(E244&gt;=D256,1,0),IF(E244&lt;=D256,1,0))</f>
        <v>0</v>
      </c>
      <c r="G256" s="2020">
        <f>IF(G251=1,IF(C244&gt;=E256,1,0),IF(C244&lt;=E256,1,0))</f>
        <v>0</v>
      </c>
      <c r="H256" s="1723" t="str">
        <f t="shared" si="8"/>
        <v/>
      </c>
      <c r="I256" s="1704" t="str">
        <f t="shared" si="9"/>
        <v/>
      </c>
      <c r="J256" s="1792" t="str">
        <f t="shared" si="10"/>
        <v/>
      </c>
      <c r="K256" s="1723" t="str">
        <f>职业列表!F6</f>
        <v>教育×2＋外貌×2</v>
      </c>
      <c r="L256" s="1792" t="str">
        <f>IF(ISNUMBER(FIND(B241,K256)),B256&amp;C256&amp;"、","")</f>
        <v/>
      </c>
      <c r="M256" s="2042" t="str">
        <f>职业列表!H6</f>
        <v>技艺（表演），乔装，格斗，历史，两项社交技能（取悦、话术、恐吓、说服），心理学，任意一项其他个人或时代特长。</v>
      </c>
      <c r="N256" s="1188" t="str">
        <f>IF(ISNUMBER(FIND(B239,M256)),B256&amp;C256&amp;"、","")</f>
        <v/>
      </c>
      <c r="O256" s="1704">
        <f t="shared" si="11"/>
        <v>0</v>
      </c>
      <c r="P256" s="1704">
        <f t="shared" si="12"/>
        <v>0</v>
      </c>
      <c r="Q256" s="1704">
        <f t="shared" si="13"/>
        <v>0</v>
      </c>
      <c r="R256" s="1704">
        <f t="shared" si="14"/>
        <v>0</v>
      </c>
      <c r="S256" s="1167">
        <f t="shared" si="15"/>
        <v>0</v>
      </c>
      <c r="Y256" s="1979" t="s">
        <v>3273</v>
      </c>
      <c r="Z256" s="1723" t="s">
        <v>3274</v>
      </c>
      <c r="AA256" s="1167"/>
      <c r="AB256" s="1167"/>
      <c r="AC256" s="1167"/>
      <c r="AD256" s="1792"/>
      <c r="AE256"/>
      <c r="AF256" s="18"/>
      <c r="AG256" s="18"/>
      <c r="AH256" s="18"/>
      <c r="AI256"/>
      <c r="AK256" s="1144"/>
    </row>
    <row r="257" ht="18" customHeight="1" spans="2:37">
      <c r="B257" s="1704">
        <f>职业列表!A7</f>
        <v>5</v>
      </c>
      <c r="C257" s="1704" t="str">
        <f>职业列表!B7</f>
        <v>演员-电影演员</v>
      </c>
      <c r="D257" s="2017">
        <f>职业列表!D7</f>
        <v>20</v>
      </c>
      <c r="E257" s="2020">
        <f>职业列表!E7</f>
        <v>90</v>
      </c>
      <c r="F257" s="2020">
        <f>IF(F251=1,IF(E244&gt;=D257,1,0),IF(E244&lt;=D257,1,0))</f>
        <v>0</v>
      </c>
      <c r="G257" s="2020">
        <f>IF(G251=1,IF(C244&gt;=E257,1,0),IF(C244&lt;=E257,1,0))</f>
        <v>1</v>
      </c>
      <c r="H257" s="1723" t="str">
        <f t="shared" si="8"/>
        <v/>
      </c>
      <c r="I257" s="1704" t="str">
        <f t="shared" si="9"/>
        <v>5演员-电影演员、</v>
      </c>
      <c r="J257" s="1792" t="str">
        <f t="shared" si="10"/>
        <v/>
      </c>
      <c r="K257" s="1723" t="str">
        <f>职业列表!F7</f>
        <v>教育×2＋外貌×2</v>
      </c>
      <c r="L257" s="1792" t="str">
        <f>IF(ISNUMBER(FIND(B241,K257)),B257&amp;C257&amp;"、","")</f>
        <v/>
      </c>
      <c r="M257" s="2042" t="str">
        <f>职业列表!H7</f>
        <v>技艺（表演），乔装，汽车驾驶，两项社交技能（取悦、话术、恐吓、说服），心理学，任意两项其他个人或时代特长（如骑乘或格斗）。</v>
      </c>
      <c r="N257" s="1188" t="str">
        <f>IF(ISNUMBER(FIND(B239,M257)),B257&amp;C257&amp;"、","")</f>
        <v/>
      </c>
      <c r="O257" s="1704">
        <f t="shared" si="11"/>
        <v>0</v>
      </c>
      <c r="P257" s="1704">
        <f t="shared" si="12"/>
        <v>0</v>
      </c>
      <c r="Q257" s="1704">
        <f t="shared" si="13"/>
        <v>0</v>
      </c>
      <c r="R257" s="1704">
        <f t="shared" si="14"/>
        <v>69</v>
      </c>
      <c r="S257" s="1167">
        <f t="shared" si="15"/>
        <v>69</v>
      </c>
      <c r="Y257" s="1979" t="s">
        <v>3275</v>
      </c>
      <c r="Z257" s="2082" t="s">
        <v>3276</v>
      </c>
      <c r="AA257" s="2070">
        <f t="shared" ref="AA257" si="19">ROUND($Z$227*AD257,2)</f>
        <v>13.43</v>
      </c>
      <c r="AB257" s="2070">
        <f t="shared" ref="AB257" si="20">ROUND($Z$231*AD257,2)</f>
        <v>53.73</v>
      </c>
      <c r="AC257" s="2070">
        <f t="shared" ref="AC257" si="21">IF($Z$229="没有","没有",ROUND($Z$229*AD257,2))</f>
        <v>1343.2</v>
      </c>
      <c r="AD257" s="1774">
        <v>1.3432</v>
      </c>
      <c r="AE257"/>
      <c r="AF257" s="18"/>
      <c r="AG257" s="18"/>
      <c r="AH257"/>
      <c r="AI257"/>
      <c r="AK257" s="1144"/>
    </row>
    <row r="258" ht="18" customHeight="1" spans="2:37">
      <c r="B258" s="1704">
        <f>职业列表!A8</f>
        <v>6</v>
      </c>
      <c r="C258" s="1704" t="str">
        <f>职业列表!B8</f>
        <v>事务所侦探/保安</v>
      </c>
      <c r="D258" s="2017">
        <f>职业列表!D8</f>
        <v>20</v>
      </c>
      <c r="E258" s="2020">
        <f>职业列表!E8</f>
        <v>45</v>
      </c>
      <c r="F258" s="2020">
        <f>IF(F251=1,IF(E244&gt;=D258,1,0),IF(E244&lt;=D258,1,0))</f>
        <v>0</v>
      </c>
      <c r="G258" s="2020">
        <f>IF(G251=1,IF(C244&gt;=E258,1,0),IF(C244&lt;=E258,1,0))</f>
        <v>0</v>
      </c>
      <c r="H258" s="1723" t="str">
        <f t="shared" si="8"/>
        <v/>
      </c>
      <c r="I258" s="1704" t="str">
        <f t="shared" si="9"/>
        <v/>
      </c>
      <c r="J258" s="1792" t="str">
        <f t="shared" si="10"/>
        <v/>
      </c>
      <c r="K258" s="1723" t="str">
        <f>职业列表!F8</f>
        <v>教育×2＋力量或敏捷×2</v>
      </c>
      <c r="L258" s="1792" t="str">
        <f>IF(ISNUMBER(FIND(B241,K258)),B258&amp;C258&amp;"、","")</f>
        <v>6事务所侦探/保安、</v>
      </c>
      <c r="M258" s="2042" t="str">
        <f>职业列表!H8</f>
        <v>一项社交技能（取悦、话术、恐吓、说服），格斗（斗殴），射击，法律，图书馆，心理学，潜行，追踪。</v>
      </c>
      <c r="N258" s="1188" t="str">
        <f>IF(ISNUMBER(FIND(B239,M258)),B258&amp;C258&amp;"、","")</f>
        <v/>
      </c>
      <c r="O258" s="1704">
        <f t="shared" si="11"/>
        <v>16</v>
      </c>
      <c r="P258" s="1704">
        <f t="shared" si="12"/>
        <v>0</v>
      </c>
      <c r="Q258" s="1704">
        <f t="shared" si="13"/>
        <v>0</v>
      </c>
      <c r="R258" s="1704">
        <f t="shared" si="14"/>
        <v>0</v>
      </c>
      <c r="S258" s="1167">
        <f t="shared" si="15"/>
        <v>16</v>
      </c>
      <c r="Y258" s="1979" t="s">
        <v>3277</v>
      </c>
      <c r="Z258" s="2082" t="s">
        <v>3278</v>
      </c>
      <c r="AA258" s="2070">
        <f>ROUND($Z$227*AD258,0)</f>
        <v>191</v>
      </c>
      <c r="AB258" s="2070">
        <f>ROUND($Z$231*AD258,0)</f>
        <v>763</v>
      </c>
      <c r="AC258" s="2070">
        <f>IF($Z$229="没有","没有",ROUND($Z$229*AD258,0))</f>
        <v>19086</v>
      </c>
      <c r="AD258" s="1792">
        <v>19.0861</v>
      </c>
      <c r="AE258"/>
      <c r="AF258" s="18"/>
      <c r="AG258" s="18"/>
      <c r="AH258"/>
      <c r="AI258"/>
      <c r="AK258" s="1144"/>
    </row>
    <row r="259" ht="18" customHeight="1" spans="2:35">
      <c r="B259" s="1704">
        <f>职业列表!A9</f>
        <v>7</v>
      </c>
      <c r="C259" s="1704" t="str">
        <f>职业列表!B9</f>
        <v>精神病医生（古典）</v>
      </c>
      <c r="D259" s="2017">
        <f>职业列表!D9</f>
        <v>10</v>
      </c>
      <c r="E259" s="2020">
        <f>职业列表!E9</f>
        <v>60</v>
      </c>
      <c r="F259" s="2020">
        <f>IF(F251=1,IF(E244&gt;=D259,1,0),IF(E244&lt;=D259,1,0))</f>
        <v>0</v>
      </c>
      <c r="G259" s="2020">
        <f>IF(G251=1,IF(C244&gt;=E259,1,0),IF(C244&lt;=E259,1,0))</f>
        <v>0</v>
      </c>
      <c r="H259" s="1723" t="str">
        <f t="shared" si="8"/>
        <v/>
      </c>
      <c r="I259" s="1704" t="str">
        <f t="shared" si="9"/>
        <v/>
      </c>
      <c r="J259" s="1792" t="str">
        <f t="shared" si="10"/>
        <v/>
      </c>
      <c r="K259" s="1723" t="str">
        <f>职业列表!F9</f>
        <v>教育×4</v>
      </c>
      <c r="L259" s="1792" t="str">
        <f>IF(ISNUMBER(FIND(B241,K259)),B259&amp;C259&amp;"、","")</f>
        <v/>
      </c>
      <c r="M259" s="2042" t="str">
        <f>职业列表!H9</f>
        <v>法律，聆听，医学，外语，精神分析，心理学，科学（生物学，化学）。</v>
      </c>
      <c r="N259" s="1188" t="str">
        <f>IF(ISNUMBER(FIND(B239,M259)),B259&amp;C259&amp;"、","")</f>
        <v/>
      </c>
      <c r="O259" s="1704">
        <f t="shared" si="11"/>
        <v>0</v>
      </c>
      <c r="P259" s="1704">
        <f t="shared" si="12"/>
        <v>0</v>
      </c>
      <c r="Q259" s="1704">
        <f t="shared" si="13"/>
        <v>0</v>
      </c>
      <c r="R259" s="1704">
        <f t="shared" si="14"/>
        <v>0</v>
      </c>
      <c r="S259" s="1167">
        <f t="shared" si="15"/>
        <v>0</v>
      </c>
      <c r="Y259" s="1979" t="s">
        <v>3279</v>
      </c>
      <c r="Z259" s="2083" t="s">
        <v>3280</v>
      </c>
      <c r="AA259" s="2070">
        <f>ROUND($Z$227*AD259,0)</f>
        <v>52</v>
      </c>
      <c r="AB259" s="2070">
        <f>ROUND($Z$231*AD259,0)</f>
        <v>208</v>
      </c>
      <c r="AC259" s="2070">
        <f>IF($Z$229="没有","没有",ROUND($Z$229*AD259,0))</f>
        <v>5200</v>
      </c>
      <c r="AD259" s="1792">
        <v>5.2</v>
      </c>
      <c r="AE259"/>
      <c r="AF259" s="18"/>
      <c r="AG259" s="18"/>
      <c r="AH259"/>
      <c r="AI259"/>
    </row>
    <row r="260" ht="18" customHeight="1" spans="2:37">
      <c r="B260" s="1704">
        <f>职业列表!A10</f>
        <v>8</v>
      </c>
      <c r="C260" s="1704" t="str">
        <f>职业列表!B10</f>
        <v>动物训练师</v>
      </c>
      <c r="D260" s="2017">
        <f>职业列表!D10</f>
        <v>10</v>
      </c>
      <c r="E260" s="2020">
        <f>职业列表!E10</f>
        <v>40</v>
      </c>
      <c r="F260" s="2020">
        <f>IF(F251=1,IF(E244&gt;=D260,1,0),IF(E244&lt;=D260,1,0))</f>
        <v>0</v>
      </c>
      <c r="G260" s="2020">
        <f>IF(G251=1,IF(C244&gt;=E260,1,0),IF(C244&lt;=E260,1,0))</f>
        <v>0</v>
      </c>
      <c r="H260" s="1723" t="str">
        <f t="shared" si="8"/>
        <v/>
      </c>
      <c r="I260" s="1704" t="str">
        <f t="shared" si="9"/>
        <v/>
      </c>
      <c r="J260" s="1792" t="str">
        <f t="shared" si="10"/>
        <v/>
      </c>
      <c r="K260" s="1723" t="str">
        <f>职业列表!F10</f>
        <v>教育×2＋外貌或意志×2</v>
      </c>
      <c r="L260" s="1792" t="str">
        <f>IF(ISNUMBER(FIND(B241,K260)),B260&amp;C260&amp;"、","")</f>
        <v/>
      </c>
      <c r="M260" s="2042" t="str">
        <f>职业列表!H10</f>
        <v>跳跃，聆听，自然，心理学，科学（动物学），潜行，追踪，任意一项其他个人或时代特长。</v>
      </c>
      <c r="N260" s="1188" t="str">
        <f>IF(ISNUMBER(FIND(B239,M260)),B260&amp;C260&amp;"、","")</f>
        <v/>
      </c>
      <c r="O260" s="1704">
        <f t="shared" si="11"/>
        <v>0</v>
      </c>
      <c r="P260" s="1704">
        <f t="shared" si="12"/>
        <v>0</v>
      </c>
      <c r="Q260" s="1704">
        <f t="shared" si="13"/>
        <v>0</v>
      </c>
      <c r="R260" s="1704">
        <f t="shared" si="14"/>
        <v>0</v>
      </c>
      <c r="S260" s="1167">
        <f t="shared" si="15"/>
        <v>0</v>
      </c>
      <c r="Y260" s="1979" t="s">
        <v>3281</v>
      </c>
      <c r="Z260" s="1723" t="s">
        <v>3282</v>
      </c>
      <c r="AA260" s="1167"/>
      <c r="AB260" s="1167"/>
      <c r="AC260" s="1167"/>
      <c r="AD260" s="1792"/>
      <c r="AE260"/>
      <c r="AF260"/>
      <c r="AG260"/>
      <c r="AH260"/>
      <c r="AI260"/>
      <c r="AK260" s="1144"/>
    </row>
    <row r="261" ht="18" customHeight="1" spans="2:37">
      <c r="B261" s="1704">
        <f>职业列表!A11</f>
        <v>9</v>
      </c>
      <c r="C261" s="1704" t="str">
        <f>职业列表!B11</f>
        <v>文物学家（原作向）</v>
      </c>
      <c r="D261" s="2017">
        <f>职业列表!D11</f>
        <v>30</v>
      </c>
      <c r="E261" s="2020">
        <f>职业列表!E11</f>
        <v>70</v>
      </c>
      <c r="F261" s="2020">
        <f>IF(F251=1,IF(E244&gt;=D261,1,0),IF(E244&lt;=D261,1,0))</f>
        <v>0</v>
      </c>
      <c r="G261" s="2020">
        <f>IF(G251=1,IF(C244&gt;=E261,1,0),IF(C244&lt;=E261,1,0))</f>
        <v>0</v>
      </c>
      <c r="H261" s="1723" t="str">
        <f t="shared" si="8"/>
        <v/>
      </c>
      <c r="I261" s="1704" t="str">
        <f t="shared" si="9"/>
        <v/>
      </c>
      <c r="J261" s="1792" t="str">
        <f t="shared" si="10"/>
        <v/>
      </c>
      <c r="K261" s="1723" t="str">
        <f>职业列表!F11</f>
        <v>教育×4</v>
      </c>
      <c r="L261" s="1792" t="str">
        <f>IF(ISNUMBER(FIND(B241,K261)),B261&amp;C261&amp;"、","")</f>
        <v/>
      </c>
      <c r="M261" s="2042" t="str">
        <f>职业列表!H11</f>
        <v>估价，技艺（任一），历史，图书馆，外语，一项社交技能（取悦、话术、恐吓、说服），侦查，任意一项其他个人或时代特长。</v>
      </c>
      <c r="N261" s="1188" t="str">
        <f>IF(ISNUMBER(FIND(B239,M261)),B261&amp;C261&amp;"、","")</f>
        <v/>
      </c>
      <c r="O261" s="1704">
        <f t="shared" si="11"/>
        <v>0</v>
      </c>
      <c r="P261" s="1704">
        <f t="shared" si="12"/>
        <v>0</v>
      </c>
      <c r="Q261" s="1704">
        <f t="shared" si="13"/>
        <v>0</v>
      </c>
      <c r="R261" s="1704">
        <f t="shared" si="14"/>
        <v>0</v>
      </c>
      <c r="S261" s="1167">
        <f t="shared" si="15"/>
        <v>0</v>
      </c>
      <c r="Y261" s="1979" t="s">
        <v>237</v>
      </c>
      <c r="Z261" s="2082" t="s">
        <v>3283</v>
      </c>
      <c r="AA261" s="2070">
        <f t="shared" ref="AA261:AA264" si="22">ROUND($Z$227*AD261,2)</f>
        <v>14.48</v>
      </c>
      <c r="AB261" s="2070">
        <f t="shared" ref="AB261:AB264" si="23">ROUND($Z$231*AD261,2)</f>
        <v>57.94</v>
      </c>
      <c r="AC261" s="2070">
        <f t="shared" ref="AC261:AC264" si="24">IF($Z$229="没有","没有",ROUND($Z$229*AD261,2))</f>
        <v>1448.4</v>
      </c>
      <c r="AD261" s="1792">
        <v>1.4484</v>
      </c>
      <c r="AE261"/>
      <c r="AF261"/>
      <c r="AG261"/>
      <c r="AH261"/>
      <c r="AI261"/>
      <c r="AK261" s="1144"/>
    </row>
    <row r="262" ht="18" customHeight="1" spans="2:35">
      <c r="B262" s="1704">
        <f>职业列表!A12</f>
        <v>10</v>
      </c>
      <c r="C262" s="1704" t="str">
        <f>职业列表!B12</f>
        <v>古董商</v>
      </c>
      <c r="D262" s="2017">
        <f>职业列表!D12</f>
        <v>30</v>
      </c>
      <c r="E262" s="2020">
        <f>职业列表!E12</f>
        <v>50</v>
      </c>
      <c r="F262" s="2020">
        <f>IF(F251=1,IF(E244&gt;=D262,1,0),IF(E244&lt;=D262,1,0))</f>
        <v>0</v>
      </c>
      <c r="G262" s="2020">
        <f>IF(G251=1,IF(C244&gt;=E262,1,0),IF(C244&lt;=E262,1,0))</f>
        <v>0</v>
      </c>
      <c r="H262" s="1723" t="str">
        <f t="shared" si="8"/>
        <v/>
      </c>
      <c r="I262" s="1704" t="str">
        <f t="shared" si="9"/>
        <v/>
      </c>
      <c r="J262" s="1792" t="str">
        <f t="shared" si="10"/>
        <v/>
      </c>
      <c r="K262" s="1723" t="str">
        <f>职业列表!F12</f>
        <v>教育×4</v>
      </c>
      <c r="L262" s="1792" t="str">
        <f>IF(ISNUMBER(FIND(B241,K262)),B262&amp;C262&amp;"、","")</f>
        <v/>
      </c>
      <c r="M262" s="2042" t="str">
        <f>职业列表!H12</f>
        <v>会计，估价，汽车驾驶，两项社交技能（取悦、话术、恐吓、说服），历史，图书馆，导航。</v>
      </c>
      <c r="N262" s="1188" t="str">
        <f>IF(ISNUMBER(FIND(B239,M262)),B262&amp;C262&amp;"、","")</f>
        <v/>
      </c>
      <c r="O262" s="1704">
        <f t="shared" si="11"/>
        <v>0</v>
      </c>
      <c r="P262" s="1704">
        <f t="shared" si="12"/>
        <v>0</v>
      </c>
      <c r="Q262" s="1704">
        <f t="shared" si="13"/>
        <v>0</v>
      </c>
      <c r="R262" s="1704">
        <f t="shared" si="14"/>
        <v>0</v>
      </c>
      <c r="S262" s="1167">
        <f t="shared" si="15"/>
        <v>0</v>
      </c>
      <c r="Y262" s="1979" t="s">
        <v>3284</v>
      </c>
      <c r="Z262" s="2082" t="s">
        <v>3285</v>
      </c>
      <c r="AA262" s="2070">
        <f>ROUND($Z$227*AD262,0)</f>
        <v>118</v>
      </c>
      <c r="AB262" s="2070">
        <f>ROUND($Z$231*AD262,0)</f>
        <v>471</v>
      </c>
      <c r="AC262" s="2070">
        <f>IF($Z$229="没有","没有",ROUND($Z$229*AD262,0))</f>
        <v>11769</v>
      </c>
      <c r="AD262" s="1774">
        <v>11.7693</v>
      </c>
      <c r="AE262"/>
      <c r="AF262"/>
      <c r="AG262"/>
      <c r="AH262"/>
      <c r="AI262"/>
    </row>
    <row r="263" ht="18" customHeight="1" spans="2:35">
      <c r="B263" s="1704">
        <f>职业列表!A13</f>
        <v>11</v>
      </c>
      <c r="C263" s="1704" t="str">
        <f>职业列表!B13</f>
        <v>考古学家（原作向）</v>
      </c>
      <c r="D263" s="2017">
        <f>职业列表!D13</f>
        <v>10</v>
      </c>
      <c r="E263" s="2020">
        <f>职业列表!E13</f>
        <v>40</v>
      </c>
      <c r="F263" s="2020">
        <f>IF(F251=1,IF(E244&gt;=D263,1,0),IF(E244&lt;=D263,1,0))</f>
        <v>0</v>
      </c>
      <c r="G263" s="2020">
        <f>IF(G251=1,IF(C244&gt;=E263,1,0),IF(C244&lt;=E263,1,0))</f>
        <v>0</v>
      </c>
      <c r="H263" s="1723" t="str">
        <f t="shared" si="8"/>
        <v/>
      </c>
      <c r="I263" s="1704" t="str">
        <f t="shared" si="9"/>
        <v/>
      </c>
      <c r="J263" s="1792" t="str">
        <f t="shared" si="10"/>
        <v/>
      </c>
      <c r="K263" s="1723" t="str">
        <f>职业列表!F13</f>
        <v>教育×4</v>
      </c>
      <c r="L263" s="1792" t="str">
        <f>IF(ISNUMBER(FIND(B241,K263)),B263&amp;C263&amp;"、","")</f>
        <v/>
      </c>
      <c r="M263" s="2042" t="str">
        <f>职业列表!H13</f>
        <v>估价，考古，历史，外语，图书馆，侦查，机械维修，导航或科学（任一：如化学、物理、地理等）。</v>
      </c>
      <c r="N263" s="1188" t="str">
        <f>IF(ISNUMBER(FIND(B239,M263)),B263&amp;C263&amp;"、","")</f>
        <v/>
      </c>
      <c r="O263" s="1704">
        <f t="shared" si="11"/>
        <v>0</v>
      </c>
      <c r="P263" s="1704">
        <f t="shared" si="12"/>
        <v>0</v>
      </c>
      <c r="Q263" s="1704">
        <f t="shared" si="13"/>
        <v>0</v>
      </c>
      <c r="R263" s="1704">
        <f t="shared" si="14"/>
        <v>0</v>
      </c>
      <c r="S263" s="1167">
        <f t="shared" si="15"/>
        <v>0</v>
      </c>
      <c r="Y263" s="1979" t="s">
        <v>3286</v>
      </c>
      <c r="Z263" s="2082" t="str">
        <f>IF(ISBLANK(人物卡!BK38),"",人物卡!BK38)</f>
        <v/>
      </c>
      <c r="AA263" s="2070">
        <f>ROUND($Z$227*AD263,0)</f>
        <v>0</v>
      </c>
      <c r="AB263" s="2070">
        <f>ROUND($Z$231*AD263,0)</f>
        <v>0</v>
      </c>
      <c r="AC263" s="2070">
        <f>IF($Z$229="没有","没有",ROUND($Z$229*AD263,0))</f>
        <v>0</v>
      </c>
      <c r="AD263" s="1774">
        <f>人物卡!BO38</f>
        <v>0</v>
      </c>
      <c r="AE263"/>
      <c r="AF263"/>
      <c r="AG263"/>
      <c r="AH263"/>
      <c r="AI263"/>
    </row>
    <row r="264" ht="18" customHeight="1" spans="2:35">
      <c r="B264" s="1704">
        <f>职业列表!A14</f>
        <v>12</v>
      </c>
      <c r="C264" s="1704" t="str">
        <f>职业列表!B14</f>
        <v>建筑师</v>
      </c>
      <c r="D264" s="2017">
        <f>职业列表!D14</f>
        <v>30</v>
      </c>
      <c r="E264" s="2020">
        <f>职业列表!E14</f>
        <v>70</v>
      </c>
      <c r="F264" s="2020">
        <f>IF(F251=1,IF(E244&gt;=D264,1,0),IF(E244&lt;=D264,1,0))</f>
        <v>0</v>
      </c>
      <c r="G264" s="2020">
        <f>IF(G251=1,IF(C244&gt;=E264,1,0),IF(C244&lt;=E264,1,0))</f>
        <v>0</v>
      </c>
      <c r="H264" s="1723" t="str">
        <f t="shared" si="8"/>
        <v/>
      </c>
      <c r="I264" s="1704" t="str">
        <f t="shared" si="9"/>
        <v/>
      </c>
      <c r="J264" s="1792" t="str">
        <f t="shared" si="10"/>
        <v/>
      </c>
      <c r="K264" s="1723" t="str">
        <f>职业列表!F14</f>
        <v>教育×4</v>
      </c>
      <c r="L264" s="1792" t="str">
        <f>IF(ISNUMBER(FIND(B241,K264)),B264&amp;C264&amp;"、","")</f>
        <v/>
      </c>
      <c r="M264" s="2042" t="str">
        <f>职业列表!H14</f>
        <v>会计，技艺（技术制图），法律，母语，计算机或图书馆，说服，心理学，科学（数学）。</v>
      </c>
      <c r="N264" s="1188" t="str">
        <f>IF(ISNUMBER(FIND(B239,M264)),B264&amp;C264&amp;"、","")</f>
        <v/>
      </c>
      <c r="O264" s="1704">
        <f t="shared" si="11"/>
        <v>0</v>
      </c>
      <c r="P264" s="1704">
        <f t="shared" si="12"/>
        <v>0</v>
      </c>
      <c r="Q264" s="1704">
        <f t="shared" si="13"/>
        <v>0</v>
      </c>
      <c r="R264" s="1704">
        <f t="shared" si="14"/>
        <v>0</v>
      </c>
      <c r="S264" s="1167">
        <f t="shared" si="15"/>
        <v>0</v>
      </c>
      <c r="Y264" s="1979" t="s">
        <v>3287</v>
      </c>
      <c r="Z264" s="1888" t="s">
        <v>196</v>
      </c>
      <c r="AA264" s="2100">
        <f t="shared" si="22"/>
        <v>10</v>
      </c>
      <c r="AB264" s="2100">
        <f t="shared" si="23"/>
        <v>40</v>
      </c>
      <c r="AC264" s="2100">
        <f t="shared" si="24"/>
        <v>1000</v>
      </c>
      <c r="AD264" s="1912">
        <v>1</v>
      </c>
      <c r="AE264"/>
      <c r="AF264"/>
      <c r="AG264"/>
      <c r="AH264"/>
      <c r="AI264"/>
    </row>
    <row r="265" ht="18" customHeight="1" spans="2:35">
      <c r="B265" s="1704">
        <f>职业列表!A15</f>
        <v>13</v>
      </c>
      <c r="C265" s="1704" t="str">
        <f>职业列表!B15</f>
        <v>艺术家</v>
      </c>
      <c r="D265" s="2017">
        <f>职业列表!D15</f>
        <v>9</v>
      </c>
      <c r="E265" s="2020">
        <f>职业列表!E15</f>
        <v>50</v>
      </c>
      <c r="F265" s="2020">
        <f>IF(F251=1,IF(E244&gt;=D265,1,0),IF(E244&lt;=D265,1,0))</f>
        <v>0</v>
      </c>
      <c r="G265" s="2020">
        <f>IF(G251=1,IF(C244&gt;=E265,1,0),IF(C244&lt;=E265,1,0))</f>
        <v>0</v>
      </c>
      <c r="H265" s="1723" t="str">
        <f t="shared" si="8"/>
        <v/>
      </c>
      <c r="I265" s="1704" t="str">
        <f t="shared" si="9"/>
        <v/>
      </c>
      <c r="J265" s="1792" t="str">
        <f t="shared" si="10"/>
        <v/>
      </c>
      <c r="K265" s="1723" t="str">
        <f>职业列表!F15</f>
        <v>教育×2＋敏捷或意志×2</v>
      </c>
      <c r="L265" s="1792" t="str">
        <f>IF(ISNUMBER(FIND(B241,K265)),B265&amp;C265&amp;"、","")</f>
        <v/>
      </c>
      <c r="M265" s="2042" t="str">
        <f>职业列表!H15</f>
        <v>技艺（任一），历史或自然，一项社交技能（取悦、话术、恐吓、说服），外语，心理学，侦查，任意两项其他个人或时代特长。</v>
      </c>
      <c r="N265" s="1188" t="str">
        <f>IF(ISNUMBER(FIND(B239,M265)),B265&amp;C265&amp;"、","")</f>
        <v/>
      </c>
      <c r="O265" s="1704">
        <f t="shared" si="11"/>
        <v>0</v>
      </c>
      <c r="P265" s="1704">
        <f t="shared" si="12"/>
        <v>0</v>
      </c>
      <c r="Q265" s="1704">
        <f t="shared" si="13"/>
        <v>0</v>
      </c>
      <c r="R265" s="1704">
        <f t="shared" si="14"/>
        <v>0</v>
      </c>
      <c r="S265" s="1167">
        <f t="shared" si="15"/>
        <v>0</v>
      </c>
      <c r="Y265" s="1979" t="s">
        <v>3288</v>
      </c>
      <c r="AA265" s="1167"/>
      <c r="AB265" s="1167"/>
      <c r="AC265" s="1167"/>
      <c r="AE265"/>
      <c r="AF265"/>
      <c r="AG265"/>
      <c r="AH265"/>
      <c r="AI265"/>
    </row>
    <row r="266" ht="18" customHeight="1" spans="2:25">
      <c r="B266" s="1704">
        <f>职业列表!A16</f>
        <v>14</v>
      </c>
      <c r="C266" s="1704" t="str">
        <f>职业列表!B16</f>
        <v>精神病院看护</v>
      </c>
      <c r="D266" s="2017">
        <f>职业列表!D16</f>
        <v>8</v>
      </c>
      <c r="E266" s="2020">
        <f>职业列表!E16</f>
        <v>20</v>
      </c>
      <c r="F266" s="2020">
        <f>IF(F251=1,IF(E244&gt;=D266,1,0),IF(E244&lt;=D266,1,0))</f>
        <v>0</v>
      </c>
      <c r="G266" s="2020">
        <f>IF(G251=1,IF(C244&gt;=E266,1,0),IF(C244&lt;=E266,1,0))</f>
        <v>0</v>
      </c>
      <c r="H266" s="1723" t="str">
        <f t="shared" si="8"/>
        <v/>
      </c>
      <c r="I266" s="1704" t="str">
        <f t="shared" si="9"/>
        <v/>
      </c>
      <c r="J266" s="1792" t="str">
        <f t="shared" si="10"/>
        <v/>
      </c>
      <c r="K266" s="1723" t="str">
        <f>职业列表!F16</f>
        <v>教育×2＋力量或敏捷×2</v>
      </c>
      <c r="L266" s="1792" t="str">
        <f>IF(ISNUMBER(FIND(B241,K266)),B266&amp;C266&amp;"、","")</f>
        <v>14精神病院看护、</v>
      </c>
      <c r="M266" s="2042" t="str">
        <f>职业列表!H16</f>
        <v>闪避，格斗（斗殴），急救，两项社交技能（取悦、话术、恐吓、说服），聆听，心理学，潜行。</v>
      </c>
      <c r="N266" s="1188" t="str">
        <f>IF(ISNUMBER(FIND(B239,M266)),B266&amp;C266&amp;"、","")</f>
        <v/>
      </c>
      <c r="O266" s="1704">
        <f t="shared" si="11"/>
        <v>16</v>
      </c>
      <c r="P266" s="1704">
        <f t="shared" si="12"/>
        <v>0</v>
      </c>
      <c r="Q266" s="1704">
        <f t="shared" si="13"/>
        <v>0</v>
      </c>
      <c r="R266" s="1704">
        <f t="shared" si="14"/>
        <v>0</v>
      </c>
      <c r="S266" s="1167">
        <f t="shared" si="15"/>
        <v>16</v>
      </c>
      <c r="Y266" s="1979" t="s">
        <v>3289</v>
      </c>
    </row>
    <row r="267" ht="18" customHeight="1" spans="2:38">
      <c r="B267" s="1704">
        <f>职业列表!A17</f>
        <v>15</v>
      </c>
      <c r="C267" s="1704" t="str">
        <f>职业列表!B17</f>
        <v>运动员</v>
      </c>
      <c r="D267" s="2017">
        <f>职业列表!D17</f>
        <v>9</v>
      </c>
      <c r="E267" s="2020">
        <f>职业列表!E17</f>
        <v>70</v>
      </c>
      <c r="F267" s="2020">
        <f>IF(F251=1,IF(E244&gt;=D267,1,0),IF(E244&lt;=D267,1,0))</f>
        <v>0</v>
      </c>
      <c r="G267" s="2020">
        <f>IF(G251=1,IF(C244&gt;=E267,1,0),IF(C244&lt;=E267,1,0))</f>
        <v>0</v>
      </c>
      <c r="H267" s="1723" t="str">
        <f t="shared" si="8"/>
        <v/>
      </c>
      <c r="I267" s="1704" t="str">
        <f t="shared" si="9"/>
        <v/>
      </c>
      <c r="J267" s="1792" t="str">
        <f t="shared" si="10"/>
        <v/>
      </c>
      <c r="K267" s="1723" t="str">
        <f>职业列表!F17</f>
        <v>教育×2＋力量或敏捷×2</v>
      </c>
      <c r="L267" s="1792" t="str">
        <f>IF(ISNUMBER(FIND(B241,K267)),B267&amp;C267&amp;"、","")</f>
        <v>15运动员、</v>
      </c>
      <c r="M267" s="2042" t="str">
        <f>职业列表!H17</f>
        <v>攀爬，跳跃，格斗（斗殴），骑乘，一项社交技能（取悦、话术、恐吓、说服），游泳，投掷，任意一项其他个人或时代特长。</v>
      </c>
      <c r="N267" s="1188" t="str">
        <f>IF(ISNUMBER(FIND(B239,M267)),B267&amp;C267&amp;"、","")</f>
        <v/>
      </c>
      <c r="O267" s="1704">
        <f t="shared" si="11"/>
        <v>16</v>
      </c>
      <c r="P267" s="1704">
        <f t="shared" si="12"/>
        <v>0</v>
      </c>
      <c r="Q267" s="1704">
        <f t="shared" si="13"/>
        <v>0</v>
      </c>
      <c r="R267" s="1704">
        <f t="shared" si="14"/>
        <v>0</v>
      </c>
      <c r="S267" s="1167">
        <f t="shared" si="15"/>
        <v>16</v>
      </c>
      <c r="Y267" s="1979" t="s">
        <v>3290</v>
      </c>
      <c r="AA267" s="1747"/>
      <c r="AB267" s="1747"/>
      <c r="AC267" s="1747"/>
      <c r="AD267" s="1747"/>
      <c r="AF267" s="1747"/>
      <c r="AG267" s="1747"/>
      <c r="AH267" s="1747"/>
      <c r="AI267" s="1747"/>
      <c r="AL267" s="1144"/>
    </row>
    <row r="268" ht="18" customHeight="1" spans="2:38">
      <c r="B268" s="1704">
        <f>职业列表!A18</f>
        <v>16</v>
      </c>
      <c r="C268" s="1704" t="str">
        <f>职业列表!B18</f>
        <v>作家（原作向）</v>
      </c>
      <c r="D268" s="2017">
        <f>职业列表!D18</f>
        <v>9</v>
      </c>
      <c r="E268" s="2020">
        <f>职业列表!E18</f>
        <v>30</v>
      </c>
      <c r="F268" s="2020">
        <f>IF(F251=1,IF(E244&gt;=D268,1,0),IF(E244&lt;=D268,1,0))</f>
        <v>0</v>
      </c>
      <c r="G268" s="2020">
        <f>IF(G251=1,IF(C244&gt;=E268,1,0),IF(C244&lt;=E268,1,0))</f>
        <v>0</v>
      </c>
      <c r="H268" s="1723" t="str">
        <f t="shared" si="8"/>
        <v/>
      </c>
      <c r="I268" s="1704" t="str">
        <f t="shared" si="9"/>
        <v/>
      </c>
      <c r="J268" s="1792" t="str">
        <f t="shared" si="10"/>
        <v/>
      </c>
      <c r="K268" s="1723" t="str">
        <f>职业列表!F18</f>
        <v>教育×4</v>
      </c>
      <c r="L268" s="1792" t="str">
        <f>IF(ISNUMBER(FIND(B241,K268)),B268&amp;C268&amp;"、","")</f>
        <v/>
      </c>
      <c r="M268" s="2042" t="str">
        <f>职业列表!H18</f>
        <v>技艺（文学），历史，图书馆，自然或神秘学，外语，母语，心理学，任意一项其他个人或时代特长。</v>
      </c>
      <c r="N268" s="1188" t="str">
        <f>IF(ISNUMBER(FIND(B239,M268)),B268&amp;C268&amp;"、","")</f>
        <v/>
      </c>
      <c r="O268" s="1704">
        <f t="shared" si="11"/>
        <v>0</v>
      </c>
      <c r="P268" s="1704">
        <f t="shared" si="12"/>
        <v>0</v>
      </c>
      <c r="Q268" s="1704">
        <f t="shared" si="13"/>
        <v>0</v>
      </c>
      <c r="R268" s="1704">
        <f t="shared" si="14"/>
        <v>0</v>
      </c>
      <c r="S268" s="1167">
        <f t="shared" si="15"/>
        <v>0</v>
      </c>
      <c r="Y268" s="1979" t="s">
        <v>3291</v>
      </c>
      <c r="AL268" s="1144"/>
    </row>
    <row r="269" ht="18" customHeight="1" spans="2:39">
      <c r="B269" s="1704">
        <f>职业列表!A19</f>
        <v>17</v>
      </c>
      <c r="C269" s="1704" t="str">
        <f>职业列表!B19</f>
        <v>酒保</v>
      </c>
      <c r="D269" s="2017">
        <f>职业列表!D19</f>
        <v>8</v>
      </c>
      <c r="E269" s="2020">
        <f>职业列表!E19</f>
        <v>25</v>
      </c>
      <c r="F269" s="2020">
        <f>IF(F251=1,IF(E244&gt;=D269,1,0),IF(E244&lt;=D269,1,0))</f>
        <v>0</v>
      </c>
      <c r="G269" s="2020">
        <f>IF(G251=1,IF(C244&gt;=E269,1,0),IF(C244&lt;=E269,1,0))</f>
        <v>0</v>
      </c>
      <c r="H269" s="1723" t="str">
        <f t="shared" si="8"/>
        <v/>
      </c>
      <c r="I269" s="1704" t="str">
        <f t="shared" si="9"/>
        <v/>
      </c>
      <c r="J269" s="1792" t="str">
        <f t="shared" si="10"/>
        <v/>
      </c>
      <c r="K269" s="1723" t="str">
        <f>职业列表!F19</f>
        <v>教育×2＋外貌×2</v>
      </c>
      <c r="L269" s="1792" t="str">
        <f>IF(ISNUMBER(FIND(B241,K269)),B269&amp;C269&amp;"、","")</f>
        <v/>
      </c>
      <c r="M269" s="2042" t="str">
        <f>职业列表!H19</f>
        <v>会计，两项社交技能（取悦、话术、恐吓、说服），格斗（斗殴），聆听，心理学，侦查，任意一项其他个人或时代特长。</v>
      </c>
      <c r="N269" s="1188" t="str">
        <f>IF(ISNUMBER(FIND(B239,M269)),B269&amp;C269&amp;"、","")</f>
        <v/>
      </c>
      <c r="O269" s="1704">
        <f t="shared" si="11"/>
        <v>0</v>
      </c>
      <c r="P269" s="1704">
        <f t="shared" si="12"/>
        <v>0</v>
      </c>
      <c r="Q269" s="1704">
        <f t="shared" si="13"/>
        <v>0</v>
      </c>
      <c r="R269" s="1704">
        <f t="shared" si="14"/>
        <v>0</v>
      </c>
      <c r="S269" s="1167">
        <f t="shared" si="15"/>
        <v>0</v>
      </c>
      <c r="Y269" s="1979" t="s">
        <v>3292</v>
      </c>
      <c r="AA269" s="1744"/>
      <c r="AB269" s="1744"/>
      <c r="AC269" s="1744"/>
      <c r="AD269" s="1744"/>
      <c r="AE269" s="1744"/>
      <c r="AF269" s="1744"/>
      <c r="AG269" s="1744"/>
      <c r="AH269" s="1744"/>
      <c r="AI269" s="1744"/>
      <c r="AL269" s="1144"/>
      <c r="AM269" s="1144"/>
    </row>
    <row r="270" ht="18" customHeight="1" spans="2:38">
      <c r="B270" s="1704">
        <f>职业列表!A20</f>
        <v>18</v>
      </c>
      <c r="C270" s="1704" t="str">
        <f>职业列表!B20</f>
        <v>猎人</v>
      </c>
      <c r="D270" s="2017">
        <f>职业列表!D20</f>
        <v>20</v>
      </c>
      <c r="E270" s="2020">
        <f>职业列表!E20</f>
        <v>50</v>
      </c>
      <c r="F270" s="2020">
        <f>IF(F251=1,IF(E244&gt;=D270,1,0),IF(E244&lt;=D270,1,0))</f>
        <v>0</v>
      </c>
      <c r="G270" s="2020">
        <f>IF(G251=1,IF(C244&gt;=E270,1,0),IF(C244&lt;=E270,1,0))</f>
        <v>0</v>
      </c>
      <c r="H270" s="1723" t="str">
        <f t="shared" si="8"/>
        <v/>
      </c>
      <c r="I270" s="1704" t="str">
        <f t="shared" si="9"/>
        <v/>
      </c>
      <c r="J270" s="1792" t="str">
        <f t="shared" si="10"/>
        <v/>
      </c>
      <c r="K270" s="1723" t="str">
        <f>职业列表!F20</f>
        <v>教育×2＋力量或敏捷×2</v>
      </c>
      <c r="L270" s="1792" t="str">
        <f>IF(ISNUMBER(FIND(B241,K270)),B270&amp;C270&amp;"、","")</f>
        <v>18猎人、</v>
      </c>
      <c r="M270" s="2042" t="str">
        <f>职业列表!H20</f>
        <v>射击，聆听或侦查，自然，导航，外语或生存（任一），科学（生物学或植物学），潜行，追踪。</v>
      </c>
      <c r="N270" s="1188" t="str">
        <f>IF(ISNUMBER(FIND(B239,M270)),B270&amp;C270&amp;"、","")</f>
        <v/>
      </c>
      <c r="O270" s="1704">
        <f t="shared" si="11"/>
        <v>16</v>
      </c>
      <c r="P270" s="1704">
        <f t="shared" si="12"/>
        <v>0</v>
      </c>
      <c r="Q270" s="1704">
        <f t="shared" si="13"/>
        <v>0</v>
      </c>
      <c r="R270" s="1704">
        <f t="shared" si="14"/>
        <v>0</v>
      </c>
      <c r="S270" s="1167">
        <f t="shared" si="15"/>
        <v>16</v>
      </c>
      <c r="Y270" s="1979" t="s">
        <v>3293</v>
      </c>
      <c r="AA270" s="1744"/>
      <c r="AB270" s="1744"/>
      <c r="AC270" s="1744"/>
      <c r="AD270" s="1744"/>
      <c r="AE270" s="1744"/>
      <c r="AF270" s="1744"/>
      <c r="AG270" s="1744"/>
      <c r="AH270" s="1744"/>
      <c r="AI270" s="1744"/>
      <c r="AL270" s="1144"/>
    </row>
    <row r="271" ht="18" customHeight="1" spans="2:38">
      <c r="B271" s="1704">
        <f>职业列表!A21</f>
        <v>19</v>
      </c>
      <c r="C271" s="1704" t="str">
        <f>职业列表!B21</f>
        <v>书商</v>
      </c>
      <c r="D271" s="2017">
        <f>职业列表!D21</f>
        <v>20</v>
      </c>
      <c r="E271" s="2020">
        <f>职业列表!E21</f>
        <v>40</v>
      </c>
      <c r="F271" s="2020">
        <f>IF(F251=1,IF(E244&gt;=D271,1,0),IF(E244&lt;=D271,1,0))</f>
        <v>0</v>
      </c>
      <c r="G271" s="2020">
        <f>IF(G251=1,IF(C244&gt;=E271,1,0),IF(C244&lt;=E271,1,0))</f>
        <v>0</v>
      </c>
      <c r="H271" s="1723" t="str">
        <f t="shared" si="8"/>
        <v/>
      </c>
      <c r="I271" s="1704" t="str">
        <f t="shared" si="9"/>
        <v/>
      </c>
      <c r="J271" s="1792" t="str">
        <f t="shared" si="10"/>
        <v/>
      </c>
      <c r="K271" s="1723" t="str">
        <f>职业列表!F21</f>
        <v>教育×4</v>
      </c>
      <c r="L271" s="1792" t="str">
        <f>IF(ISNUMBER(FIND(B241,K271)),B271&amp;C271&amp;"、","")</f>
        <v/>
      </c>
      <c r="M271" s="2042" t="str">
        <f>职业列表!H21</f>
        <v>会计，估价，汽车驾驶，历史，图书馆，母语，外语，一项社交技能（取悦、话术、恐吓、说服）。</v>
      </c>
      <c r="N271" s="1188" t="str">
        <f>IF(ISNUMBER(FIND(B239,M271)),B271&amp;C271&amp;"、","")</f>
        <v/>
      </c>
      <c r="O271" s="1704">
        <f t="shared" si="11"/>
        <v>0</v>
      </c>
      <c r="P271" s="1704">
        <f t="shared" si="12"/>
        <v>0</v>
      </c>
      <c r="Q271" s="1704">
        <f t="shared" si="13"/>
        <v>0</v>
      </c>
      <c r="R271" s="1704">
        <f t="shared" si="14"/>
        <v>0</v>
      </c>
      <c r="S271" s="1167">
        <f t="shared" si="15"/>
        <v>0</v>
      </c>
      <c r="Y271" s="1979" t="s">
        <v>237</v>
      </c>
      <c r="AA271" s="1747"/>
      <c r="AB271" s="1747"/>
      <c r="AC271" s="1747"/>
      <c r="AD271" s="1747"/>
      <c r="AF271" s="1747"/>
      <c r="AG271" s="1747"/>
      <c r="AH271" s="1747"/>
      <c r="AI271" s="1747"/>
      <c r="AL271" s="1144"/>
    </row>
    <row r="272" ht="18" customHeight="1" spans="2:38">
      <c r="B272" s="1704">
        <f>职业列表!A22</f>
        <v>20</v>
      </c>
      <c r="C272" s="1704" t="str">
        <f>职业列表!B22</f>
        <v>赏金猎人</v>
      </c>
      <c r="D272" s="2017">
        <f>职业列表!D22</f>
        <v>9</v>
      </c>
      <c r="E272" s="2020">
        <f>职业列表!E22</f>
        <v>30</v>
      </c>
      <c r="F272" s="2020">
        <f>IF(F251=1,IF(E244&gt;=D272,1,0),IF(E244&lt;=D272,1,0))</f>
        <v>0</v>
      </c>
      <c r="G272" s="2020">
        <f>IF(G251=1,IF(C244&gt;=E272,1,0),IF(C244&lt;=E272,1,0))</f>
        <v>0</v>
      </c>
      <c r="H272" s="1723" t="str">
        <f t="shared" si="8"/>
        <v/>
      </c>
      <c r="I272" s="1704" t="str">
        <f t="shared" si="9"/>
        <v/>
      </c>
      <c r="J272" s="1792" t="str">
        <f t="shared" si="10"/>
        <v/>
      </c>
      <c r="K272" s="1723" t="str">
        <f>职业列表!F22</f>
        <v>教育×2＋力量或敏捷×2</v>
      </c>
      <c r="L272" s="1792" t="str">
        <f>IF(ISNUMBER(FIND(B241,K272)),B272&amp;C272&amp;"、","")</f>
        <v>20赏金猎人、</v>
      </c>
      <c r="M272" s="2042" t="str">
        <f>职业列表!H22</f>
        <v>汽车驾驶，电子学或电气维修，格斗或射击，一项社交技能（取悦、话术、恐吓、说服），法律，心理学，追踪，潜行。</v>
      </c>
      <c r="N272" s="1188" t="str">
        <f>IF(ISNUMBER(FIND(B239,M272)),B272&amp;C272&amp;"、","")</f>
        <v/>
      </c>
      <c r="O272" s="1704">
        <f t="shared" si="11"/>
        <v>16</v>
      </c>
      <c r="P272" s="1704">
        <f t="shared" si="12"/>
        <v>0</v>
      </c>
      <c r="Q272" s="1704">
        <f t="shared" si="13"/>
        <v>0</v>
      </c>
      <c r="R272" s="1704">
        <f t="shared" si="14"/>
        <v>0</v>
      </c>
      <c r="S272" s="1167">
        <f t="shared" si="15"/>
        <v>16</v>
      </c>
      <c r="Y272" s="1979" t="s">
        <v>3294</v>
      </c>
      <c r="AA272" s="2101"/>
      <c r="AB272" s="1747"/>
      <c r="AC272" s="1747"/>
      <c r="AD272" s="1747"/>
      <c r="AF272" s="2101"/>
      <c r="AG272" s="1747"/>
      <c r="AH272" s="1747"/>
      <c r="AI272" s="1747"/>
      <c r="AL272" s="1144"/>
    </row>
    <row r="273" ht="18" customHeight="1" spans="2:38">
      <c r="B273" s="1704">
        <f>职业列表!A23</f>
        <v>21</v>
      </c>
      <c r="C273" s="1704" t="str">
        <f>职业列表!B23</f>
        <v>拳击手/摔跤手</v>
      </c>
      <c r="D273" s="2017">
        <f>职业列表!D23</f>
        <v>9</v>
      </c>
      <c r="E273" s="2020">
        <f>职业列表!E23</f>
        <v>60</v>
      </c>
      <c r="F273" s="2020">
        <f>IF(F251=1,IF(E244&gt;=D273,1,0),IF(E244&lt;=D273,1,0))</f>
        <v>0</v>
      </c>
      <c r="G273" s="2020">
        <f>IF(G251=1,IF(C244&gt;=E273,1,0),IF(C244&lt;=E273,1,0))</f>
        <v>0</v>
      </c>
      <c r="H273" s="1723" t="str">
        <f t="shared" si="8"/>
        <v/>
      </c>
      <c r="I273" s="1704" t="str">
        <f t="shared" si="9"/>
        <v/>
      </c>
      <c r="J273" s="1792" t="str">
        <f t="shared" si="10"/>
        <v/>
      </c>
      <c r="K273" s="1723" t="str">
        <f>职业列表!F23</f>
        <v>教育×2＋力量×2</v>
      </c>
      <c r="L273" s="1792" t="str">
        <f>IF(ISNUMBER(FIND(B241,K273)),B273&amp;C273&amp;"、","")</f>
        <v>21拳击手/摔跤手、</v>
      </c>
      <c r="M273" s="2042" t="str">
        <f>职业列表!H23</f>
        <v>闪避，格斗（斗殴），恐吓，跳跃，心理学，侦查，任意两项其他个人或时代特长。</v>
      </c>
      <c r="N273" s="1188" t="str">
        <f>IF(ISNUMBER(FIND(B239,M273)),B273&amp;C273&amp;"、","")</f>
        <v/>
      </c>
      <c r="O273" s="1704">
        <f t="shared" si="11"/>
        <v>16</v>
      </c>
      <c r="P273" s="1704">
        <f t="shared" si="12"/>
        <v>0</v>
      </c>
      <c r="Q273" s="1704">
        <f t="shared" si="13"/>
        <v>0</v>
      </c>
      <c r="R273" s="1704">
        <f t="shared" si="14"/>
        <v>0</v>
      </c>
      <c r="S273" s="1167">
        <f t="shared" si="15"/>
        <v>16</v>
      </c>
      <c r="Y273" s="1979" t="s">
        <v>3295</v>
      </c>
      <c r="AA273" s="1747"/>
      <c r="AB273" s="1747"/>
      <c r="AC273" s="1747"/>
      <c r="AD273" s="1747"/>
      <c r="AF273" s="1747"/>
      <c r="AG273" s="1747"/>
      <c r="AH273" s="1747"/>
      <c r="AI273" s="1747"/>
      <c r="AL273" s="1144"/>
    </row>
    <row r="274" ht="18" customHeight="1" spans="2:37">
      <c r="B274" s="1704">
        <f>职业列表!A24</f>
        <v>22</v>
      </c>
      <c r="C274" s="1704" t="str">
        <f>职业列表!B24</f>
        <v>管家/男仆/女仆</v>
      </c>
      <c r="D274" s="2017">
        <f>职业列表!D24</f>
        <v>9</v>
      </c>
      <c r="E274" s="2020">
        <f>职业列表!E24</f>
        <v>40</v>
      </c>
      <c r="F274" s="2020">
        <f>IF(F251=1,IF(E244&gt;=D274,1,0),IF(E244&lt;=D274,1,0))</f>
        <v>0</v>
      </c>
      <c r="G274" s="2020">
        <f>IF(G251=1,IF(C244&gt;=E274,1,0),IF(C244&lt;=E274,1,0))</f>
        <v>0</v>
      </c>
      <c r="H274" s="1723" t="str">
        <f t="shared" si="8"/>
        <v/>
      </c>
      <c r="I274" s="1704" t="str">
        <f t="shared" si="9"/>
        <v/>
      </c>
      <c r="J274" s="1792" t="str">
        <f t="shared" si="10"/>
        <v/>
      </c>
      <c r="K274" s="1723" t="str">
        <f>职业列表!F24</f>
        <v>教育×4</v>
      </c>
      <c r="L274" s="1792" t="str">
        <f>IF(ISNUMBER(FIND(B241,K274)),B274&amp;C274&amp;"、","")</f>
        <v/>
      </c>
      <c r="M274" s="2042" t="str">
        <f>职业列表!H24</f>
        <v>会计或估价，技艺（任一：如烹饪、裁缝、理发），急救，聆听，外语，心理学，侦查，任意一项其他个人或时代特长。</v>
      </c>
      <c r="N274" s="1188" t="str">
        <f>IF(ISNUMBER(FIND(B239,M274)),B274&amp;C274&amp;"、","")</f>
        <v/>
      </c>
      <c r="O274" s="1704">
        <f t="shared" si="11"/>
        <v>0</v>
      </c>
      <c r="P274" s="1704">
        <f t="shared" si="12"/>
        <v>0</v>
      </c>
      <c r="Q274" s="1704">
        <f t="shared" si="13"/>
        <v>0</v>
      </c>
      <c r="R274" s="1704">
        <f t="shared" si="14"/>
        <v>0</v>
      </c>
      <c r="S274" s="1167">
        <f t="shared" si="15"/>
        <v>0</v>
      </c>
      <c r="Y274" s="1979" t="s">
        <v>3296</v>
      </c>
      <c r="AA274" s="2101"/>
      <c r="AB274" s="1747"/>
      <c r="AC274" s="1747"/>
      <c r="AD274" s="1747"/>
      <c r="AF274" s="2101"/>
      <c r="AG274" s="1747"/>
      <c r="AH274" s="1747"/>
      <c r="AI274" s="1747"/>
      <c r="AK274" s="1144"/>
    </row>
    <row r="275" ht="18" customHeight="1" spans="2:25">
      <c r="B275" s="1704">
        <f>职业列表!A25</f>
        <v>23</v>
      </c>
      <c r="C275" s="1704" t="str">
        <f>职业列表!B25</f>
        <v>神职人员</v>
      </c>
      <c r="D275" s="2017">
        <f>职业列表!D25</f>
        <v>9</v>
      </c>
      <c r="E275" s="2020">
        <f>职业列表!E25</f>
        <v>60</v>
      </c>
      <c r="F275" s="2020">
        <f>IF(F251=1,IF(E244&gt;=D275,1,0),IF(E244&lt;=D275,1,0))</f>
        <v>0</v>
      </c>
      <c r="G275" s="2020">
        <f>IF(G251=1,IF(C244&gt;=E275,1,0),IF(C244&lt;=E275,1,0))</f>
        <v>0</v>
      </c>
      <c r="H275" s="1723" t="str">
        <f t="shared" si="8"/>
        <v/>
      </c>
      <c r="I275" s="1704" t="str">
        <f t="shared" si="9"/>
        <v/>
      </c>
      <c r="J275" s="1792" t="str">
        <f t="shared" si="10"/>
        <v/>
      </c>
      <c r="K275" s="1723" t="str">
        <f>职业列表!F25</f>
        <v>教育×4</v>
      </c>
      <c r="L275" s="1792" t="str">
        <f>IF(ISNUMBER(FIND(B241,K275)),B275&amp;C275&amp;"、","")</f>
        <v/>
      </c>
      <c r="M275" s="2042" t="str">
        <f>职业列表!H25</f>
        <v>会计，历史，图书馆，聆听，外语，一项社交技能（取悦、话术、恐吓、说服），心理学，任意一项其他技能。</v>
      </c>
      <c r="N275" s="1188" t="str">
        <f>IF(ISNUMBER(FIND(B239,M275)),B275&amp;C275&amp;"、","")</f>
        <v/>
      </c>
      <c r="O275" s="1704">
        <f t="shared" si="11"/>
        <v>0</v>
      </c>
      <c r="P275" s="1704">
        <f t="shared" si="12"/>
        <v>0</v>
      </c>
      <c r="Q275" s="1704">
        <f t="shared" si="13"/>
        <v>0</v>
      </c>
      <c r="R275" s="1704">
        <f t="shared" si="14"/>
        <v>0</v>
      </c>
      <c r="S275" s="1167">
        <f t="shared" si="15"/>
        <v>0</v>
      </c>
      <c r="Y275" s="1979" t="s">
        <v>3297</v>
      </c>
    </row>
    <row r="276" ht="18" customHeight="1" spans="2:25">
      <c r="B276" s="1704">
        <f>职业列表!A26</f>
        <v>24</v>
      </c>
      <c r="C276" s="1704" t="str">
        <f>职业列表!B26</f>
        <v>程序员/电子工程师（现代）</v>
      </c>
      <c r="D276" s="2017">
        <f>职业列表!D26</f>
        <v>10</v>
      </c>
      <c r="E276" s="2020">
        <f>职业列表!E26</f>
        <v>70</v>
      </c>
      <c r="F276" s="2020">
        <f>IF(F251=1,IF(E244&gt;=D276,1,0),IF(E244&lt;=D276,1,0))</f>
        <v>0</v>
      </c>
      <c r="G276" s="2020">
        <f>IF(G251=1,IF(C244&gt;=E276,1,0),IF(C244&lt;=E276,1,0))</f>
        <v>0</v>
      </c>
      <c r="H276" s="1723" t="str">
        <f t="shared" si="8"/>
        <v/>
      </c>
      <c r="I276" s="1704" t="str">
        <f t="shared" si="9"/>
        <v/>
      </c>
      <c r="J276" s="1792" t="str">
        <f t="shared" si="10"/>
        <v/>
      </c>
      <c r="K276" s="1723" t="str">
        <f>职业列表!F26</f>
        <v>教育×4</v>
      </c>
      <c r="L276" s="1792" t="str">
        <f>IF(ISNUMBER(FIND(B241,K276)),B276&amp;C276&amp;"、","")</f>
        <v/>
      </c>
      <c r="M276" s="2042" t="str">
        <f>职业列表!H26</f>
        <v>计算机，电气维修，电子学、图书馆，科学（数学），侦查，任意两项其他个人或时代特长。</v>
      </c>
      <c r="N276" s="1188" t="str">
        <f>IF(ISNUMBER(FIND(B239,M276)),B276&amp;C276&amp;"、","")</f>
        <v/>
      </c>
      <c r="O276" s="1704">
        <f t="shared" si="11"/>
        <v>0</v>
      </c>
      <c r="P276" s="1704">
        <f t="shared" si="12"/>
        <v>0</v>
      </c>
      <c r="Q276" s="1704">
        <f t="shared" si="13"/>
        <v>0</v>
      </c>
      <c r="R276" s="1704">
        <f t="shared" si="14"/>
        <v>0</v>
      </c>
      <c r="S276" s="1167">
        <f t="shared" si="15"/>
        <v>0</v>
      </c>
      <c r="Y276" s="1979" t="s">
        <v>237</v>
      </c>
    </row>
    <row r="277" ht="18" customHeight="1" spans="2:25">
      <c r="B277" s="1704">
        <f>职业列表!A27</f>
        <v>25</v>
      </c>
      <c r="C277" s="1704" t="str">
        <f>职业列表!B27</f>
        <v>黑客/骇客（现代）</v>
      </c>
      <c r="D277" s="2017">
        <f>职业列表!D27</f>
        <v>10</v>
      </c>
      <c r="E277" s="2020">
        <f>职业列表!E27</f>
        <v>70</v>
      </c>
      <c r="F277" s="2020">
        <f>IF(F251=1,IF(E244&gt;=D277,1,0),IF(E244&lt;=D277,1,0))</f>
        <v>0</v>
      </c>
      <c r="G277" s="2020">
        <f>IF(G251=1,IF(C244&gt;=E277,1,0),IF(C244&lt;=E277,1,0))</f>
        <v>0</v>
      </c>
      <c r="H277" s="1723" t="str">
        <f t="shared" si="8"/>
        <v/>
      </c>
      <c r="I277" s="1704" t="str">
        <f t="shared" si="9"/>
        <v/>
      </c>
      <c r="J277" s="1792" t="str">
        <f t="shared" si="10"/>
        <v/>
      </c>
      <c r="K277" s="1723" t="str">
        <f>职业列表!F27</f>
        <v>教育×4</v>
      </c>
      <c r="L277" s="1792" t="str">
        <f>IF(ISNUMBER(FIND(B241,K277)),B277&amp;C277&amp;"、","")</f>
        <v/>
      </c>
      <c r="M277" s="2042" t="str">
        <f>职业列表!H27</f>
        <v>计算机，电气维修，电子学，图书馆，侦查，一项社交技能（取悦、话术、恐吓、说服），任意两项其他技能。</v>
      </c>
      <c r="N277" s="1188" t="str">
        <f>IF(ISNUMBER(FIND(B239,M277)),B277&amp;C277&amp;"、","")</f>
        <v/>
      </c>
      <c r="O277" s="1704">
        <f t="shared" si="11"/>
        <v>0</v>
      </c>
      <c r="P277" s="1704">
        <f t="shared" si="12"/>
        <v>0</v>
      </c>
      <c r="Q277" s="1704">
        <f t="shared" si="13"/>
        <v>0</v>
      </c>
      <c r="R277" s="1704">
        <f t="shared" si="14"/>
        <v>0</v>
      </c>
      <c r="S277" s="1167">
        <f t="shared" si="15"/>
        <v>0</v>
      </c>
      <c r="Y277" s="1979" t="s">
        <v>3298</v>
      </c>
    </row>
    <row r="278" ht="18" customHeight="1" spans="2:25">
      <c r="B278" s="1704">
        <f>职业列表!A28</f>
        <v>26</v>
      </c>
      <c r="C278" s="1704" t="str">
        <f>职业列表!B28</f>
        <v>牛仔</v>
      </c>
      <c r="D278" s="2017">
        <f>职业列表!D28</f>
        <v>9</v>
      </c>
      <c r="E278" s="2020">
        <f>职业列表!E28</f>
        <v>20</v>
      </c>
      <c r="F278" s="2020">
        <f>IF(F251=1,IF(E244&gt;=D278,1,0),IF(E244&lt;=D278,1,0))</f>
        <v>0</v>
      </c>
      <c r="G278" s="2020">
        <f>IF(G251=1,IF(C244&gt;=E278,1,0),IF(C244&lt;=E278,1,0))</f>
        <v>0</v>
      </c>
      <c r="H278" s="1723" t="str">
        <f t="shared" si="8"/>
        <v/>
      </c>
      <c r="I278" s="1704" t="str">
        <f t="shared" si="9"/>
        <v/>
      </c>
      <c r="J278" s="1792" t="str">
        <f t="shared" si="10"/>
        <v/>
      </c>
      <c r="K278" s="1723" t="str">
        <f>职业列表!F28</f>
        <v>教育×2＋力量或敏捷×2</v>
      </c>
      <c r="L278" s="1792" t="str">
        <f>IF(ISNUMBER(FIND(B241,K278)),B278&amp;C278&amp;"、","")</f>
        <v>26牛仔、</v>
      </c>
      <c r="M278" s="2042" t="str">
        <f>职业列表!H28</f>
        <v>闪避，格斗或射击，急救或自然，跳跃，骑乘，生存（任一），投掷，追踪。</v>
      </c>
      <c r="N278" s="1188" t="str">
        <f>IF(ISNUMBER(FIND(B239,M278)),B278&amp;C278&amp;"、","")</f>
        <v/>
      </c>
      <c r="O278" s="1704">
        <f t="shared" si="11"/>
        <v>16</v>
      </c>
      <c r="P278" s="1704">
        <f t="shared" si="12"/>
        <v>0</v>
      </c>
      <c r="Q278" s="1704">
        <f t="shared" si="13"/>
        <v>0</v>
      </c>
      <c r="R278" s="1704">
        <f t="shared" si="14"/>
        <v>0</v>
      </c>
      <c r="S278" s="1167">
        <f t="shared" si="15"/>
        <v>16</v>
      </c>
      <c r="Y278" s="1979" t="s">
        <v>3299</v>
      </c>
    </row>
    <row r="279" ht="18" customHeight="1" spans="2:25">
      <c r="B279" s="1704">
        <f>职业列表!A29</f>
        <v>27</v>
      </c>
      <c r="C279" s="1704" t="str">
        <f>职业列表!B29</f>
        <v>工匠</v>
      </c>
      <c r="D279" s="2017">
        <f>职业列表!D29</f>
        <v>10</v>
      </c>
      <c r="E279" s="2020" t="str">
        <f>职业列表!E29</f>
        <v>40</v>
      </c>
      <c r="F279" s="2020">
        <f>IF(F251=1,IF(E244&gt;=D279,1,0),IF(E244&lt;=D279,1,0))</f>
        <v>0</v>
      </c>
      <c r="G279" s="2020">
        <f>IF(G251=1,IF(C244&gt;=E279,1,0),IF(C244&lt;=E279,1,0))</f>
        <v>1</v>
      </c>
      <c r="H279" s="1723" t="str">
        <f t="shared" si="8"/>
        <v/>
      </c>
      <c r="I279" s="1704" t="str">
        <f t="shared" si="9"/>
        <v>27工匠、</v>
      </c>
      <c r="J279" s="1792" t="str">
        <f t="shared" si="10"/>
        <v/>
      </c>
      <c r="K279" s="1723" t="str">
        <f>职业列表!F29</f>
        <v>教育×2＋敏捷×2</v>
      </c>
      <c r="L279" s="1792" t="str">
        <f>IF(ISNUMBER(FIND(B241,K279)),B279&amp;C279&amp;"、","")</f>
        <v/>
      </c>
      <c r="M279" s="2042" t="str">
        <f>职业列表!H29</f>
        <v>会计，技艺（任二），机械维修，自然，侦查，任意两项其他个人或时代特长。</v>
      </c>
      <c r="N279" s="1188" t="str">
        <f>IF(ISNUMBER(FIND(B239,M279)),B279&amp;C279&amp;"、","")</f>
        <v/>
      </c>
      <c r="O279" s="1704">
        <f t="shared" si="11"/>
        <v>0</v>
      </c>
      <c r="P279" s="1704">
        <f t="shared" si="12"/>
        <v>0</v>
      </c>
      <c r="Q279" s="1704">
        <f t="shared" si="13"/>
        <v>0</v>
      </c>
      <c r="R279" s="1704">
        <f t="shared" si="14"/>
        <v>69</v>
      </c>
      <c r="S279" s="1167">
        <f t="shared" si="15"/>
        <v>69</v>
      </c>
      <c r="Y279" s="1979" t="s">
        <v>3300</v>
      </c>
    </row>
    <row r="280" ht="18" customHeight="1" spans="2:25">
      <c r="B280" s="1704">
        <f>职业列表!A30</f>
        <v>28</v>
      </c>
      <c r="C280" s="1704" t="str">
        <f>职业列表!B30</f>
        <v>罪犯-刺客</v>
      </c>
      <c r="D280" s="2017">
        <f>职业列表!D30</f>
        <v>30</v>
      </c>
      <c r="E280" s="2020">
        <f>职业列表!E30</f>
        <v>60</v>
      </c>
      <c r="F280" s="2020">
        <f>IF(F251=1,IF(E244&gt;=D280,1,0),IF(E244&lt;=D280,1,0))</f>
        <v>0</v>
      </c>
      <c r="G280" s="2020">
        <f>IF(G251=1,IF(C244&gt;=E280,1,0),IF(C244&lt;=E280,1,0))</f>
        <v>0</v>
      </c>
      <c r="H280" s="1723" t="str">
        <f t="shared" si="8"/>
        <v/>
      </c>
      <c r="I280" s="1704" t="str">
        <f t="shared" si="9"/>
        <v/>
      </c>
      <c r="J280" s="1792" t="str">
        <f t="shared" si="10"/>
        <v/>
      </c>
      <c r="K280" s="1723" t="str">
        <f>职业列表!F30</f>
        <v>教育×2＋力量或敏捷×2</v>
      </c>
      <c r="L280" s="1792" t="str">
        <f>IF(ISNUMBER(FIND(B241,K280)),B280&amp;C280&amp;"、","")</f>
        <v>28罪犯-刺客、</v>
      </c>
      <c r="M280" s="2042" t="str">
        <f>职业列表!H30</f>
        <v>乔装，电气维修，格斗，射击，锁匠，机械维修，潜行，心理学。</v>
      </c>
      <c r="N280" s="1188" t="str">
        <f>IF(ISNUMBER(FIND(B239,M280)),B280&amp;C280&amp;"、","")</f>
        <v/>
      </c>
      <c r="O280" s="1704">
        <f t="shared" si="11"/>
        <v>16</v>
      </c>
      <c r="P280" s="1704">
        <f t="shared" si="12"/>
        <v>0</v>
      </c>
      <c r="Q280" s="1704">
        <f t="shared" si="13"/>
        <v>0</v>
      </c>
      <c r="R280" s="1704">
        <f t="shared" si="14"/>
        <v>0</v>
      </c>
      <c r="S280" s="1167">
        <f t="shared" si="15"/>
        <v>16</v>
      </c>
      <c r="Y280" s="1979" t="s">
        <v>3301</v>
      </c>
    </row>
    <row r="281" ht="18" customHeight="1" spans="2:25">
      <c r="B281" s="1704">
        <f>职业列表!A31</f>
        <v>29</v>
      </c>
      <c r="C281" s="1704" t="str">
        <f>职业列表!B31</f>
        <v>罪犯-银行劫匪</v>
      </c>
      <c r="D281" s="2017">
        <f>职业列表!D31</f>
        <v>5</v>
      </c>
      <c r="E281" s="2020">
        <f>职业列表!E31</f>
        <v>75</v>
      </c>
      <c r="F281" s="2020">
        <f>IF(F251=1,IF(E244&gt;=D281,1,0),IF(E244&lt;=D281,1,0))</f>
        <v>0</v>
      </c>
      <c r="G281" s="2020">
        <f>IF(G251=1,IF(C244&gt;=E281,1,0),IF(C244&lt;=E281,1,0))</f>
        <v>0</v>
      </c>
      <c r="H281" s="1723" t="str">
        <f t="shared" si="8"/>
        <v/>
      </c>
      <c r="I281" s="1704" t="str">
        <f t="shared" si="9"/>
        <v/>
      </c>
      <c r="J281" s="1792" t="str">
        <f t="shared" si="10"/>
        <v/>
      </c>
      <c r="K281" s="1723" t="str">
        <f>职业列表!F31</f>
        <v>教育×2＋力量或敏捷×2</v>
      </c>
      <c r="L281" s="1792" t="str">
        <f>IF(ISNUMBER(FIND(B241,K281)),B281&amp;C281&amp;"、","")</f>
        <v>29罪犯-银行劫匪、</v>
      </c>
      <c r="M281" s="2042" t="str">
        <f>职业列表!H31</f>
        <v>汽车驾驶，电气维修或机械维修，格斗，射击，恐吓，锁匠，操作重型机械，任意一项其他个人或时代特长。</v>
      </c>
      <c r="N281" s="1188" t="str">
        <f>IF(ISNUMBER(FIND(B239,M281)),B281&amp;C281&amp;"、","")</f>
        <v/>
      </c>
      <c r="O281" s="1704">
        <f t="shared" si="11"/>
        <v>16</v>
      </c>
      <c r="P281" s="1704">
        <f t="shared" si="12"/>
        <v>0</v>
      </c>
      <c r="Q281" s="1704">
        <f t="shared" si="13"/>
        <v>0</v>
      </c>
      <c r="R281" s="1704">
        <f t="shared" si="14"/>
        <v>0</v>
      </c>
      <c r="S281" s="1167">
        <f t="shared" si="15"/>
        <v>16</v>
      </c>
      <c r="Y281" s="1979" t="s">
        <v>3302</v>
      </c>
    </row>
    <row r="282" ht="18" customHeight="1" spans="2:25">
      <c r="B282" s="1704">
        <f>职业列表!A32</f>
        <v>30</v>
      </c>
      <c r="C282" s="1704" t="str">
        <f>职业列表!B32</f>
        <v>罪犯-打手/暴徒</v>
      </c>
      <c r="D282" s="2017">
        <f>职业列表!D32</f>
        <v>5</v>
      </c>
      <c r="E282" s="2020">
        <f>职业列表!E32</f>
        <v>30</v>
      </c>
      <c r="F282" s="2020">
        <f>IF(F251=1,IF(E244&gt;=D282,1,0),IF(E244&lt;=D282,1,0))</f>
        <v>0</v>
      </c>
      <c r="G282" s="2020">
        <f>IF(G251=1,IF(C244&gt;=E282,1,0),IF(C244&lt;=E282,1,0))</f>
        <v>0</v>
      </c>
      <c r="H282" s="1723" t="str">
        <f t="shared" si="8"/>
        <v/>
      </c>
      <c r="I282" s="1704" t="str">
        <f t="shared" si="9"/>
        <v/>
      </c>
      <c r="J282" s="1792" t="str">
        <f t="shared" si="10"/>
        <v/>
      </c>
      <c r="K282" s="1723" t="str">
        <f>职业列表!F32</f>
        <v>教育×2＋力量×2</v>
      </c>
      <c r="L282" s="1792" t="str">
        <f>IF(ISNUMBER(FIND(B241,K282)),B282&amp;C282&amp;"、","")</f>
        <v>30罪犯-打手/暴徒、</v>
      </c>
      <c r="M282" s="2042" t="str">
        <f>职业列表!H32</f>
        <v>汽车驾驶，格斗，射击，两项社交技能（取悦、话术、恐吓、说服），心理学，潜行，侦查。</v>
      </c>
      <c r="N282" s="1188" t="str">
        <f>IF(ISNUMBER(FIND(B239,M282)),B282&amp;C282&amp;"、","")</f>
        <v/>
      </c>
      <c r="O282" s="1704">
        <f t="shared" si="11"/>
        <v>16</v>
      </c>
      <c r="P282" s="1704">
        <f t="shared" si="12"/>
        <v>0</v>
      </c>
      <c r="Q282" s="1704">
        <f t="shared" si="13"/>
        <v>0</v>
      </c>
      <c r="R282" s="1704">
        <f t="shared" si="14"/>
        <v>0</v>
      </c>
      <c r="S282" s="1167">
        <f t="shared" si="15"/>
        <v>16</v>
      </c>
      <c r="Y282" s="1979" t="s">
        <v>3303</v>
      </c>
    </row>
    <row r="283" ht="18" customHeight="1" spans="2:25">
      <c r="B283" s="1704">
        <f>职业列表!A33</f>
        <v>31</v>
      </c>
      <c r="C283" s="1704" t="str">
        <f>职业列表!B33</f>
        <v>罪犯-窃贼</v>
      </c>
      <c r="D283" s="2017">
        <f>职业列表!D33</f>
        <v>5</v>
      </c>
      <c r="E283" s="2020">
        <f>职业列表!E33</f>
        <v>40</v>
      </c>
      <c r="F283" s="2020">
        <f>IF(F251=1,IF(E244&gt;=D283,1,0),IF(E244&lt;=D283,1,0))</f>
        <v>0</v>
      </c>
      <c r="G283" s="2020">
        <f>IF(G251=1,IF(C244&gt;=E283,1,0),IF(C244&lt;=E283,1,0))</f>
        <v>0</v>
      </c>
      <c r="H283" s="1723" t="str">
        <f t="shared" si="8"/>
        <v/>
      </c>
      <c r="I283" s="1704" t="str">
        <f t="shared" si="9"/>
        <v/>
      </c>
      <c r="J283" s="1792" t="str">
        <f t="shared" si="10"/>
        <v/>
      </c>
      <c r="K283" s="1723" t="str">
        <f>职业列表!F33</f>
        <v>教育×2＋敏捷×2</v>
      </c>
      <c r="L283" s="1792" t="str">
        <f>IF(ISNUMBER(FIND(B241,K283)),B283&amp;C283&amp;"、","")</f>
        <v/>
      </c>
      <c r="M283" s="2042" t="str">
        <f>职业列表!H33</f>
        <v>估价，攀爬，电气维修或机械维修，聆听，锁匠，妙手，潜行，侦查。</v>
      </c>
      <c r="N283" s="1188" t="str">
        <f>IF(ISNUMBER(FIND(B239,M283)),B283&amp;C283&amp;"、","")</f>
        <v/>
      </c>
      <c r="O283" s="1704">
        <f t="shared" si="11"/>
        <v>0</v>
      </c>
      <c r="P283" s="1704">
        <f t="shared" si="12"/>
        <v>0</v>
      </c>
      <c r="Q283" s="1704">
        <f t="shared" si="13"/>
        <v>0</v>
      </c>
      <c r="R283" s="1704">
        <f t="shared" si="14"/>
        <v>0</v>
      </c>
      <c r="S283" s="1167">
        <f t="shared" si="15"/>
        <v>0</v>
      </c>
      <c r="Y283" s="1979" t="s">
        <v>3304</v>
      </c>
    </row>
    <row r="284" ht="18" customHeight="1" spans="2:25">
      <c r="B284" s="1704">
        <f>职业列表!A34</f>
        <v>32</v>
      </c>
      <c r="C284" s="1704" t="str">
        <f>职业列表!B34</f>
        <v>罪犯-欺诈师</v>
      </c>
      <c r="D284" s="2017">
        <f>职业列表!D34</f>
        <v>10</v>
      </c>
      <c r="E284" s="2020">
        <f>职业列表!E34</f>
        <v>65</v>
      </c>
      <c r="F284" s="2020">
        <f>IF(F251=1,IF(E244&gt;=D284,1,0),IF(E244&lt;=D284,1,0))</f>
        <v>0</v>
      </c>
      <c r="G284" s="2020">
        <f>IF(G251=1,IF(C244&gt;=E284,1,0),IF(C244&lt;=E284,1,0))</f>
        <v>0</v>
      </c>
      <c r="H284" s="1723" t="str">
        <f t="shared" si="8"/>
        <v/>
      </c>
      <c r="I284" s="1704" t="str">
        <f t="shared" si="9"/>
        <v/>
      </c>
      <c r="J284" s="1792" t="str">
        <f t="shared" si="10"/>
        <v/>
      </c>
      <c r="K284" s="1723" t="str">
        <f>职业列表!F34</f>
        <v>教育×2＋外貌×2</v>
      </c>
      <c r="L284" s="1792" t="str">
        <f>IF(ISNUMBER(FIND(B241,K284)),B284&amp;C284&amp;"、","")</f>
        <v/>
      </c>
      <c r="M284" s="2042" t="str">
        <f>职业列表!H34</f>
        <v>估价，技艺（表演），法律或外语，聆听，两项社交技能（取悦、话术、恐吓、说服），心理学，妙手。</v>
      </c>
      <c r="N284" s="1188" t="str">
        <f>IF(ISNUMBER(FIND(B239,M284)),B284&amp;C284&amp;"、","")</f>
        <v/>
      </c>
      <c r="O284" s="1704">
        <f t="shared" si="11"/>
        <v>0</v>
      </c>
      <c r="P284" s="1704">
        <f t="shared" si="12"/>
        <v>0</v>
      </c>
      <c r="Q284" s="1704">
        <f t="shared" si="13"/>
        <v>0</v>
      </c>
      <c r="R284" s="1704">
        <f t="shared" si="14"/>
        <v>0</v>
      </c>
      <c r="S284" s="1167">
        <f t="shared" si="15"/>
        <v>0</v>
      </c>
      <c r="Y284" s="1979" t="s">
        <v>237</v>
      </c>
    </row>
    <row r="285" ht="18" customHeight="1" spans="2:25">
      <c r="B285" s="1704">
        <f>职业列表!A35</f>
        <v>33</v>
      </c>
      <c r="C285" s="1704" t="str">
        <f>职业列表!B35</f>
        <v>罪犯-独行罪犯</v>
      </c>
      <c r="D285" s="2017">
        <f>职业列表!D35</f>
        <v>5</v>
      </c>
      <c r="E285" s="2020">
        <f>职业列表!E35</f>
        <v>65</v>
      </c>
      <c r="F285" s="2020">
        <f>IF(F251=1,IF(E244&gt;=D285,1,0),IF(E244&lt;=D285,1,0))</f>
        <v>0</v>
      </c>
      <c r="G285" s="2020">
        <f>IF(G251=1,IF(C244&gt;=E285,1,0),IF(C244&lt;=E285,1,0))</f>
        <v>0</v>
      </c>
      <c r="H285" s="1723" t="str">
        <f t="shared" si="8"/>
        <v/>
      </c>
      <c r="I285" s="1704" t="str">
        <f t="shared" si="9"/>
        <v/>
      </c>
      <c r="J285" s="1792" t="str">
        <f t="shared" si="10"/>
        <v/>
      </c>
      <c r="K285" s="1723" t="str">
        <f>职业列表!F35</f>
        <v>教育×2＋敏捷或外貌×2</v>
      </c>
      <c r="L285" s="1792" t="str">
        <f>IF(ISNUMBER(FIND(B241,K285)),B285&amp;C285&amp;"、","")</f>
        <v/>
      </c>
      <c r="M285" s="2042" t="str">
        <f>职业列表!H35</f>
        <v>技艺（表演）或乔装，估价，一项社交技能（取悦、话术、恐吓、说服），格斗或射击，锁匠或机械维修，潜行，心理学，侦查。</v>
      </c>
      <c r="N285" s="1188" t="str">
        <f>IF(ISNUMBER(FIND(B239,M285)),B285&amp;C285&amp;"、","")</f>
        <v/>
      </c>
      <c r="O285" s="1704">
        <f t="shared" si="11"/>
        <v>0</v>
      </c>
      <c r="P285" s="1704">
        <f t="shared" si="12"/>
        <v>0</v>
      </c>
      <c r="Q285" s="1704">
        <f t="shared" si="13"/>
        <v>0</v>
      </c>
      <c r="R285" s="1704">
        <f t="shared" si="14"/>
        <v>0</v>
      </c>
      <c r="S285" s="1167">
        <f t="shared" si="15"/>
        <v>0</v>
      </c>
      <c r="Y285" s="1979" t="s">
        <v>3305</v>
      </c>
    </row>
    <row r="286" ht="18" customHeight="1" spans="2:25">
      <c r="B286" s="1704">
        <f>职业列表!A36</f>
        <v>34</v>
      </c>
      <c r="C286" s="1704" t="str">
        <f>职业列表!B36</f>
        <v>罪犯-女飞贼（古典）</v>
      </c>
      <c r="D286" s="2017">
        <f>职业列表!D36</f>
        <v>10</v>
      </c>
      <c r="E286" s="2020">
        <f>职业列表!E36</f>
        <v>80</v>
      </c>
      <c r="F286" s="2020">
        <f>IF(F251=1,IF(E244&gt;=D286,1,0),IF(E244&lt;=D286,1,0))</f>
        <v>0</v>
      </c>
      <c r="G286" s="2020">
        <f>IF(G251=1,IF(C244&gt;=E286,1,0),IF(C244&lt;=E286,1,0))</f>
        <v>0</v>
      </c>
      <c r="H286" s="1723" t="str">
        <f t="shared" si="8"/>
        <v/>
      </c>
      <c r="I286" s="1704" t="str">
        <f t="shared" si="9"/>
        <v/>
      </c>
      <c r="J286" s="1792" t="str">
        <f t="shared" si="10"/>
        <v/>
      </c>
      <c r="K286" s="1723" t="str">
        <f>职业列表!F36</f>
        <v>教育×2＋外貌×2</v>
      </c>
      <c r="L286" s="1792" t="str">
        <f>IF(ISNUMBER(FIND(B241,K286)),B286&amp;C286&amp;"、","")</f>
        <v/>
      </c>
      <c r="M286" s="2042" t="str">
        <f>职业列表!H36</f>
        <v>技艺（任意），两项社交技能（取悦、话术、恐吓、说服），格斗（斗殴）或射击（手枪），汽车驾驶，聆听，潜行，任意一项其他个人或时代特长。</v>
      </c>
      <c r="N286" s="1188" t="str">
        <f>IF(ISNUMBER(FIND(B239,M286)),B286&amp;C286&amp;"、","")</f>
        <v/>
      </c>
      <c r="O286" s="1704">
        <f t="shared" si="11"/>
        <v>0</v>
      </c>
      <c r="P286" s="1704">
        <f t="shared" si="12"/>
        <v>0</v>
      </c>
      <c r="Q286" s="1704">
        <f t="shared" si="13"/>
        <v>0</v>
      </c>
      <c r="R286" s="1704">
        <f t="shared" si="14"/>
        <v>0</v>
      </c>
      <c r="S286" s="1167">
        <f t="shared" si="15"/>
        <v>0</v>
      </c>
      <c r="Y286" s="1979" t="s">
        <v>3306</v>
      </c>
    </row>
    <row r="287" ht="18" customHeight="1" spans="2:25">
      <c r="B287" s="1704">
        <f>职业列表!A37</f>
        <v>35</v>
      </c>
      <c r="C287" s="1704" t="str">
        <f>职业列表!B37</f>
        <v>罪犯-赃物贩子</v>
      </c>
      <c r="D287" s="2017">
        <f>职业列表!D37</f>
        <v>20</v>
      </c>
      <c r="E287" s="2020">
        <f>职业列表!E37</f>
        <v>40</v>
      </c>
      <c r="F287" s="2020">
        <f>IF(F251=1,IF(E244&gt;=D287,1,0),IF(E244&lt;=D287,1,0))</f>
        <v>0</v>
      </c>
      <c r="G287" s="2020">
        <f>IF(G251=1,IF(C244&gt;=E287,1,0),IF(C244&lt;=E287,1,0))</f>
        <v>0</v>
      </c>
      <c r="H287" s="1723" t="str">
        <f t="shared" si="8"/>
        <v/>
      </c>
      <c r="I287" s="1704" t="str">
        <f t="shared" si="9"/>
        <v/>
      </c>
      <c r="J287" s="1792" t="str">
        <f t="shared" si="10"/>
        <v/>
      </c>
      <c r="K287" s="1723" t="str">
        <f>职业列表!F37</f>
        <v>教育×2＋外貌×2</v>
      </c>
      <c r="L287" s="1792" t="str">
        <f>IF(ISNUMBER(FIND(B241,K287)),B287&amp;C287&amp;"、","")</f>
        <v/>
      </c>
      <c r="M287" s="2042" t="str">
        <f>职业列表!H37</f>
        <v>会计，估价，技艺（伪造），历史，一项社交技能（取悦、话术、恐吓、说服），图书馆，侦查，任意一项其他技能。</v>
      </c>
      <c r="N287" s="1188" t="str">
        <f>IF(ISNUMBER(FIND(B239,M287)),B287&amp;C287&amp;"、","")</f>
        <v/>
      </c>
      <c r="O287" s="1704">
        <f t="shared" si="11"/>
        <v>0</v>
      </c>
      <c r="P287" s="1704">
        <f t="shared" si="12"/>
        <v>0</v>
      </c>
      <c r="Q287" s="1704">
        <f t="shared" si="13"/>
        <v>0</v>
      </c>
      <c r="R287" s="1704">
        <f t="shared" si="14"/>
        <v>0</v>
      </c>
      <c r="S287" s="1167">
        <f t="shared" si="15"/>
        <v>0</v>
      </c>
      <c r="Y287" s="1979" t="s">
        <v>3307</v>
      </c>
    </row>
    <row r="288" ht="18" customHeight="1" spans="2:25">
      <c r="B288" s="1704">
        <f>职业列表!A38</f>
        <v>36</v>
      </c>
      <c r="C288" s="1704" t="str">
        <f>职业列表!B38</f>
        <v>罪犯-赝造者</v>
      </c>
      <c r="D288" s="2017">
        <f>职业列表!D38</f>
        <v>20</v>
      </c>
      <c r="E288" s="2020">
        <f>职业列表!E38</f>
        <v>60</v>
      </c>
      <c r="F288" s="2020">
        <f>IF(F251=1,IF(E244&gt;=D288,1,0),IF(E244&lt;=D288,1,0))</f>
        <v>0</v>
      </c>
      <c r="G288" s="2020">
        <f>IF(G251=1,IF(C244&gt;=E288,1,0),IF(C244&lt;=E288,1,0))</f>
        <v>0</v>
      </c>
      <c r="H288" s="1723" t="str">
        <f t="shared" si="8"/>
        <v/>
      </c>
      <c r="I288" s="1704" t="str">
        <f t="shared" si="9"/>
        <v/>
      </c>
      <c r="J288" s="1792" t="str">
        <f t="shared" si="10"/>
        <v/>
      </c>
      <c r="K288" s="1723" t="str">
        <f>职业列表!F38</f>
        <v>教育×4</v>
      </c>
      <c r="L288" s="1792" t="str">
        <f>IF(ISNUMBER(FIND(B241,K288)),B288&amp;C288&amp;"、","")</f>
        <v/>
      </c>
      <c r="M288" s="2042" t="str">
        <f>职业列表!H38</f>
        <v>会计，估价，技艺（伪造），历史，图书馆，侦查，妙手，任意一项其他个人或时代特长（如计算机）。</v>
      </c>
      <c r="N288" s="1188" t="str">
        <f>IF(ISNUMBER(FIND(B239,M288)),B288&amp;C288&amp;"、","")</f>
        <v/>
      </c>
      <c r="O288" s="1704">
        <f t="shared" si="11"/>
        <v>0</v>
      </c>
      <c r="P288" s="1704">
        <f t="shared" si="12"/>
        <v>0</v>
      </c>
      <c r="Q288" s="1704">
        <f t="shared" si="13"/>
        <v>0</v>
      </c>
      <c r="R288" s="1704">
        <f t="shared" si="14"/>
        <v>0</v>
      </c>
      <c r="S288" s="1167">
        <f t="shared" si="15"/>
        <v>0</v>
      </c>
      <c r="Y288" s="1979" t="s">
        <v>3308</v>
      </c>
    </row>
    <row r="289" ht="18" customHeight="1" spans="2:25">
      <c r="B289" s="1704">
        <f>职业列表!A39</f>
        <v>37</v>
      </c>
      <c r="C289" s="1704" t="str">
        <f>职业列表!B39</f>
        <v>罪犯-走私者</v>
      </c>
      <c r="D289" s="2017">
        <f>职业列表!D39</f>
        <v>20</v>
      </c>
      <c r="E289" s="2020">
        <f>职业列表!E39</f>
        <v>60</v>
      </c>
      <c r="F289" s="2020">
        <f>IF(F251=1,IF(E244&gt;=D289,1,0),IF(E244&lt;=D289,1,0))</f>
        <v>0</v>
      </c>
      <c r="G289" s="2020">
        <f>IF(G251=1,IF(C244&gt;=E289,1,0),IF(C244&lt;=E289,1,0))</f>
        <v>0</v>
      </c>
      <c r="H289" s="1723" t="str">
        <f t="shared" si="8"/>
        <v/>
      </c>
      <c r="I289" s="1704" t="str">
        <f t="shared" si="9"/>
        <v/>
      </c>
      <c r="J289" s="1792" t="str">
        <f t="shared" si="10"/>
        <v/>
      </c>
      <c r="K289" s="1723" t="str">
        <f>职业列表!F39</f>
        <v>教育×2＋外貌或敏捷×2</v>
      </c>
      <c r="L289" s="1792" t="str">
        <f>IF(ISNUMBER(FIND(B241,K289)),B289&amp;C289&amp;"、","")</f>
        <v/>
      </c>
      <c r="M289" s="2042" t="str">
        <f>职业列表!H39</f>
        <v>射击，聆听，导航，一项社交技能（取悦、话术、恐吓、说服），汽车驾驶或驾驶（飞行器或船），心理学，妙手，侦查。</v>
      </c>
      <c r="N289" s="1188" t="str">
        <f>IF(ISNUMBER(FIND(B239,M289)),B289&amp;C289&amp;"、","")</f>
        <v/>
      </c>
      <c r="O289" s="1704">
        <f t="shared" si="11"/>
        <v>0</v>
      </c>
      <c r="P289" s="1704">
        <f t="shared" si="12"/>
        <v>0</v>
      </c>
      <c r="Q289" s="1704">
        <f t="shared" si="13"/>
        <v>0</v>
      </c>
      <c r="R289" s="1704">
        <f t="shared" si="14"/>
        <v>0</v>
      </c>
      <c r="S289" s="1167">
        <f t="shared" si="15"/>
        <v>0</v>
      </c>
      <c r="Y289" s="1979" t="s">
        <v>3309</v>
      </c>
    </row>
    <row r="290" ht="18" customHeight="1" spans="2:25">
      <c r="B290" s="1704">
        <f>职业列表!A40</f>
        <v>38</v>
      </c>
      <c r="C290" s="1704" t="str">
        <f>职业列表!B40</f>
        <v>罪犯-混混</v>
      </c>
      <c r="D290" s="2017">
        <f>职业列表!D40</f>
        <v>3</v>
      </c>
      <c r="E290" s="2020">
        <f>职业列表!E40</f>
        <v>10</v>
      </c>
      <c r="F290" s="2020">
        <f>IF(F251=1,IF(E244&gt;=D290,1,0),IF(E244&lt;=D290,1,0))</f>
        <v>0</v>
      </c>
      <c r="G290" s="2020">
        <f>IF(G251=1,IF(C244&gt;=E290,1,0),IF(C244&lt;=E290,1,0))</f>
        <v>0</v>
      </c>
      <c r="H290" s="1723" t="str">
        <f t="shared" si="8"/>
        <v/>
      </c>
      <c r="I290" s="1704" t="str">
        <f t="shared" si="9"/>
        <v/>
      </c>
      <c r="J290" s="1792" t="str">
        <f t="shared" si="10"/>
        <v/>
      </c>
      <c r="K290" s="1723" t="str">
        <f>职业列表!F40</f>
        <v>教育×2＋力量或敏捷×2</v>
      </c>
      <c r="L290" s="1792" t="str">
        <f>IF(ISNUMBER(FIND(B241,K290)),B290&amp;C290&amp;"、","")</f>
        <v>38罪犯-混混、</v>
      </c>
      <c r="M290" s="2042" t="str">
        <f>职业列表!H40</f>
        <v>攀爬，一项社交技能（取悦、话术、恐吓、说服），格斗，射击，跳跃，妙手，潜行，投掷。</v>
      </c>
      <c r="N290" s="1188" t="str">
        <f>IF(ISNUMBER(FIND(B239,M290)),B290&amp;C290&amp;"、","")</f>
        <v/>
      </c>
      <c r="O290" s="1704">
        <f t="shared" si="11"/>
        <v>16</v>
      </c>
      <c r="P290" s="1704">
        <f t="shared" si="12"/>
        <v>0</v>
      </c>
      <c r="Q290" s="1704">
        <f t="shared" si="13"/>
        <v>0</v>
      </c>
      <c r="R290" s="1704">
        <f t="shared" si="14"/>
        <v>0</v>
      </c>
      <c r="S290" s="1167">
        <f t="shared" si="15"/>
        <v>16</v>
      </c>
      <c r="Y290" s="1979" t="s">
        <v>3310</v>
      </c>
    </row>
    <row r="291" ht="18" customHeight="1" spans="2:25">
      <c r="B291" s="1704">
        <f>职业列表!A41</f>
        <v>39</v>
      </c>
      <c r="C291" s="1704" t="str">
        <f>职业列表!B41</f>
        <v>教团首领</v>
      </c>
      <c r="D291" s="2017">
        <f>职业列表!D41</f>
        <v>30</v>
      </c>
      <c r="E291" s="2020">
        <f>职业列表!E41</f>
        <v>30</v>
      </c>
      <c r="F291" s="2020">
        <f>IF(F251=1,IF(E244&gt;=D291,1,0),IF(E244&lt;=D291,1,0))</f>
        <v>0</v>
      </c>
      <c r="G291" s="2020">
        <f>IF(G251=1,IF(C244&gt;=E291,1,0),IF(C244&lt;=E291,1,0))</f>
        <v>0</v>
      </c>
      <c r="H291" s="1723" t="str">
        <f t="shared" si="8"/>
        <v/>
      </c>
      <c r="I291" s="1704" t="str">
        <f t="shared" si="9"/>
        <v/>
      </c>
      <c r="J291" s="1792" t="str">
        <f t="shared" si="10"/>
        <v/>
      </c>
      <c r="K291" s="1723" t="str">
        <f>职业列表!F41</f>
        <v>教育×4</v>
      </c>
      <c r="L291" s="1792" t="str">
        <f>IF(ISNUMBER(FIND(B241,K291)),B291&amp;C291&amp;"、","")</f>
        <v/>
      </c>
      <c r="M291" s="2042" t="str">
        <f>职业列表!H41</f>
        <v>会计，两项社交技能（取悦、话术、恐吓、说服），神秘学，心理学，侦查，任意其他两项其他个人特长。</v>
      </c>
      <c r="N291" s="1188" t="str">
        <f>IF(ISNUMBER(FIND(B239,M291)),B291&amp;C291&amp;"、","")</f>
        <v/>
      </c>
      <c r="O291" s="1704">
        <f t="shared" si="11"/>
        <v>0</v>
      </c>
      <c r="P291" s="1704">
        <f t="shared" si="12"/>
        <v>0</v>
      </c>
      <c r="Q291" s="1704">
        <f t="shared" si="13"/>
        <v>0</v>
      </c>
      <c r="R291" s="1704">
        <f t="shared" si="14"/>
        <v>0</v>
      </c>
      <c r="S291" s="1167">
        <f t="shared" si="15"/>
        <v>0</v>
      </c>
      <c r="Y291" s="1979" t="s">
        <v>3311</v>
      </c>
    </row>
    <row r="292" ht="18" customHeight="1" spans="2:25">
      <c r="B292" s="1704">
        <f>职业列表!A42</f>
        <v>40</v>
      </c>
      <c r="C292" s="1704" t="str">
        <f>职业列表!B42</f>
        <v>除魅师（现代）</v>
      </c>
      <c r="D292" s="2017">
        <f>职业列表!D42</f>
        <v>20</v>
      </c>
      <c r="E292" s="2020">
        <f>职业列表!E42</f>
        <v>60</v>
      </c>
      <c r="F292" s="2020">
        <f>IF(F251=1,IF(E244&gt;=D292,1,0),IF(E244&lt;=D292,1,0))</f>
        <v>0</v>
      </c>
      <c r="G292" s="2020">
        <f>IF(G251=1,IF(C244&gt;=E292,1,0),IF(C244&lt;=E292,1,0))</f>
        <v>0</v>
      </c>
      <c r="H292" s="1723" t="str">
        <f t="shared" si="8"/>
        <v/>
      </c>
      <c r="I292" s="1704" t="str">
        <f t="shared" si="9"/>
        <v/>
      </c>
      <c r="J292" s="1792" t="str">
        <f t="shared" si="10"/>
        <v/>
      </c>
      <c r="K292" s="1723" t="str">
        <f>职业列表!F42</f>
        <v>教育×4</v>
      </c>
      <c r="L292" s="1792" t="str">
        <f>IF(ISNUMBER(FIND(B241,K292)),B292&amp;C292&amp;"、","")</f>
        <v/>
      </c>
      <c r="M292" s="2042" t="str">
        <f>职业列表!H42</f>
        <v>两项社交技能（取悦、话术、恐吓、说服），汽车驾驶，格斗（斗殴）或射击，历史，神秘学，心理学，潜行。※经KP允许 可用催眠替换其中一项。</v>
      </c>
      <c r="N292" s="1188" t="str">
        <f>IF(ISNUMBER(FIND(B239,M292)),B292&amp;C292&amp;"、","")</f>
        <v/>
      </c>
      <c r="O292" s="1704">
        <f t="shared" si="11"/>
        <v>0</v>
      </c>
      <c r="P292" s="1704">
        <f t="shared" si="12"/>
        <v>0</v>
      </c>
      <c r="Q292" s="1704">
        <f t="shared" si="13"/>
        <v>0</v>
      </c>
      <c r="R292" s="1704">
        <f t="shared" si="14"/>
        <v>0</v>
      </c>
      <c r="S292" s="1167">
        <f t="shared" si="15"/>
        <v>0</v>
      </c>
      <c r="Y292" s="1979" t="s">
        <v>237</v>
      </c>
    </row>
    <row r="293" ht="18" customHeight="1" spans="2:25">
      <c r="B293" s="1704">
        <f>职业列表!A43</f>
        <v>41</v>
      </c>
      <c r="C293" s="1704" t="str">
        <f>职业列表!B43</f>
        <v>设计师</v>
      </c>
      <c r="D293" s="2017">
        <f>职业列表!D43</f>
        <v>20</v>
      </c>
      <c r="E293" s="2020">
        <f>职业列表!E43</f>
        <v>60</v>
      </c>
      <c r="F293" s="2020">
        <f>IF(F251=1,IF(E244&gt;=D293,1,0),IF(E244&lt;=D293,1,0))</f>
        <v>0</v>
      </c>
      <c r="G293" s="2020">
        <f>IF(G251=1,IF(C244&gt;=E293,1,0),IF(C244&lt;=E293,1,0))</f>
        <v>0</v>
      </c>
      <c r="H293" s="1723" t="str">
        <f t="shared" si="8"/>
        <v/>
      </c>
      <c r="I293" s="1704" t="str">
        <f t="shared" si="9"/>
        <v/>
      </c>
      <c r="J293" s="1792" t="str">
        <f t="shared" si="10"/>
        <v/>
      </c>
      <c r="K293" s="1723" t="str">
        <f>职业列表!F43</f>
        <v>教育×4</v>
      </c>
      <c r="L293" s="1792" t="str">
        <f>IF(ISNUMBER(FIND(B241,K293)),B293&amp;C293&amp;"、","")</f>
        <v/>
      </c>
      <c r="M293" s="2042" t="str">
        <f>职业列表!H43</f>
        <v>会计，技艺（摄影），技艺（任一），计算机或图书馆，机械维修，心理学，侦查，任意一项其他个人特长。</v>
      </c>
      <c r="N293" s="1188" t="str">
        <f>IF(ISNUMBER(FIND(B239,M293)),B293&amp;C293&amp;"、","")</f>
        <v/>
      </c>
      <c r="O293" s="1704">
        <f t="shared" si="11"/>
        <v>0</v>
      </c>
      <c r="P293" s="1704">
        <f t="shared" si="12"/>
        <v>0</v>
      </c>
      <c r="Q293" s="1704">
        <f t="shared" si="13"/>
        <v>0</v>
      </c>
      <c r="R293" s="1704">
        <f t="shared" si="14"/>
        <v>0</v>
      </c>
      <c r="S293" s="1167">
        <f t="shared" si="15"/>
        <v>0</v>
      </c>
      <c r="Y293" s="1979" t="s">
        <v>3312</v>
      </c>
    </row>
    <row r="294" ht="18" customHeight="1" spans="2:25">
      <c r="B294" s="1704">
        <f>职业列表!A44</f>
        <v>42</v>
      </c>
      <c r="C294" s="1704" t="str">
        <f>职业列表!B44</f>
        <v>业余艺术爱好者（原作向）</v>
      </c>
      <c r="D294" s="2017">
        <f>职业列表!D44</f>
        <v>50</v>
      </c>
      <c r="E294" s="2020">
        <f>职业列表!E44</f>
        <v>99</v>
      </c>
      <c r="F294" s="2020">
        <f>IF(F251=1,IF(E244&gt;=D294,1,0),IF(E244&lt;=D294,1,0))</f>
        <v>1</v>
      </c>
      <c r="G294" s="2020">
        <f>IF(G251=1,IF(C244&gt;=E294,1,0),IF(C244&lt;=E294,1,0))</f>
        <v>1</v>
      </c>
      <c r="H294" s="1723" t="str">
        <f t="shared" si="8"/>
        <v>42业余艺术爱好者（原作向）、</v>
      </c>
      <c r="I294" s="1704" t="str">
        <f t="shared" si="9"/>
        <v>42业余艺术爱好者（原作向）、</v>
      </c>
      <c r="J294" s="1792" t="str">
        <f t="shared" si="10"/>
        <v>42业余艺术爱好者（原作向）</v>
      </c>
      <c r="K294" s="1723" t="str">
        <f>职业列表!F44</f>
        <v>教育×2＋外貌×2</v>
      </c>
      <c r="L294" s="1792" t="str">
        <f>IF(ISNUMBER(FIND(B241,K294)),B294&amp;C294&amp;"、","")</f>
        <v/>
      </c>
      <c r="M294" s="2042" t="str">
        <f>职业列表!H44</f>
        <v>技艺（任一），射击，外语，骑乘，一项社交技能（取悦、话术、恐吓、说服），任意三项其他个人或时代特长。</v>
      </c>
      <c r="N294" s="1188" t="str">
        <f>IF(ISNUMBER(FIND(B239,M294)),B294&amp;C294&amp;"、","")</f>
        <v/>
      </c>
      <c r="O294" s="1704">
        <f t="shared" si="11"/>
        <v>0</v>
      </c>
      <c r="P294" s="1704">
        <f t="shared" si="12"/>
        <v>0</v>
      </c>
      <c r="Q294" s="1704">
        <f t="shared" si="13"/>
        <v>49</v>
      </c>
      <c r="R294" s="1704">
        <f t="shared" si="14"/>
        <v>69</v>
      </c>
      <c r="S294" s="1167">
        <f t="shared" si="15"/>
        <v>118</v>
      </c>
      <c r="Y294" s="1979" t="s">
        <v>3313</v>
      </c>
    </row>
    <row r="295" ht="18" customHeight="1" spans="2:25">
      <c r="B295" s="1704">
        <f>职业列表!A45</f>
        <v>43</v>
      </c>
      <c r="C295" s="1704" t="str">
        <f>职业列表!B45</f>
        <v>潜水员</v>
      </c>
      <c r="D295" s="2017">
        <f>职业列表!D45</f>
        <v>9</v>
      </c>
      <c r="E295" s="2020">
        <f>职业列表!E45</f>
        <v>30</v>
      </c>
      <c r="F295" s="2020">
        <f>IF(F251=1,IF(E244&gt;=D295,1,0),IF(E244&lt;=D295,1,0))</f>
        <v>0</v>
      </c>
      <c r="G295" s="2020">
        <f>IF(G251=1,IF(C244&gt;=E295,1,0),IF(C244&lt;=E295,1,0))</f>
        <v>0</v>
      </c>
      <c r="H295" s="1723" t="str">
        <f t="shared" si="8"/>
        <v/>
      </c>
      <c r="I295" s="1704" t="str">
        <f t="shared" si="9"/>
        <v/>
      </c>
      <c r="J295" s="1792" t="str">
        <f t="shared" si="10"/>
        <v/>
      </c>
      <c r="K295" s="1723" t="str">
        <f>职业列表!F45</f>
        <v>教育×2＋敏捷×2</v>
      </c>
      <c r="L295" s="1792" t="str">
        <f>IF(ISNUMBER(FIND(B241,K295)),B295&amp;C295&amp;"、","")</f>
        <v/>
      </c>
      <c r="M295" s="2042" t="str">
        <f>职业列表!H45</f>
        <v>潜水，急救，机械维修，驾驶（船），科学（生物），侦查，游泳，任意一项其他个人或时代特长。</v>
      </c>
      <c r="N295" s="1188" t="str">
        <f>IF(ISNUMBER(FIND(B239,M295)),B295&amp;C295&amp;"、","")</f>
        <v/>
      </c>
      <c r="O295" s="1704">
        <f t="shared" si="11"/>
        <v>0</v>
      </c>
      <c r="P295" s="1704">
        <f t="shared" si="12"/>
        <v>0</v>
      </c>
      <c r="Q295" s="1704">
        <f t="shared" si="13"/>
        <v>0</v>
      </c>
      <c r="R295" s="1704">
        <f t="shared" si="14"/>
        <v>0</v>
      </c>
      <c r="S295" s="1167">
        <f t="shared" si="15"/>
        <v>0</v>
      </c>
      <c r="Y295" s="1979" t="s">
        <v>3314</v>
      </c>
    </row>
    <row r="296" ht="18" customHeight="1" spans="2:25">
      <c r="B296" s="1704">
        <f>职业列表!A46</f>
        <v>44</v>
      </c>
      <c r="C296" s="1704" t="str">
        <f>职业列表!B46</f>
        <v>医生（原作向）</v>
      </c>
      <c r="D296" s="2017">
        <f>职业列表!D46</f>
        <v>30</v>
      </c>
      <c r="E296" s="2020">
        <f>职业列表!E46</f>
        <v>80</v>
      </c>
      <c r="F296" s="2020">
        <f>IF(F251=1,IF(E244&gt;=D296,1,0),IF(E244&lt;=D296,1,0))</f>
        <v>0</v>
      </c>
      <c r="G296" s="2020">
        <f>IF(G251=1,IF(C244&gt;=E296,1,0),IF(C244&lt;=E296,1,0))</f>
        <v>0</v>
      </c>
      <c r="H296" s="1723" t="str">
        <f t="shared" si="8"/>
        <v/>
      </c>
      <c r="I296" s="1704" t="str">
        <f t="shared" si="9"/>
        <v/>
      </c>
      <c r="J296" s="1792" t="str">
        <f t="shared" si="10"/>
        <v/>
      </c>
      <c r="K296" s="1723" t="str">
        <f>职业列表!F46</f>
        <v>教育×4</v>
      </c>
      <c r="L296" s="1792" t="str">
        <f>IF(ISNUMBER(FIND(B241,K296)),B296&amp;C296&amp;"、","")</f>
        <v/>
      </c>
      <c r="M296" s="2042" t="str">
        <f>职业列表!H46</f>
        <v>急救、医学、外语（拉丁文）、心理学、科学（生物学，制药），任两种其他学术或个人特长。</v>
      </c>
      <c r="N296" s="1188" t="str">
        <f>IF(ISNUMBER(FIND(B239,M296)),B296&amp;C296&amp;"、","")</f>
        <v/>
      </c>
      <c r="O296" s="1704">
        <f t="shared" si="11"/>
        <v>0</v>
      </c>
      <c r="P296" s="1704">
        <f t="shared" si="12"/>
        <v>0</v>
      </c>
      <c r="Q296" s="1704">
        <f t="shared" si="13"/>
        <v>0</v>
      </c>
      <c r="R296" s="1704">
        <f t="shared" si="14"/>
        <v>0</v>
      </c>
      <c r="S296" s="1167">
        <f t="shared" si="15"/>
        <v>0</v>
      </c>
      <c r="Y296" s="1979" t="s">
        <v>237</v>
      </c>
    </row>
    <row r="297" ht="18" customHeight="1" spans="2:25">
      <c r="B297" s="1704">
        <f>职业列表!A47</f>
        <v>45</v>
      </c>
      <c r="C297" s="1704" t="str">
        <f>职业列表!B47</f>
        <v>流浪者</v>
      </c>
      <c r="D297" s="2017">
        <f>职业列表!D47</f>
        <v>0</v>
      </c>
      <c r="E297" s="2020">
        <f>职业列表!E47</f>
        <v>5</v>
      </c>
      <c r="F297" s="2020">
        <f>IF(F251=1,IF(E244&gt;=D297,1,0),IF(E244&lt;=D297,1,0))</f>
        <v>0</v>
      </c>
      <c r="G297" s="2020">
        <f>IF(G251=1,IF(C244&gt;=E297,1,0),IF(C244&lt;=E297,1,0))</f>
        <v>0</v>
      </c>
      <c r="H297" s="1723" t="str">
        <f t="shared" si="8"/>
        <v/>
      </c>
      <c r="I297" s="1704" t="str">
        <f t="shared" si="9"/>
        <v/>
      </c>
      <c r="J297" s="1792" t="str">
        <f t="shared" si="10"/>
        <v/>
      </c>
      <c r="K297" s="1723" t="str">
        <f>职业列表!F47</f>
        <v>教育×2＋外貌或敏捷或力量×2</v>
      </c>
      <c r="L297" s="1792" t="str">
        <f>IF(ISNUMBER(FIND(B241,K297)),B297&amp;C297&amp;"、","")</f>
        <v>45流浪者、</v>
      </c>
      <c r="M297" s="2042" t="str">
        <f>职业列表!H47</f>
        <v>攀爬，跳跃，聆听，导航，一项社交技能（取悦、话术、恐吓、说服），潜行，任意两项其他个人或时代特长。</v>
      </c>
      <c r="N297" s="1188" t="str">
        <f>IF(ISNUMBER(FIND(B239,M297)),B297&amp;C297&amp;"、","")</f>
        <v/>
      </c>
      <c r="O297" s="1704">
        <f t="shared" si="11"/>
        <v>16</v>
      </c>
      <c r="P297" s="1704">
        <f t="shared" si="12"/>
        <v>0</v>
      </c>
      <c r="Q297" s="1704">
        <f t="shared" si="13"/>
        <v>0</v>
      </c>
      <c r="R297" s="1704">
        <f t="shared" si="14"/>
        <v>0</v>
      </c>
      <c r="S297" s="1167">
        <f t="shared" si="15"/>
        <v>16</v>
      </c>
      <c r="Y297" s="1979" t="s">
        <v>3315</v>
      </c>
    </row>
    <row r="298" ht="18" customHeight="1" spans="2:25">
      <c r="B298" s="1704">
        <f>职业列表!A48</f>
        <v>46</v>
      </c>
      <c r="C298" s="1704" t="str">
        <f>职业列表!B48</f>
        <v>司机-私人司机</v>
      </c>
      <c r="D298" s="2017">
        <f>职业列表!D48</f>
        <v>10</v>
      </c>
      <c r="E298" s="2020">
        <f>职业列表!E48</f>
        <v>40</v>
      </c>
      <c r="F298" s="2020">
        <f>IF(F251=1,IF(E244&gt;=D298,1,0),IF(E244&lt;=D298,1,0))</f>
        <v>0</v>
      </c>
      <c r="G298" s="2020">
        <f>IF(G251=1,IF(C244&gt;=E298,1,0),IF(C244&lt;=E298,1,0))</f>
        <v>0</v>
      </c>
      <c r="H298" s="1723" t="str">
        <f t="shared" si="8"/>
        <v/>
      </c>
      <c r="I298" s="1704" t="str">
        <f t="shared" si="9"/>
        <v/>
      </c>
      <c r="J298" s="1792" t="str">
        <f t="shared" si="10"/>
        <v/>
      </c>
      <c r="K298" s="1723" t="str">
        <f>职业列表!F48</f>
        <v>教育×2＋敏捷×2</v>
      </c>
      <c r="L298" s="1792" t="str">
        <f>IF(ISNUMBER(FIND(B241,K298)),B298&amp;C298&amp;"、","")</f>
        <v/>
      </c>
      <c r="M298" s="2042" t="str">
        <f>职业列表!H48</f>
        <v>汽车驾驶，两项社交技能（取悦、话术、恐吓、说服），聆听，机械维修，导航，侦查，任意一项其他个人或时代特长。</v>
      </c>
      <c r="N298" s="1188" t="str">
        <f>IF(ISNUMBER(FIND(B239,M298)),B298&amp;C298&amp;"、","")</f>
        <v/>
      </c>
      <c r="O298" s="1704">
        <f t="shared" si="11"/>
        <v>0</v>
      </c>
      <c r="P298" s="1704">
        <f t="shared" si="12"/>
        <v>0</v>
      </c>
      <c r="Q298" s="1704">
        <f t="shared" si="13"/>
        <v>0</v>
      </c>
      <c r="R298" s="1704">
        <f t="shared" si="14"/>
        <v>0</v>
      </c>
      <c r="S298" s="1167">
        <f t="shared" si="15"/>
        <v>0</v>
      </c>
      <c r="Y298" s="1979" t="s">
        <v>3316</v>
      </c>
    </row>
    <row r="299" ht="18" customHeight="1" spans="2:25">
      <c r="B299" s="1704">
        <f>职业列表!A49</f>
        <v>47</v>
      </c>
      <c r="C299" s="1704" t="str">
        <f>职业列表!B49</f>
        <v>司机-司机</v>
      </c>
      <c r="D299" s="2017">
        <f>职业列表!D49</f>
        <v>9</v>
      </c>
      <c r="E299" s="2020">
        <f>职业列表!E49</f>
        <v>20</v>
      </c>
      <c r="F299" s="2020">
        <f>IF(F251=1,IF(E244&gt;=D299,1,0),IF(E244&lt;=D299,1,0))</f>
        <v>0</v>
      </c>
      <c r="G299" s="2020">
        <f>IF(G251=1,IF(C244&gt;=E299,1,0),IF(C244&lt;=E299,1,0))</f>
        <v>0</v>
      </c>
      <c r="H299" s="1723" t="str">
        <f t="shared" si="8"/>
        <v/>
      </c>
      <c r="I299" s="1704" t="str">
        <f t="shared" si="9"/>
        <v/>
      </c>
      <c r="J299" s="1792" t="str">
        <f t="shared" si="10"/>
        <v/>
      </c>
      <c r="K299" s="1723" t="str">
        <f>职业列表!F49</f>
        <v>教育×2＋力量或敏捷×2</v>
      </c>
      <c r="L299" s="1792" t="str">
        <f>IF(ISNUMBER(FIND(B241,K299)),B299&amp;C299&amp;"、","")</f>
        <v>47司机-司机、</v>
      </c>
      <c r="M299" s="2042" t="str">
        <f>职业列表!H49</f>
        <v>会计，汽车驾驶，聆听，一项社交技能（取悦、话术、恐吓、说服），机械维修，导航，心理学，任意一项其他个人或时代特长。</v>
      </c>
      <c r="N299" s="1188" t="str">
        <f>IF(ISNUMBER(FIND(B239,M299)),B299&amp;C299&amp;"、","")</f>
        <v/>
      </c>
      <c r="O299" s="1704">
        <f t="shared" si="11"/>
        <v>16</v>
      </c>
      <c r="P299" s="1704">
        <f t="shared" si="12"/>
        <v>0</v>
      </c>
      <c r="Q299" s="1704">
        <f t="shared" si="13"/>
        <v>0</v>
      </c>
      <c r="R299" s="1704">
        <f t="shared" si="14"/>
        <v>0</v>
      </c>
      <c r="S299" s="1167">
        <f t="shared" si="15"/>
        <v>16</v>
      </c>
      <c r="Y299" s="1979" t="s">
        <v>3317</v>
      </c>
    </row>
    <row r="300" ht="18" customHeight="1" spans="2:25">
      <c r="B300" s="1704">
        <f>职业列表!A50</f>
        <v>48</v>
      </c>
      <c r="C300" s="1704" t="str">
        <f>职业列表!B50</f>
        <v>司机-出租车司机</v>
      </c>
      <c r="D300" s="2017">
        <f>职业列表!D50</f>
        <v>9</v>
      </c>
      <c r="E300" s="2020">
        <f>职业列表!E50</f>
        <v>30</v>
      </c>
      <c r="F300" s="2020">
        <f>IF(F251=1,IF(E244&gt;=D300,1,0),IF(E244&lt;=D300,1,0))</f>
        <v>0</v>
      </c>
      <c r="G300" s="2020">
        <f>IF(G251=1,IF(C244&gt;=E300,1,0),IF(C244&lt;=E300,1,0))</f>
        <v>0</v>
      </c>
      <c r="H300" s="1723" t="str">
        <f t="shared" si="8"/>
        <v/>
      </c>
      <c r="I300" s="1704" t="str">
        <f t="shared" si="9"/>
        <v/>
      </c>
      <c r="J300" s="1792" t="str">
        <f t="shared" si="10"/>
        <v/>
      </c>
      <c r="K300" s="1723" t="str">
        <f>职业列表!F50</f>
        <v>教育×2＋敏捷×2</v>
      </c>
      <c r="L300" s="1792" t="str">
        <f>IF(ISNUMBER(FIND(B241,K300)),B300&amp;C300&amp;"、","")</f>
        <v/>
      </c>
      <c r="M300" s="2042" t="str">
        <f>职业列表!H50</f>
        <v>会计，汽车驾驶，电气维修，话术，机械维修，导航，侦查，任意一项其他个人或时代特长。</v>
      </c>
      <c r="N300" s="1188" t="str">
        <f>IF(ISNUMBER(FIND(B239,M300)),B300&amp;C300&amp;"、","")</f>
        <v/>
      </c>
      <c r="O300" s="1704">
        <f t="shared" si="11"/>
        <v>0</v>
      </c>
      <c r="P300" s="1704">
        <f t="shared" si="12"/>
        <v>0</v>
      </c>
      <c r="Q300" s="1704">
        <f t="shared" si="13"/>
        <v>0</v>
      </c>
      <c r="R300" s="1704">
        <f t="shared" si="14"/>
        <v>0</v>
      </c>
      <c r="S300" s="1167">
        <f t="shared" si="15"/>
        <v>0</v>
      </c>
      <c r="Y300" s="1979" t="s">
        <v>3318</v>
      </c>
    </row>
    <row r="301" ht="18" customHeight="1" spans="2:25">
      <c r="B301" s="1704">
        <f>职业列表!A51</f>
        <v>49</v>
      </c>
      <c r="C301" s="1704" t="str">
        <f>职业列表!B51</f>
        <v>编辑</v>
      </c>
      <c r="D301" s="2017">
        <f>职业列表!D51</f>
        <v>10</v>
      </c>
      <c r="E301" s="2020">
        <f>职业列表!E51</f>
        <v>30</v>
      </c>
      <c r="F301" s="2020">
        <f>IF(F251=1,IF(E244&gt;=D301,1,0),IF(E244&lt;=D301,1,0))</f>
        <v>0</v>
      </c>
      <c r="G301" s="2020">
        <f>IF(G251=1,IF(C244&gt;=E301,1,0),IF(C244&lt;=E301,1,0))</f>
        <v>0</v>
      </c>
      <c r="H301" s="1723" t="str">
        <f t="shared" si="8"/>
        <v/>
      </c>
      <c r="I301" s="1704" t="str">
        <f t="shared" si="9"/>
        <v/>
      </c>
      <c r="J301" s="1792" t="str">
        <f t="shared" si="10"/>
        <v/>
      </c>
      <c r="K301" s="1723" t="str">
        <f>职业列表!F51</f>
        <v>教育×4</v>
      </c>
      <c r="L301" s="1792" t="str">
        <f>IF(ISNUMBER(FIND(B241,K301)),B301&amp;C301&amp;"、","")</f>
        <v/>
      </c>
      <c r="M301" s="2042" t="str">
        <f>职业列表!H51</f>
        <v>会计，历史，母语，两项社交技能（取悦、话术、恐吓、说服），心理学，侦查，任意一项其他个人或时代特长。</v>
      </c>
      <c r="N301" s="1188" t="str">
        <f>IF(ISNUMBER(FIND(B239,M301)),B301&amp;C301&amp;"、","")</f>
        <v/>
      </c>
      <c r="O301" s="1704">
        <f t="shared" si="11"/>
        <v>0</v>
      </c>
      <c r="P301" s="1704">
        <f t="shared" si="12"/>
        <v>0</v>
      </c>
      <c r="Q301" s="1704">
        <f t="shared" si="13"/>
        <v>0</v>
      </c>
      <c r="R301" s="1704">
        <f t="shared" si="14"/>
        <v>0</v>
      </c>
      <c r="S301" s="1167">
        <f t="shared" si="15"/>
        <v>0</v>
      </c>
      <c r="Y301" s="1979" t="s">
        <v>237</v>
      </c>
    </row>
    <row r="302" ht="18" customHeight="1" spans="2:25">
      <c r="B302" s="1704">
        <f>职业列表!A52</f>
        <v>50</v>
      </c>
      <c r="C302" s="1704" t="str">
        <f>职业列表!B52</f>
        <v>政府官员</v>
      </c>
      <c r="D302" s="2017">
        <f>职业列表!D52</f>
        <v>50</v>
      </c>
      <c r="E302" s="2020">
        <f>职业列表!E52</f>
        <v>90</v>
      </c>
      <c r="F302" s="2020">
        <f>IF(F251=1,IF(E244&gt;=D302,1,0),IF(E244&lt;=D302,1,0))</f>
        <v>1</v>
      </c>
      <c r="G302" s="2020">
        <f>IF(G251=1,IF(C244&gt;=E302,1,0),IF(C244&lt;=E302,1,0))</f>
        <v>1</v>
      </c>
      <c r="H302" s="1723" t="str">
        <f t="shared" si="8"/>
        <v>50政府官员、</v>
      </c>
      <c r="I302" s="1704" t="str">
        <f t="shared" si="9"/>
        <v>50政府官员、</v>
      </c>
      <c r="J302" s="1792" t="str">
        <f t="shared" si="10"/>
        <v>50政府官员</v>
      </c>
      <c r="K302" s="1723" t="str">
        <f>职业列表!F52</f>
        <v>教育×2＋外貌×2</v>
      </c>
      <c r="L302" s="1792" t="str">
        <f>IF(ISNUMBER(FIND(B241,K302)),B302&amp;C302&amp;"、","")</f>
        <v/>
      </c>
      <c r="M302" s="2042" t="str">
        <f>职业列表!H52</f>
        <v>取悦，历史，恐吓，话术，聆听，母语，说服，心理学。</v>
      </c>
      <c r="N302" s="1188" t="str">
        <f>IF(ISNUMBER(FIND(B239,M302)),B302&amp;C302&amp;"、","")</f>
        <v/>
      </c>
      <c r="O302" s="1704">
        <f t="shared" si="11"/>
        <v>0</v>
      </c>
      <c r="P302" s="1704">
        <f t="shared" si="12"/>
        <v>0</v>
      </c>
      <c r="Q302" s="1704">
        <f t="shared" si="13"/>
        <v>49</v>
      </c>
      <c r="R302" s="1704">
        <f t="shared" si="14"/>
        <v>69</v>
      </c>
      <c r="S302" s="1167">
        <f t="shared" si="15"/>
        <v>118</v>
      </c>
      <c r="Y302" s="1979" t="s">
        <v>3319</v>
      </c>
    </row>
    <row r="303" ht="18" customHeight="1" spans="2:25">
      <c r="B303" s="1704">
        <f>职业列表!A53</f>
        <v>51</v>
      </c>
      <c r="C303" s="1704" t="str">
        <f>职业列表!B53</f>
        <v>工程师</v>
      </c>
      <c r="D303" s="2017">
        <f>职业列表!D53</f>
        <v>30</v>
      </c>
      <c r="E303" s="2020">
        <f>职业列表!E53</f>
        <v>60</v>
      </c>
      <c r="F303" s="2020">
        <f>IF(F251=1,IF(E244&gt;=D303,1,0),IF(E244&lt;=D303,1,0))</f>
        <v>0</v>
      </c>
      <c r="G303" s="2020">
        <f>IF(G251=1,IF(C244&gt;=E303,1,0),IF(C244&lt;=E303,1,0))</f>
        <v>0</v>
      </c>
      <c r="H303" s="1723" t="str">
        <f t="shared" si="8"/>
        <v/>
      </c>
      <c r="I303" s="1704" t="str">
        <f t="shared" si="9"/>
        <v/>
      </c>
      <c r="J303" s="1792" t="str">
        <f t="shared" si="10"/>
        <v/>
      </c>
      <c r="K303" s="1723" t="str">
        <f>职业列表!F53</f>
        <v>教育×4</v>
      </c>
      <c r="L303" s="1792" t="str">
        <f>IF(ISNUMBER(FIND(B241,K303)),B303&amp;C303&amp;"、","")</f>
        <v/>
      </c>
      <c r="M303" s="2042" t="str">
        <f>职业列表!H53</f>
        <v>技艺（技术制图），电气维修，图书馆，机械维修，操作重型机械，科学（工程学，物理），任意一项其他个人或时代特长。</v>
      </c>
      <c r="N303" s="1188" t="str">
        <f>IF(ISNUMBER(FIND(B239,M303)),B303&amp;C303&amp;"、","")</f>
        <v/>
      </c>
      <c r="O303" s="1704">
        <f t="shared" si="11"/>
        <v>0</v>
      </c>
      <c r="P303" s="1704">
        <f t="shared" si="12"/>
        <v>0</v>
      </c>
      <c r="Q303" s="1704">
        <f t="shared" si="13"/>
        <v>0</v>
      </c>
      <c r="R303" s="1704">
        <f t="shared" si="14"/>
        <v>0</v>
      </c>
      <c r="S303" s="1167">
        <f t="shared" si="15"/>
        <v>0</v>
      </c>
      <c r="Y303" s="1979" t="s">
        <v>3320</v>
      </c>
    </row>
    <row r="304" ht="18" customHeight="1" spans="2:25">
      <c r="B304" s="1704">
        <f>职业列表!A54</f>
        <v>52</v>
      </c>
      <c r="C304" s="1704" t="str">
        <f>职业列表!B54</f>
        <v>艺人</v>
      </c>
      <c r="D304" s="2017">
        <f>职业列表!D54</f>
        <v>9</v>
      </c>
      <c r="E304" s="2020">
        <f>职业列表!E54</f>
        <v>70</v>
      </c>
      <c r="F304" s="2020">
        <f>IF(F251=1,IF(E244&gt;=D304,1,0),IF(E244&lt;=D304,1,0))</f>
        <v>0</v>
      </c>
      <c r="G304" s="2020">
        <f>IF(G251=1,IF(C244&gt;=E304,1,0),IF(C244&lt;=E304,1,0))</f>
        <v>0</v>
      </c>
      <c r="H304" s="1723" t="str">
        <f t="shared" si="8"/>
        <v/>
      </c>
      <c r="I304" s="1704" t="str">
        <f t="shared" si="9"/>
        <v/>
      </c>
      <c r="J304" s="1792" t="str">
        <f t="shared" si="10"/>
        <v/>
      </c>
      <c r="K304" s="1723" t="str">
        <f>职业列表!F54</f>
        <v>教育×2＋外貌×2</v>
      </c>
      <c r="L304" s="1792" t="str">
        <f>IF(ISNUMBER(FIND(B241,K304)),B304&amp;C304&amp;"、","")</f>
        <v/>
      </c>
      <c r="M304" s="2042" t="str">
        <f>职业列表!H54</f>
        <v>技艺（表演类，如表演、演唱、喜剧等），乔装，两项社交技能（取悦、话术、恐吓、说服），聆听，心理学，任意两项其他个人或时代特长。</v>
      </c>
      <c r="N304" s="1188" t="str">
        <f>IF(ISNUMBER(FIND(B239,M304)),B304&amp;C304&amp;"、","")</f>
        <v/>
      </c>
      <c r="O304" s="1704">
        <f t="shared" si="11"/>
        <v>0</v>
      </c>
      <c r="P304" s="1704">
        <f t="shared" si="12"/>
        <v>0</v>
      </c>
      <c r="Q304" s="1704">
        <f t="shared" si="13"/>
        <v>0</v>
      </c>
      <c r="R304" s="1704">
        <f t="shared" si="14"/>
        <v>0</v>
      </c>
      <c r="S304" s="1167">
        <f t="shared" si="15"/>
        <v>0</v>
      </c>
      <c r="Y304" s="1979" t="s">
        <v>237</v>
      </c>
    </row>
    <row r="305" ht="18" customHeight="1" spans="2:25">
      <c r="B305" s="1704">
        <f>职业列表!A55</f>
        <v>53</v>
      </c>
      <c r="C305" s="1704" t="str">
        <f>职业列表!B55</f>
        <v>探险家（古典）</v>
      </c>
      <c r="D305" s="2017">
        <f>职业列表!D55</f>
        <v>55</v>
      </c>
      <c r="E305" s="2020">
        <f>职业列表!E55</f>
        <v>80</v>
      </c>
      <c r="F305" s="2020">
        <f>IF(F251=1,IF(E244&gt;=D305,1,0),IF(E244&lt;=D305,1,0))</f>
        <v>1</v>
      </c>
      <c r="G305" s="2020">
        <f>IF(G251=1,IF(C244&gt;=E305,1,0),IF(C244&lt;=E305,1,0))</f>
        <v>0</v>
      </c>
      <c r="H305" s="1723" t="str">
        <f t="shared" si="8"/>
        <v>53探险家（古典）、</v>
      </c>
      <c r="I305" s="1704" t="str">
        <f t="shared" si="9"/>
        <v/>
      </c>
      <c r="J305" s="1792" t="str">
        <f t="shared" si="10"/>
        <v/>
      </c>
      <c r="K305" s="1723" t="str">
        <f>职业列表!F55</f>
        <v>教育×2＋外貌或敏捷或力量×2</v>
      </c>
      <c r="L305" s="1792" t="str">
        <f>IF(ISNUMBER(FIND(B241,K305)),B305&amp;C305&amp;"、","")</f>
        <v>53探险家（古典）、</v>
      </c>
      <c r="M305" s="2042" t="str">
        <f>职业列表!H55</f>
        <v>攀爬或游泳，射击，历史，跳跃，自然，导航，外语，生存。</v>
      </c>
      <c r="N305" s="1188" t="str">
        <f>IF(ISNUMBER(FIND(B239,M305)),B305&amp;C305&amp;"、","")</f>
        <v/>
      </c>
      <c r="O305" s="1704">
        <f t="shared" si="11"/>
        <v>16</v>
      </c>
      <c r="P305" s="1704">
        <f t="shared" si="12"/>
        <v>0</v>
      </c>
      <c r="Q305" s="1704">
        <f t="shared" si="13"/>
        <v>49</v>
      </c>
      <c r="R305" s="1704">
        <f t="shared" si="14"/>
        <v>0</v>
      </c>
      <c r="S305" s="1167">
        <f t="shared" si="15"/>
        <v>65</v>
      </c>
      <c r="Y305" s="1979" t="s">
        <v>3321</v>
      </c>
    </row>
    <row r="306" ht="18" customHeight="1" spans="2:25">
      <c r="B306" s="1704">
        <f>职业列表!A56</f>
        <v>54</v>
      </c>
      <c r="C306" s="1704" t="str">
        <f>职业列表!B56</f>
        <v>农民</v>
      </c>
      <c r="D306" s="2017">
        <f>职业列表!D56</f>
        <v>9</v>
      </c>
      <c r="E306" s="2020">
        <f>职业列表!E56</f>
        <v>30</v>
      </c>
      <c r="F306" s="2020">
        <f>IF(F251=1,IF(E244&gt;=D306,1,0),IF(E244&lt;=D306,1,0))</f>
        <v>0</v>
      </c>
      <c r="G306" s="2020">
        <f>IF(G251=1,IF(C244&gt;=E306,1,0),IF(C244&lt;=E306,1,0))</f>
        <v>0</v>
      </c>
      <c r="H306" s="1723" t="str">
        <f t="shared" si="8"/>
        <v/>
      </c>
      <c r="I306" s="1704" t="str">
        <f t="shared" si="9"/>
        <v/>
      </c>
      <c r="J306" s="1792" t="str">
        <f t="shared" si="10"/>
        <v/>
      </c>
      <c r="K306" s="1723" t="str">
        <f>职业列表!F56</f>
        <v>教育×2＋力量或敏捷×2</v>
      </c>
      <c r="L306" s="1792" t="str">
        <f>IF(ISNUMBER(FIND(B241,K306)),B306&amp;C306&amp;"、","")</f>
        <v>54农民、</v>
      </c>
      <c r="M306" s="2042" t="str">
        <f>职业列表!H56</f>
        <v>技艺（耕作），汽车驾驶（或运货马车），一项社交技能（取悦、话术、恐吓、说服），机械维修，自然，操作重型机械，追踪，任意一项其他个人或时代特长</v>
      </c>
      <c r="N306" s="1188" t="str">
        <f>IF(ISNUMBER(FIND(B239,M306)),B306&amp;C306&amp;"、","")</f>
        <v/>
      </c>
      <c r="O306" s="1704">
        <f t="shared" si="11"/>
        <v>16</v>
      </c>
      <c r="P306" s="1704">
        <f t="shared" si="12"/>
        <v>0</v>
      </c>
      <c r="Q306" s="1704">
        <f t="shared" si="13"/>
        <v>0</v>
      </c>
      <c r="R306" s="1704">
        <f t="shared" si="14"/>
        <v>0</v>
      </c>
      <c r="S306" s="1167">
        <f t="shared" si="15"/>
        <v>16</v>
      </c>
      <c r="Y306" s="1979" t="s">
        <v>3322</v>
      </c>
    </row>
    <row r="307" ht="18" customHeight="1" spans="2:25">
      <c r="B307" s="1704">
        <f>职业列表!A57</f>
        <v>55</v>
      </c>
      <c r="C307" s="1704" t="str">
        <f>职业列表!B57</f>
        <v>联邦探员</v>
      </c>
      <c r="D307" s="2017">
        <f>职业列表!D57</f>
        <v>20</v>
      </c>
      <c r="E307" s="2020">
        <f>职业列表!E57</f>
        <v>40</v>
      </c>
      <c r="F307" s="2020">
        <f>IF(F251=1,IF(E244&gt;=D307,1,0),IF(E244&lt;=D307,1,0))</f>
        <v>0</v>
      </c>
      <c r="G307" s="2020">
        <f>IF(G251=1,IF(C244&gt;=E307,1,0),IF(C244&lt;=E307,1,0))</f>
        <v>0</v>
      </c>
      <c r="H307" s="1723" t="str">
        <f t="shared" si="8"/>
        <v/>
      </c>
      <c r="I307" s="1704" t="str">
        <f t="shared" si="9"/>
        <v/>
      </c>
      <c r="J307" s="1792" t="str">
        <f t="shared" si="10"/>
        <v/>
      </c>
      <c r="K307" s="1723" t="str">
        <f>职业列表!F57</f>
        <v>教育×4</v>
      </c>
      <c r="L307" s="1792" t="str">
        <f>IF(ISNUMBER(FIND(B241,K307)),B307&amp;C307&amp;"、","")</f>
        <v/>
      </c>
      <c r="M307" s="2042" t="str">
        <f>职业列表!H57</f>
        <v>汽车驾驶，格斗（斗殴），射击，法律，说服，潜行，侦查，任意一项其他个人或时代特长。</v>
      </c>
      <c r="N307" s="1188" t="str">
        <f>IF(ISNUMBER(FIND(B239,M307)),B307&amp;C307&amp;"、","")</f>
        <v/>
      </c>
      <c r="O307" s="1704">
        <f t="shared" si="11"/>
        <v>0</v>
      </c>
      <c r="P307" s="1704">
        <f t="shared" si="12"/>
        <v>0</v>
      </c>
      <c r="Q307" s="1704">
        <f t="shared" si="13"/>
        <v>0</v>
      </c>
      <c r="R307" s="1704">
        <f t="shared" si="14"/>
        <v>0</v>
      </c>
      <c r="S307" s="1167">
        <f t="shared" si="15"/>
        <v>0</v>
      </c>
      <c r="Y307" s="1979" t="s">
        <v>3323</v>
      </c>
    </row>
    <row r="308" ht="18" customHeight="1" spans="2:25">
      <c r="B308" s="1704">
        <f>职业列表!A58</f>
        <v>56</v>
      </c>
      <c r="C308" s="1704" t="str">
        <f>职业列表!B58</f>
        <v>消防员</v>
      </c>
      <c r="D308" s="2017">
        <f>职业列表!D58</f>
        <v>9</v>
      </c>
      <c r="E308" s="2020">
        <f>职业列表!E58</f>
        <v>30</v>
      </c>
      <c r="F308" s="2020">
        <f>IF(F251=1,IF(E244&gt;=D308,1,0),IF(E244&lt;=D308,1,0))</f>
        <v>0</v>
      </c>
      <c r="G308" s="2020">
        <f>IF(G251=1,IF(C244&gt;=E308,1,0),IF(C244&lt;=E308,1,0))</f>
        <v>0</v>
      </c>
      <c r="H308" s="1723" t="str">
        <f t="shared" si="8"/>
        <v/>
      </c>
      <c r="I308" s="1704" t="str">
        <f t="shared" si="9"/>
        <v/>
      </c>
      <c r="J308" s="1792" t="str">
        <f t="shared" si="10"/>
        <v/>
      </c>
      <c r="K308" s="1723" t="str">
        <f>职业列表!F58</f>
        <v>教育×2＋力量或敏捷×2</v>
      </c>
      <c r="L308" s="1792" t="str">
        <f>IF(ISNUMBER(FIND(B241,K308)),B308&amp;C308&amp;"、","")</f>
        <v>56消防员、</v>
      </c>
      <c r="M308" s="2042" t="str">
        <f>职业列表!H58</f>
        <v>攀爬，闪避，汽车驾驶，急救，跳跃，机械维修，操作重型机械，投掷。</v>
      </c>
      <c r="N308" s="1188" t="str">
        <f>IF(ISNUMBER(FIND(B239,M308)),B308&amp;C308&amp;"、","")</f>
        <v/>
      </c>
      <c r="O308" s="1704">
        <f t="shared" si="11"/>
        <v>16</v>
      </c>
      <c r="P308" s="1704">
        <f t="shared" si="12"/>
        <v>0</v>
      </c>
      <c r="Q308" s="1704">
        <f t="shared" si="13"/>
        <v>0</v>
      </c>
      <c r="R308" s="1704">
        <f t="shared" si="14"/>
        <v>0</v>
      </c>
      <c r="S308" s="1167">
        <f t="shared" si="15"/>
        <v>16</v>
      </c>
      <c r="Y308" s="1979" t="s">
        <v>3324</v>
      </c>
    </row>
    <row r="309" ht="18" customHeight="1" spans="2:25">
      <c r="B309" s="1704">
        <f>职业列表!A59</f>
        <v>57</v>
      </c>
      <c r="C309" s="1704" t="str">
        <f>职业列表!B59</f>
        <v>驻外记者</v>
      </c>
      <c r="D309" s="2017">
        <f>职业列表!D59</f>
        <v>10</v>
      </c>
      <c r="E309" s="2020">
        <f>职业列表!E59</f>
        <v>40</v>
      </c>
      <c r="F309" s="2020">
        <f>IF(F251=1,IF(E244&gt;=D309,1,0),IF(E244&lt;=D309,1,0))</f>
        <v>0</v>
      </c>
      <c r="G309" s="2020">
        <f>IF(G251=1,IF(C244&gt;=E309,1,0),IF(C244&lt;=E309,1,0))</f>
        <v>0</v>
      </c>
      <c r="H309" s="1723" t="str">
        <f t="shared" si="8"/>
        <v/>
      </c>
      <c r="I309" s="1704" t="str">
        <f t="shared" si="9"/>
        <v/>
      </c>
      <c r="J309" s="1792" t="str">
        <f t="shared" si="10"/>
        <v/>
      </c>
      <c r="K309" s="1723" t="str">
        <f>职业列表!F59</f>
        <v>教育×4</v>
      </c>
      <c r="L309" s="1792" t="str">
        <f>IF(ISNUMBER(FIND(B241,K309)),B309&amp;C309&amp;"、","")</f>
        <v/>
      </c>
      <c r="M309" s="2042" t="str">
        <f>职业列表!H59</f>
        <v>历史，外语，母语，聆听，两项社交技能（取悦、话术、恐吓、说服），心理学，任意一项其他个人或时代特长。</v>
      </c>
      <c r="N309" s="1188" t="str">
        <f>IF(ISNUMBER(FIND(B239,M309)),B309&amp;C309&amp;"、","")</f>
        <v/>
      </c>
      <c r="O309" s="1704">
        <f t="shared" si="11"/>
        <v>0</v>
      </c>
      <c r="P309" s="1704">
        <f t="shared" si="12"/>
        <v>0</v>
      </c>
      <c r="Q309" s="1704">
        <f t="shared" si="13"/>
        <v>0</v>
      </c>
      <c r="R309" s="1704">
        <f t="shared" si="14"/>
        <v>0</v>
      </c>
      <c r="S309" s="1167">
        <f t="shared" si="15"/>
        <v>0</v>
      </c>
      <c r="Y309" s="1979" t="s">
        <v>237</v>
      </c>
    </row>
    <row r="310" ht="18" customHeight="1" spans="2:25">
      <c r="B310" s="1704">
        <f>职业列表!A60</f>
        <v>58</v>
      </c>
      <c r="C310" s="1704" t="str">
        <f>职业列表!B60</f>
        <v>法医</v>
      </c>
      <c r="D310" s="2017">
        <f>职业列表!D60</f>
        <v>40</v>
      </c>
      <c r="E310" s="2020">
        <f>职业列表!E60</f>
        <v>60</v>
      </c>
      <c r="F310" s="2020">
        <f>IF(F251=1,IF(E244&gt;=D310,1,0),IF(E244&lt;=D310,1,0))</f>
        <v>0</v>
      </c>
      <c r="G310" s="2020">
        <f>IF(G251=1,IF(C244&gt;=E310,1,0),IF(C244&lt;=E310,1,0))</f>
        <v>0</v>
      </c>
      <c r="H310" s="1723" t="str">
        <f t="shared" si="8"/>
        <v/>
      </c>
      <c r="I310" s="1704" t="str">
        <f t="shared" si="9"/>
        <v/>
      </c>
      <c r="J310" s="1792" t="str">
        <f t="shared" si="10"/>
        <v/>
      </c>
      <c r="K310" s="1723" t="str">
        <f>职业列表!F60</f>
        <v>教育×4</v>
      </c>
      <c r="L310" s="1792" t="str">
        <f>IF(ISNUMBER(FIND(B241,K310)),B310&amp;C310&amp;"、","")</f>
        <v/>
      </c>
      <c r="M310" s="2042" t="str">
        <f>职业列表!H60</f>
        <v>外语（拉丁文），图书馆，医学，说服，科学（生物学，鉴证，制药），侦查。</v>
      </c>
      <c r="N310" s="1188" t="str">
        <f>IF(ISNUMBER(FIND(B239,M310)),B310&amp;C310&amp;"、","")</f>
        <v/>
      </c>
      <c r="O310" s="1704">
        <f t="shared" si="11"/>
        <v>0</v>
      </c>
      <c r="P310" s="1704">
        <f t="shared" si="12"/>
        <v>0</v>
      </c>
      <c r="Q310" s="1704">
        <f t="shared" si="13"/>
        <v>0</v>
      </c>
      <c r="R310" s="1704">
        <f t="shared" si="14"/>
        <v>0</v>
      </c>
      <c r="S310" s="1167">
        <f t="shared" si="15"/>
        <v>0</v>
      </c>
      <c r="Y310" s="1979" t="s">
        <v>3325</v>
      </c>
    </row>
    <row r="311" ht="18" customHeight="1" spans="2:25">
      <c r="B311" s="1704">
        <f>职业列表!A61</f>
        <v>59</v>
      </c>
      <c r="C311" s="1704" t="str">
        <f>职业列表!B61</f>
        <v>赌徒</v>
      </c>
      <c r="D311" s="2017">
        <f>职业列表!D61</f>
        <v>8</v>
      </c>
      <c r="E311" s="2020">
        <f>职业列表!E61</f>
        <v>50</v>
      </c>
      <c r="F311" s="2020">
        <f>IF(F251=1,IF(E244&gt;=D311,1,0),IF(E244&lt;=D311,1,0))</f>
        <v>0</v>
      </c>
      <c r="G311" s="2020">
        <f>IF(G251=1,IF(C244&gt;=E311,1,0),IF(C244&lt;=E311,1,0))</f>
        <v>0</v>
      </c>
      <c r="H311" s="1723" t="str">
        <f t="shared" si="8"/>
        <v/>
      </c>
      <c r="I311" s="1704" t="str">
        <f t="shared" si="9"/>
        <v/>
      </c>
      <c r="J311" s="1792" t="str">
        <f t="shared" si="10"/>
        <v/>
      </c>
      <c r="K311" s="1723" t="str">
        <f>职业列表!F61</f>
        <v>教育×2＋外貌或敏捷×2</v>
      </c>
      <c r="L311" s="1792" t="str">
        <f>IF(ISNUMBER(FIND(B241,K311)),B311&amp;C311&amp;"、","")</f>
        <v/>
      </c>
      <c r="M311" s="2042" t="str">
        <f>职业列表!H61</f>
        <v>会计，技艺（表演），两项社交技能（取悦、话术、恐吓、说服），聆听，心理学，妙手，侦查。</v>
      </c>
      <c r="N311" s="1188" t="str">
        <f>IF(ISNUMBER(FIND(B239,M311)),B311&amp;C311&amp;"、","")</f>
        <v/>
      </c>
      <c r="O311" s="1704">
        <f t="shared" si="11"/>
        <v>0</v>
      </c>
      <c r="P311" s="1704">
        <f t="shared" si="12"/>
        <v>0</v>
      </c>
      <c r="Q311" s="1704">
        <f t="shared" si="13"/>
        <v>0</v>
      </c>
      <c r="R311" s="1704">
        <f t="shared" si="14"/>
        <v>0</v>
      </c>
      <c r="S311" s="1167">
        <f t="shared" si="15"/>
        <v>0</v>
      </c>
      <c r="Y311" s="1979" t="s">
        <v>3326</v>
      </c>
    </row>
    <row r="312" ht="18" customHeight="1" spans="2:25">
      <c r="B312" s="1704">
        <f>职业列表!A62</f>
        <v>60</v>
      </c>
      <c r="C312" s="1704" t="str">
        <f>职业列表!B62</f>
        <v>黑帮-黑帮老大</v>
      </c>
      <c r="D312" s="2017">
        <f>职业列表!D62</f>
        <v>60</v>
      </c>
      <c r="E312" s="2020">
        <f>职业列表!E62</f>
        <v>95</v>
      </c>
      <c r="F312" s="2020">
        <f>IF(F251=1,IF(E244&gt;=D312,1,0),IF(E244&lt;=D312,1,0))</f>
        <v>1</v>
      </c>
      <c r="G312" s="2020">
        <f>IF(G251=1,IF(C244&gt;=E312,1,0),IF(C244&lt;=E312,1,0))</f>
        <v>1</v>
      </c>
      <c r="H312" s="1723" t="str">
        <f t="shared" si="8"/>
        <v>60黑帮-黑帮老大、</v>
      </c>
      <c r="I312" s="1704" t="str">
        <f t="shared" si="9"/>
        <v>60黑帮-黑帮老大、</v>
      </c>
      <c r="J312" s="1792" t="str">
        <f t="shared" si="10"/>
        <v>60黑帮-黑帮老大</v>
      </c>
      <c r="K312" s="1723" t="str">
        <f>职业列表!F62</f>
        <v>教育×2＋外貌×2</v>
      </c>
      <c r="L312" s="1792" t="str">
        <f>IF(ISNUMBER(FIND(B241,K312)),B312&amp;C312&amp;"、","")</f>
        <v/>
      </c>
      <c r="M312" s="2042" t="str">
        <f>职业列表!H62</f>
        <v>格斗，射击，法律，聆听，两项社交技能（取悦、话术、恐吓、说服），心理学，侦查。</v>
      </c>
      <c r="N312" s="1188" t="str">
        <f>IF(ISNUMBER(FIND(B239,M312)),B312&amp;C312&amp;"、","")</f>
        <v/>
      </c>
      <c r="O312" s="1704">
        <f t="shared" si="11"/>
        <v>0</v>
      </c>
      <c r="P312" s="1704">
        <f t="shared" si="12"/>
        <v>0</v>
      </c>
      <c r="Q312" s="1704">
        <f t="shared" si="13"/>
        <v>49</v>
      </c>
      <c r="R312" s="1704">
        <f t="shared" si="14"/>
        <v>69</v>
      </c>
      <c r="S312" s="1167">
        <f t="shared" si="15"/>
        <v>118</v>
      </c>
      <c r="Y312" s="1979" t="s">
        <v>237</v>
      </c>
    </row>
    <row r="313" ht="18" customHeight="1" spans="2:25">
      <c r="B313" s="1704">
        <f>职业列表!A63</f>
        <v>61</v>
      </c>
      <c r="C313" s="1704" t="str">
        <f>职业列表!B63</f>
        <v>黑帮-马仔</v>
      </c>
      <c r="D313" s="2017">
        <f>职业列表!D63</f>
        <v>9</v>
      </c>
      <c r="E313" s="2020">
        <f>职业列表!E63</f>
        <v>20</v>
      </c>
      <c r="F313" s="2020">
        <f>IF(F251=1,IF(E244&gt;=D313,1,0),IF(E244&lt;=D313,1,0))</f>
        <v>0</v>
      </c>
      <c r="G313" s="2020">
        <f>IF(G251=1,IF(C244&gt;=E313,1,0),IF(C244&lt;=E313,1,0))</f>
        <v>0</v>
      </c>
      <c r="H313" s="1723" t="str">
        <f t="shared" si="8"/>
        <v/>
      </c>
      <c r="I313" s="1704" t="str">
        <f t="shared" si="9"/>
        <v/>
      </c>
      <c r="J313" s="1792" t="str">
        <f t="shared" si="10"/>
        <v/>
      </c>
      <c r="K313" s="1723" t="str">
        <f>职业列表!F63</f>
        <v>教育×2＋力量或敏捷×2</v>
      </c>
      <c r="L313" s="1792" t="str">
        <f>IF(ISNUMBER(FIND(B241,K313)),B313&amp;C313&amp;"、","")</f>
        <v>61黑帮-马仔、</v>
      </c>
      <c r="M313" s="2042" t="str">
        <f>职业列表!H63</f>
        <v>汽车驾驶，格斗，射击，两项社交技能（取悦、话术、恐吓、说服），心理学，任意两项其他个人或时代特长。</v>
      </c>
      <c r="N313" s="1188" t="str">
        <f>IF(ISNUMBER(FIND(B239,M313)),B313&amp;C313&amp;"、","")</f>
        <v/>
      </c>
      <c r="O313" s="1704">
        <f t="shared" si="11"/>
        <v>16</v>
      </c>
      <c r="P313" s="1704">
        <f t="shared" si="12"/>
        <v>0</v>
      </c>
      <c r="Q313" s="1704">
        <f t="shared" si="13"/>
        <v>0</v>
      </c>
      <c r="R313" s="1704">
        <f t="shared" si="14"/>
        <v>0</v>
      </c>
      <c r="S313" s="1167">
        <f t="shared" si="15"/>
        <v>16</v>
      </c>
      <c r="Y313" s="1979" t="s">
        <v>3327</v>
      </c>
    </row>
    <row r="314" ht="18" customHeight="1" spans="2:25">
      <c r="B314" s="1704">
        <f>职业列表!A64</f>
        <v>62</v>
      </c>
      <c r="C314" s="1704" t="str">
        <f>职业列表!B64</f>
        <v>绅士/淑女</v>
      </c>
      <c r="D314" s="2017">
        <f>职业列表!D64</f>
        <v>40</v>
      </c>
      <c r="E314" s="2020">
        <f>职业列表!E64</f>
        <v>90</v>
      </c>
      <c r="F314" s="2020">
        <f>IF(F251=1,IF(E244&gt;=D314,1,0),IF(E244&lt;=D314,1,0))</f>
        <v>0</v>
      </c>
      <c r="G314" s="2020">
        <f>IF(G251=1,IF(C244&gt;=E314,1,0),IF(C244&lt;=E314,1,0))</f>
        <v>1</v>
      </c>
      <c r="H314" s="1723" t="str">
        <f t="shared" si="8"/>
        <v/>
      </c>
      <c r="I314" s="1704" t="str">
        <f t="shared" si="9"/>
        <v>62绅士/淑女、</v>
      </c>
      <c r="J314" s="1792" t="str">
        <f t="shared" si="10"/>
        <v/>
      </c>
      <c r="K314" s="1723" t="str">
        <f>职业列表!F64</f>
        <v>教育×2＋外貌×2</v>
      </c>
      <c r="L314" s="1792" t="str">
        <f>IF(ISNUMBER(FIND(B241,K314)),B314&amp;C314&amp;"、","")</f>
        <v/>
      </c>
      <c r="M314" s="2042" t="str">
        <f>职业列表!H64</f>
        <v>技艺（任一），两项社交技能（取悦、话术、恐吓、说服），射击（步枪/霰弹枪），历史，外语（任一），导航，骑乘。</v>
      </c>
      <c r="N314" s="1188" t="str">
        <f>IF(ISNUMBER(FIND(B239,M314)),B314&amp;C314&amp;"、","")</f>
        <v/>
      </c>
      <c r="O314" s="1704">
        <f t="shared" si="11"/>
        <v>0</v>
      </c>
      <c r="P314" s="1704">
        <f t="shared" si="12"/>
        <v>0</v>
      </c>
      <c r="Q314" s="1704">
        <f t="shared" si="13"/>
        <v>0</v>
      </c>
      <c r="R314" s="1704">
        <f t="shared" si="14"/>
        <v>69</v>
      </c>
      <c r="S314" s="1167">
        <f t="shared" si="15"/>
        <v>69</v>
      </c>
      <c r="Y314" s="1979" t="s">
        <v>3328</v>
      </c>
    </row>
    <row r="315" ht="18" customHeight="1" spans="2:25">
      <c r="B315" s="1704">
        <f>职业列表!A65</f>
        <v>63</v>
      </c>
      <c r="C315" s="1704" t="str">
        <f>职业列表!B65</f>
        <v>游民</v>
      </c>
      <c r="D315" s="2017">
        <f>职业列表!D65</f>
        <v>0</v>
      </c>
      <c r="E315" s="2020">
        <f>职业列表!E65</f>
        <v>5</v>
      </c>
      <c r="F315" s="2020">
        <f>IF(F251=1,IF(E244&gt;=D315,1,0),IF(E244&lt;=D315,1,0))</f>
        <v>0</v>
      </c>
      <c r="G315" s="2020">
        <f>IF(G251=1,IF(C244&gt;=E315,1,0),IF(C244&lt;=E315,1,0))</f>
        <v>0</v>
      </c>
      <c r="H315" s="1723" t="str">
        <f t="shared" si="8"/>
        <v/>
      </c>
      <c r="I315" s="1704" t="str">
        <f t="shared" si="9"/>
        <v/>
      </c>
      <c r="J315" s="1792" t="str">
        <f t="shared" si="10"/>
        <v/>
      </c>
      <c r="K315" s="1723" t="str">
        <f>职业列表!F65</f>
        <v>教育×2＋外貌或敏捷×2</v>
      </c>
      <c r="L315" s="1792" t="str">
        <f>IF(ISNUMBER(FIND(B241,K315)),B315&amp;C315&amp;"、","")</f>
        <v/>
      </c>
      <c r="M315" s="2042" t="str">
        <f>职业列表!H65</f>
        <v>技艺（任一），攀爬，跳跃，聆听，锁匠或妙手，导航，潜行，任意一项其他个人或时代特长。</v>
      </c>
      <c r="N315" s="1188" t="str">
        <f>IF(ISNUMBER(FIND(B239,M315)),B315&amp;C315&amp;"、","")</f>
        <v/>
      </c>
      <c r="O315" s="1704">
        <f t="shared" si="11"/>
        <v>0</v>
      </c>
      <c r="P315" s="1704">
        <f t="shared" si="12"/>
        <v>0</v>
      </c>
      <c r="Q315" s="1704">
        <f t="shared" si="13"/>
        <v>0</v>
      </c>
      <c r="R315" s="1704">
        <f t="shared" si="14"/>
        <v>0</v>
      </c>
      <c r="S315" s="1167">
        <f t="shared" si="15"/>
        <v>0</v>
      </c>
      <c r="Y315" s="1979" t="s">
        <v>3329</v>
      </c>
    </row>
    <row r="316" ht="18" customHeight="1" spans="2:25">
      <c r="B316" s="1704">
        <f>职业列表!A66</f>
        <v>64</v>
      </c>
      <c r="C316" s="1704" t="str">
        <f>职业列表!B66</f>
        <v>勤杂护工</v>
      </c>
      <c r="D316" s="2017">
        <f>职业列表!D66</f>
        <v>6</v>
      </c>
      <c r="E316" s="2020">
        <f>职业列表!E66</f>
        <v>15</v>
      </c>
      <c r="F316" s="2020">
        <f>IF(F251=1,IF(E244&gt;=D316,1,0),IF(E244&lt;=D316,1,0))</f>
        <v>0</v>
      </c>
      <c r="G316" s="2020">
        <f>IF(G251=1,IF(C244&gt;=E316,1,0),IF(C244&lt;=E316,1,0))</f>
        <v>0</v>
      </c>
      <c r="H316" s="1723" t="str">
        <f t="shared" si="8"/>
        <v/>
      </c>
      <c r="I316" s="1704" t="str">
        <f t="shared" si="9"/>
        <v/>
      </c>
      <c r="J316" s="1792" t="str">
        <f t="shared" si="10"/>
        <v/>
      </c>
      <c r="K316" s="1723" t="str">
        <f>职业列表!F66</f>
        <v>教育×2＋力量×2</v>
      </c>
      <c r="L316" s="1792" t="str">
        <f>IF(ISNUMBER(FIND(B241,K316)),B316&amp;C316&amp;"、","")</f>
        <v>64勤杂护工、</v>
      </c>
      <c r="M316" s="2042" t="str">
        <f>职业列表!H66</f>
        <v>电气维修，一项社交技能（取悦、话术、恐吓、说服），格斗（斗殴），急救，聆听，机械维修，心理学，潜行。</v>
      </c>
      <c r="N316" s="1188" t="str">
        <f>IF(ISNUMBER(FIND(B239,M316)),B316&amp;C316&amp;"、","")</f>
        <v/>
      </c>
      <c r="O316" s="1704">
        <f t="shared" si="11"/>
        <v>16</v>
      </c>
      <c r="P316" s="1704">
        <f t="shared" si="12"/>
        <v>0</v>
      </c>
      <c r="Q316" s="1704">
        <f t="shared" si="13"/>
        <v>0</v>
      </c>
      <c r="R316" s="1704">
        <f t="shared" si="14"/>
        <v>0</v>
      </c>
      <c r="S316" s="1167">
        <f t="shared" si="15"/>
        <v>16</v>
      </c>
      <c r="Y316" s="1979" t="s">
        <v>3330</v>
      </c>
    </row>
    <row r="317" ht="18" customHeight="1" spans="2:25">
      <c r="B317" s="1704">
        <f>职业列表!A67</f>
        <v>65</v>
      </c>
      <c r="C317" s="1704" t="str">
        <f>职业列表!B67</f>
        <v>记者(原作向)-调查记者</v>
      </c>
      <c r="D317" s="2017">
        <f>职业列表!D67</f>
        <v>9</v>
      </c>
      <c r="E317" s="2020">
        <f>职业列表!E67</f>
        <v>30</v>
      </c>
      <c r="F317" s="2020">
        <f>IF(F251=1,IF(E244&gt;=D317,1,0),IF(E244&lt;=D317,1,0))</f>
        <v>0</v>
      </c>
      <c r="G317" s="2020">
        <f>IF(G251=1,IF(C244&gt;=E317,1,0),IF(C244&lt;=E317,1,0))</f>
        <v>0</v>
      </c>
      <c r="H317" s="1723" t="str">
        <f t="shared" ref="H317:H380" si="25">IF(F317=1,B317&amp;C317&amp;"、","")</f>
        <v/>
      </c>
      <c r="I317" s="1704" t="str">
        <f t="shared" ref="I317:I380" si="26">IF(G317=1,B317&amp;C317&amp;"、","")</f>
        <v/>
      </c>
      <c r="J317" s="1792" t="str">
        <f t="shared" ref="J317:J380" si="27">IF(F317+G317=2,B317&amp;C317,"")</f>
        <v/>
      </c>
      <c r="K317" s="1723" t="str">
        <f>职业列表!F67</f>
        <v>教育×4</v>
      </c>
      <c r="L317" s="1792" t="str">
        <f>IF(ISNUMBER(FIND(B241,K317)),B317&amp;C317&amp;"、","")</f>
        <v/>
      </c>
      <c r="M317" s="2042" t="str">
        <f>职业列表!H67</f>
        <v>技艺（艺术或摄影），一项社交技能（取悦、话术、恐吓、说服），历史，图书馆，母语，心理学，任意两项其他个人或时代特长。</v>
      </c>
      <c r="N317" s="1188" t="str">
        <f>IF(ISNUMBER(FIND(B239,M317)),B317&amp;C317&amp;"、","")</f>
        <v/>
      </c>
      <c r="O317" s="1704">
        <f t="shared" ref="O317:O380" si="28">IF(L317="",0,16)</f>
        <v>0</v>
      </c>
      <c r="P317" s="1704">
        <f t="shared" ref="P317:P380" si="29">IF(N317="",0,37)</f>
        <v>0</v>
      </c>
      <c r="Q317" s="1704">
        <f t="shared" ref="Q317:Q380" si="30">IF(F317=1,49,0)</f>
        <v>0</v>
      </c>
      <c r="R317" s="1704">
        <f t="shared" ref="R317:R380" si="31">IF(G317=1,69,0)</f>
        <v>0</v>
      </c>
      <c r="S317" s="1167">
        <f t="shared" ref="S317:S380" si="32">SUM(O317:R317)</f>
        <v>0</v>
      </c>
      <c r="Y317" s="1979" t="s">
        <v>3331</v>
      </c>
    </row>
    <row r="318" ht="18" customHeight="1" spans="2:25">
      <c r="B318" s="1704">
        <f>职业列表!A68</f>
        <v>66</v>
      </c>
      <c r="C318" s="1704" t="str">
        <f>职业列表!B68</f>
        <v>记者(原作向)-通讯记者</v>
      </c>
      <c r="D318" s="2017">
        <f>职业列表!D68</f>
        <v>9</v>
      </c>
      <c r="E318" s="2020">
        <f>职业列表!E68</f>
        <v>30</v>
      </c>
      <c r="F318" s="2020">
        <f>IF(F251=1,IF(E244&gt;=D318,1,0),IF(E244&lt;=D318,1,0))</f>
        <v>0</v>
      </c>
      <c r="G318" s="2020">
        <f>IF(G251=1,IF(C244&gt;=E318,1,0),IF(C244&lt;=E318,1,0))</f>
        <v>0</v>
      </c>
      <c r="H318" s="1723" t="str">
        <f t="shared" si="25"/>
        <v/>
      </c>
      <c r="I318" s="1704" t="str">
        <f t="shared" si="26"/>
        <v/>
      </c>
      <c r="J318" s="1792" t="str">
        <f t="shared" si="27"/>
        <v/>
      </c>
      <c r="K318" s="1723" t="str">
        <f>职业列表!F68</f>
        <v>教育×4</v>
      </c>
      <c r="L318" s="1792" t="str">
        <f>IF(ISNUMBER(FIND(B241,K318)),B318&amp;C318&amp;"、","")</f>
        <v/>
      </c>
      <c r="M318" s="2042" t="str">
        <f>职业列表!H68</f>
        <v>技艺（表演），历史，聆听，母语，一项社交技能（取悦、话术、恐吓、说服），心理学，潜行，侦查。</v>
      </c>
      <c r="N318" s="1188" t="str">
        <f>IF(ISNUMBER(FIND(B239,M318)),B318&amp;C318&amp;"、","")</f>
        <v/>
      </c>
      <c r="O318" s="1704">
        <f t="shared" si="28"/>
        <v>0</v>
      </c>
      <c r="P318" s="1704">
        <f t="shared" si="29"/>
        <v>0</v>
      </c>
      <c r="Q318" s="1704">
        <f t="shared" si="30"/>
        <v>0</v>
      </c>
      <c r="R318" s="1704">
        <f t="shared" si="31"/>
        <v>0</v>
      </c>
      <c r="S318" s="1167">
        <f t="shared" si="32"/>
        <v>0</v>
      </c>
      <c r="Y318" s="1979" t="s">
        <v>3332</v>
      </c>
    </row>
    <row r="319" ht="18" customHeight="1" spans="2:25">
      <c r="B319" s="1704">
        <f>职业列表!A69</f>
        <v>67</v>
      </c>
      <c r="C319" s="1704" t="str">
        <f>职业列表!B69</f>
        <v>法官</v>
      </c>
      <c r="D319" s="2017">
        <f>职业列表!D69</f>
        <v>50</v>
      </c>
      <c r="E319" s="2020">
        <f>职业列表!E69</f>
        <v>80</v>
      </c>
      <c r="F319" s="2020">
        <f>IF(F251=1,IF(E244&gt;=D319,1,0),IF(E244&lt;=D319,1,0))</f>
        <v>1</v>
      </c>
      <c r="G319" s="2020">
        <f>IF(G251=1,IF(C244&gt;=E319,1,0),IF(C244&lt;=E319,1,0))</f>
        <v>0</v>
      </c>
      <c r="H319" s="1723" t="str">
        <f t="shared" si="25"/>
        <v>67法官、</v>
      </c>
      <c r="I319" s="1704" t="str">
        <f t="shared" si="26"/>
        <v/>
      </c>
      <c r="J319" s="1792" t="str">
        <f t="shared" si="27"/>
        <v/>
      </c>
      <c r="K319" s="1723" t="str">
        <f>职业列表!F69</f>
        <v>教育×4</v>
      </c>
      <c r="L319" s="1792" t="str">
        <f>IF(ISNUMBER(FIND(B241,K319)),B319&amp;C319&amp;"、","")</f>
        <v/>
      </c>
      <c r="M319" s="2042" t="str">
        <f>职业列表!H69</f>
        <v>历史，恐吓，法律，图书馆，聆听，母语，说服，心理学。</v>
      </c>
      <c r="N319" s="1188" t="str">
        <f>IF(ISNUMBER(FIND(B239,M319)),B319&amp;C319&amp;"、","")</f>
        <v/>
      </c>
      <c r="O319" s="1704">
        <f t="shared" si="28"/>
        <v>0</v>
      </c>
      <c r="P319" s="1704">
        <f t="shared" si="29"/>
        <v>0</v>
      </c>
      <c r="Q319" s="1704">
        <f t="shared" si="30"/>
        <v>49</v>
      </c>
      <c r="R319" s="1704">
        <f t="shared" si="31"/>
        <v>0</v>
      </c>
      <c r="S319" s="1167">
        <f t="shared" si="32"/>
        <v>49</v>
      </c>
      <c r="Y319" s="1979" t="s">
        <v>3333</v>
      </c>
    </row>
    <row r="320" ht="18" customHeight="1" spans="2:25">
      <c r="B320" s="1704">
        <f>职业列表!A70</f>
        <v>68</v>
      </c>
      <c r="C320" s="1704" t="str">
        <f>职业列表!B70</f>
        <v>实验室助理</v>
      </c>
      <c r="D320" s="2017">
        <f>职业列表!D70</f>
        <v>10</v>
      </c>
      <c r="E320" s="2020">
        <f>职业列表!E70</f>
        <v>30</v>
      </c>
      <c r="F320" s="2020">
        <f>IF(F251=1,IF(E244&gt;=D320,1,0),IF(E244&lt;=D320,1,0))</f>
        <v>0</v>
      </c>
      <c r="G320" s="2020">
        <f>IF(G251=1,IF(C244&gt;=E320,1,0),IF(C244&lt;=E320,1,0))</f>
        <v>0</v>
      </c>
      <c r="H320" s="1723" t="str">
        <f t="shared" si="25"/>
        <v/>
      </c>
      <c r="I320" s="1704" t="str">
        <f t="shared" si="26"/>
        <v/>
      </c>
      <c r="J320" s="1792" t="str">
        <f t="shared" si="27"/>
        <v/>
      </c>
      <c r="K320" s="1723" t="str">
        <f>职业列表!F70</f>
        <v>教育×4</v>
      </c>
      <c r="L320" s="1792" t="str">
        <f>IF(ISNUMBER(FIND(B241,K320)),B320&amp;C320&amp;"、","")</f>
        <v/>
      </c>
      <c r="M320" s="2042" t="str">
        <f>职业列表!H70</f>
        <v>计算机或图书馆，电气维修，外语，科学（化学和任意两项），侦查，任意一项其他个人特长。</v>
      </c>
      <c r="N320" s="1188" t="str">
        <f>IF(ISNUMBER(FIND(B239,M320)),B320&amp;C320&amp;"、","")</f>
        <v/>
      </c>
      <c r="O320" s="1704">
        <f t="shared" si="28"/>
        <v>0</v>
      </c>
      <c r="P320" s="1704">
        <f t="shared" si="29"/>
        <v>0</v>
      </c>
      <c r="Q320" s="1704">
        <f t="shared" si="30"/>
        <v>0</v>
      </c>
      <c r="R320" s="1704">
        <f t="shared" si="31"/>
        <v>0</v>
      </c>
      <c r="S320" s="1167">
        <f t="shared" si="32"/>
        <v>0</v>
      </c>
      <c r="Y320" s="1979" t="s">
        <v>3334</v>
      </c>
    </row>
    <row r="321" ht="18" customHeight="1" spans="2:25">
      <c r="B321" s="1704">
        <f>职业列表!A71</f>
        <v>69</v>
      </c>
      <c r="C321" s="1704" t="str">
        <f>职业列表!B71</f>
        <v>工人-非熟练工人</v>
      </c>
      <c r="D321" s="2017">
        <f>职业列表!D71</f>
        <v>9</v>
      </c>
      <c r="E321" s="2020">
        <f>职业列表!E71</f>
        <v>30</v>
      </c>
      <c r="F321" s="2020">
        <f>IF(F251=1,IF(E244&gt;=D321,1,0),IF(E244&lt;=D321,1,0))</f>
        <v>0</v>
      </c>
      <c r="G321" s="2020">
        <f>IF(G251=1,IF(C244&gt;=E321,1,0),IF(C244&lt;=E321,1,0))</f>
        <v>0</v>
      </c>
      <c r="H321" s="1723" t="str">
        <f t="shared" si="25"/>
        <v/>
      </c>
      <c r="I321" s="1704" t="str">
        <f t="shared" si="26"/>
        <v/>
      </c>
      <c r="J321" s="1792" t="str">
        <f t="shared" si="27"/>
        <v/>
      </c>
      <c r="K321" s="1723" t="str">
        <f>职业列表!F71</f>
        <v>教育×2＋力量或敏捷×2</v>
      </c>
      <c r="L321" s="1792" t="str">
        <f>IF(ISNUMBER(FIND(B241,K321)),B321&amp;C321&amp;"、","")</f>
        <v>69工人-非熟练工人、</v>
      </c>
      <c r="M321" s="2042" t="str">
        <f>职业列表!H71</f>
        <v>汽车驾驶，电气维修，格斗，急救，机械维修，操作重型机械，投掷，任意一项其他个人或时代特长。</v>
      </c>
      <c r="N321" s="1188" t="str">
        <f>IF(ISNUMBER(FIND(B239,M321)),B321&amp;C321&amp;"、","")</f>
        <v/>
      </c>
      <c r="O321" s="1704">
        <f t="shared" si="28"/>
        <v>16</v>
      </c>
      <c r="P321" s="1704">
        <f t="shared" si="29"/>
        <v>0</v>
      </c>
      <c r="Q321" s="1704">
        <f t="shared" si="30"/>
        <v>0</v>
      </c>
      <c r="R321" s="1704">
        <f t="shared" si="31"/>
        <v>0</v>
      </c>
      <c r="S321" s="1167">
        <f t="shared" si="32"/>
        <v>16</v>
      </c>
      <c r="Y321" s="1979" t="s">
        <v>237</v>
      </c>
    </row>
    <row r="322" ht="18" customHeight="1" spans="2:25">
      <c r="B322" s="1704">
        <f>职业列表!A72</f>
        <v>70</v>
      </c>
      <c r="C322" s="1704" t="str">
        <f>职业列表!B72</f>
        <v>工人-伐木工</v>
      </c>
      <c r="D322" s="2017">
        <f>职业列表!D72</f>
        <v>9</v>
      </c>
      <c r="E322" s="2020">
        <f>职业列表!E72</f>
        <v>30</v>
      </c>
      <c r="F322" s="2020">
        <f>IF(F251=1,IF(E244&gt;=D322,1,0),IF(E244&lt;=D322,1,0))</f>
        <v>0</v>
      </c>
      <c r="G322" s="2020">
        <f>IF(G251=1,IF(C244&gt;=E322,1,0),IF(C244&lt;=E322,1,0))</f>
        <v>0</v>
      </c>
      <c r="H322" s="1723" t="str">
        <f t="shared" si="25"/>
        <v/>
      </c>
      <c r="I322" s="1704" t="str">
        <f t="shared" si="26"/>
        <v/>
      </c>
      <c r="J322" s="1792" t="str">
        <f t="shared" si="27"/>
        <v/>
      </c>
      <c r="K322" s="1723" t="str">
        <f>职业列表!F72</f>
        <v>教育×2＋力量或敏捷×2</v>
      </c>
      <c r="L322" s="1792" t="str">
        <f>IF(ISNUMBER(FIND(B241,K322)),B322&amp;C322&amp;"、","")</f>
        <v>70工人-伐木工、</v>
      </c>
      <c r="M322" s="2042" t="str">
        <f>职业列表!H72</f>
        <v>攀爬，闪避，格斗（电锯），急救，跳跃，机械维修，自然或科学（生物学或植物学），投掷。</v>
      </c>
      <c r="N322" s="1188" t="str">
        <f>IF(ISNUMBER(FIND(B239,M322)),B322&amp;C322&amp;"、","")</f>
        <v/>
      </c>
      <c r="O322" s="1704">
        <f t="shared" si="28"/>
        <v>16</v>
      </c>
      <c r="P322" s="1704">
        <f t="shared" si="29"/>
        <v>0</v>
      </c>
      <c r="Q322" s="1704">
        <f t="shared" si="30"/>
        <v>0</v>
      </c>
      <c r="R322" s="1704">
        <f t="shared" si="31"/>
        <v>0</v>
      </c>
      <c r="S322" s="1167">
        <f t="shared" si="32"/>
        <v>16</v>
      </c>
      <c r="Y322" s="1979" t="s">
        <v>3335</v>
      </c>
    </row>
    <row r="323" ht="18" customHeight="1" spans="2:25">
      <c r="B323" s="1704">
        <f>职业列表!A73</f>
        <v>71</v>
      </c>
      <c r="C323" s="1704" t="str">
        <f>职业列表!B73</f>
        <v>工人-矿工</v>
      </c>
      <c r="D323" s="2017">
        <f>职业列表!D73</f>
        <v>9</v>
      </c>
      <c r="E323" s="2020">
        <f>职业列表!E73</f>
        <v>30</v>
      </c>
      <c r="F323" s="2020">
        <f>IF(F251=1,IF(E244&gt;=D323,1,0),IF(E244&lt;=D323,1,0))</f>
        <v>0</v>
      </c>
      <c r="G323" s="2020">
        <f>IF(G251=1,IF(C244&gt;=E323,1,0),IF(C244&lt;=E323,1,0))</f>
        <v>0</v>
      </c>
      <c r="H323" s="1723" t="str">
        <f t="shared" si="25"/>
        <v/>
      </c>
      <c r="I323" s="1704" t="str">
        <f t="shared" si="26"/>
        <v/>
      </c>
      <c r="J323" s="1792" t="str">
        <f t="shared" si="27"/>
        <v/>
      </c>
      <c r="K323" s="1723" t="str">
        <f>职业列表!F73</f>
        <v>教育×2＋力量或敏捷×2</v>
      </c>
      <c r="L323" s="1792" t="str">
        <f>IF(ISNUMBER(FIND(B241,K323)),B323&amp;C323&amp;"、","")</f>
        <v>71工人-矿工、</v>
      </c>
      <c r="M323" s="2042" t="str">
        <f>职业列表!H73</f>
        <v>攀爬，科学（地质），跳跃，机械维修，操作重型机械，潜行，侦查，任意一项其他个人或时代特长。</v>
      </c>
      <c r="N323" s="1188" t="str">
        <f>IF(ISNUMBER(FIND(B239,M323)),B323&amp;C323&amp;"、","")</f>
        <v/>
      </c>
      <c r="O323" s="1704">
        <f t="shared" si="28"/>
        <v>16</v>
      </c>
      <c r="P323" s="1704">
        <f t="shared" si="29"/>
        <v>0</v>
      </c>
      <c r="Q323" s="1704">
        <f t="shared" si="30"/>
        <v>0</v>
      </c>
      <c r="R323" s="1704">
        <f t="shared" si="31"/>
        <v>0</v>
      </c>
      <c r="S323" s="1167">
        <f t="shared" si="32"/>
        <v>16</v>
      </c>
      <c r="Y323" s="1979" t="s">
        <v>3336</v>
      </c>
    </row>
    <row r="324" ht="16" spans="2:25">
      <c r="B324" s="1704">
        <f>职业列表!A74</f>
        <v>72</v>
      </c>
      <c r="C324" s="1704" t="str">
        <f>职业列表!B74</f>
        <v>律师</v>
      </c>
      <c r="D324" s="2017">
        <f>职业列表!D74</f>
        <v>30</v>
      </c>
      <c r="E324" s="2020">
        <f>职业列表!E74</f>
        <v>80</v>
      </c>
      <c r="F324" s="2020">
        <f>IF(F251=1,IF(E244&gt;=D324,1,0),IF(E244&lt;=D324,1,0))</f>
        <v>0</v>
      </c>
      <c r="G324" s="2020">
        <f>IF(G251=1,IF(C244&gt;=E324,1,0),IF(C244&lt;=E324,1,0))</f>
        <v>0</v>
      </c>
      <c r="H324" s="1723" t="str">
        <f t="shared" si="25"/>
        <v/>
      </c>
      <c r="I324" s="1704" t="str">
        <f t="shared" si="26"/>
        <v/>
      </c>
      <c r="J324" s="1792" t="str">
        <f t="shared" si="27"/>
        <v/>
      </c>
      <c r="K324" s="1723" t="str">
        <f>职业列表!F74</f>
        <v>教育×4</v>
      </c>
      <c r="L324" s="1792" t="str">
        <f>IF(ISNUMBER(FIND(B241,K324)),B324&amp;C324&amp;"、","")</f>
        <v/>
      </c>
      <c r="M324" s="2042" t="str">
        <f>职业列表!H74</f>
        <v>会计，法律，图书馆，两项社交技能（取悦、话术、恐吓、说服），心理学，两项其他技能。</v>
      </c>
      <c r="N324" s="1188" t="str">
        <f>IF(ISNUMBER(FIND(B239,M324)),B324&amp;C324&amp;"、","")</f>
        <v/>
      </c>
      <c r="O324" s="1704">
        <f t="shared" si="28"/>
        <v>0</v>
      </c>
      <c r="P324" s="1704">
        <f t="shared" si="29"/>
        <v>0</v>
      </c>
      <c r="Q324" s="1704">
        <f t="shared" si="30"/>
        <v>0</v>
      </c>
      <c r="R324" s="1704">
        <f t="shared" si="31"/>
        <v>0</v>
      </c>
      <c r="S324" s="1167">
        <f t="shared" si="32"/>
        <v>0</v>
      </c>
      <c r="Y324" s="1979" t="s">
        <v>3337</v>
      </c>
    </row>
    <row r="325" ht="31" spans="2:25">
      <c r="B325" s="1704">
        <f>职业列表!A75</f>
        <v>73</v>
      </c>
      <c r="C325" s="1704" t="str">
        <f>职业列表!B75</f>
        <v>图书馆管理员（原作向）</v>
      </c>
      <c r="D325" s="2017">
        <f>职业列表!D75</f>
        <v>9</v>
      </c>
      <c r="E325" s="2020">
        <f>职业列表!E75</f>
        <v>35</v>
      </c>
      <c r="F325" s="2020">
        <f>IF(F251=1,IF(E244&gt;=D325,1,0),IF(E244&lt;=D325,1,0))</f>
        <v>0</v>
      </c>
      <c r="G325" s="2020">
        <f>IF(G251=1,IF(C244&gt;=E325,1,0),IF(C244&lt;=E325,1,0))</f>
        <v>0</v>
      </c>
      <c r="H325" s="1723" t="str">
        <f t="shared" si="25"/>
        <v/>
      </c>
      <c r="I325" s="1704" t="str">
        <f t="shared" si="26"/>
        <v/>
      </c>
      <c r="J325" s="1792" t="str">
        <f t="shared" si="27"/>
        <v/>
      </c>
      <c r="K325" s="1723" t="str">
        <f>职业列表!F75</f>
        <v>教育×4</v>
      </c>
      <c r="L325" s="1792" t="str">
        <f>IF(ISNUMBER(FIND(B241,K325)),B325&amp;C325&amp;"、","")</f>
        <v/>
      </c>
      <c r="M325" s="2042" t="str">
        <f>职业列表!H75</f>
        <v>会计，图书馆，外语，母语，任意四项其他个人特长或专业书籍主题。</v>
      </c>
      <c r="N325" s="1188" t="str">
        <f>IF(ISNUMBER(FIND(B239,M325)),B325&amp;C325&amp;"、","")</f>
        <v/>
      </c>
      <c r="O325" s="1704">
        <f t="shared" si="28"/>
        <v>0</v>
      </c>
      <c r="P325" s="1704">
        <f t="shared" si="29"/>
        <v>0</v>
      </c>
      <c r="Q325" s="1704">
        <f t="shared" si="30"/>
        <v>0</v>
      </c>
      <c r="R325" s="1704">
        <f t="shared" si="31"/>
        <v>0</v>
      </c>
      <c r="S325" s="1167">
        <f t="shared" si="32"/>
        <v>0</v>
      </c>
      <c r="Y325" s="1979" t="s">
        <v>3338</v>
      </c>
    </row>
    <row r="326" ht="31" spans="2:25">
      <c r="B326" s="1704">
        <f>职业列表!A76</f>
        <v>74</v>
      </c>
      <c r="C326" s="1704" t="str">
        <f>职业列表!B76</f>
        <v>技师</v>
      </c>
      <c r="D326" s="2017">
        <f>职业列表!D76</f>
        <v>9</v>
      </c>
      <c r="E326" s="2020">
        <f>职业列表!E76</f>
        <v>40</v>
      </c>
      <c r="F326" s="2020">
        <f>IF(F251=1,IF(E244&gt;=D326,1,0),IF(E244&lt;=D326,1,0))</f>
        <v>0</v>
      </c>
      <c r="G326" s="2020">
        <f>IF(G251=1,IF(C244&gt;=E326,1,0),IF(C244&lt;=E326,1,0))</f>
        <v>0</v>
      </c>
      <c r="H326" s="1723" t="str">
        <f t="shared" si="25"/>
        <v/>
      </c>
      <c r="I326" s="1704" t="str">
        <f t="shared" si="26"/>
        <v/>
      </c>
      <c r="J326" s="1792" t="str">
        <f t="shared" si="27"/>
        <v/>
      </c>
      <c r="K326" s="1723" t="str">
        <f>职业列表!F76</f>
        <v>教育×4</v>
      </c>
      <c r="L326" s="1792" t="str">
        <f>IF(ISNUMBER(FIND(B241,K326)),B326&amp;C326&amp;"、","")</f>
        <v/>
      </c>
      <c r="M326" s="2042" t="str">
        <f>职业列表!H76</f>
        <v>技艺（木工、焊接、管道工等），攀爬，汽车驾驶，电气维修，机械维修，操作重型机械，任意两项其他个人或时代或技术特长。</v>
      </c>
      <c r="N326" s="1188" t="str">
        <f>IF(ISNUMBER(FIND(B239,M326)),B326&amp;C326&amp;"、","")</f>
        <v/>
      </c>
      <c r="O326" s="1704">
        <f t="shared" si="28"/>
        <v>0</v>
      </c>
      <c r="P326" s="1704">
        <f t="shared" si="29"/>
        <v>0</v>
      </c>
      <c r="Q326" s="1704">
        <f t="shared" si="30"/>
        <v>0</v>
      </c>
      <c r="R326" s="1704">
        <f t="shared" si="31"/>
        <v>0</v>
      </c>
      <c r="S326" s="1167">
        <f t="shared" si="32"/>
        <v>0</v>
      </c>
      <c r="Y326" s="1979" t="s">
        <v>3339</v>
      </c>
    </row>
    <row r="327" ht="16" spans="2:25">
      <c r="B327" s="1704">
        <f>职业列表!A77</f>
        <v>75</v>
      </c>
      <c r="C327" s="1704" t="str">
        <f>职业列表!B77</f>
        <v>军官</v>
      </c>
      <c r="D327" s="2017">
        <f>职业列表!D77</f>
        <v>20</v>
      </c>
      <c r="E327" s="2020">
        <f>职业列表!E77</f>
        <v>70</v>
      </c>
      <c r="F327" s="2020">
        <f>IF(F251=1,IF(E244&gt;=D327,1,0),IF(E244&lt;=D327,1,0))</f>
        <v>0</v>
      </c>
      <c r="G327" s="2020">
        <f>IF(G251=1,IF(C244&gt;=E327,1,0),IF(C244&lt;=E327,1,0))</f>
        <v>0</v>
      </c>
      <c r="H327" s="1723" t="str">
        <f t="shared" si="25"/>
        <v/>
      </c>
      <c r="I327" s="1704" t="str">
        <f t="shared" si="26"/>
        <v/>
      </c>
      <c r="J327" s="1792" t="str">
        <f t="shared" si="27"/>
        <v/>
      </c>
      <c r="K327" s="1723" t="str">
        <f>职业列表!F77</f>
        <v>教育×2＋力量或敏捷×2</v>
      </c>
      <c r="L327" s="1792" t="str">
        <f>IF(ISNUMBER(FIND(B241,K327)),B327&amp;C327&amp;"、","")</f>
        <v>75军官、</v>
      </c>
      <c r="M327" s="2042" t="str">
        <f>职业列表!H77</f>
        <v>会计，射击，导航，急救，两项社交技能（取悦、话术、恐吓、说服），心理学，任意一项其他个人或时代特长。</v>
      </c>
      <c r="N327" s="1188" t="str">
        <f>IF(ISNUMBER(FIND(B239,M327)),B327&amp;C327&amp;"、","")</f>
        <v/>
      </c>
      <c r="O327" s="1704">
        <f t="shared" si="28"/>
        <v>16</v>
      </c>
      <c r="P327" s="1704">
        <f t="shared" si="29"/>
        <v>0</v>
      </c>
      <c r="Q327" s="1704">
        <f t="shared" si="30"/>
        <v>0</v>
      </c>
      <c r="R327" s="1704">
        <f t="shared" si="31"/>
        <v>0</v>
      </c>
      <c r="S327" s="1167">
        <f t="shared" si="32"/>
        <v>16</v>
      </c>
      <c r="Y327" s="1979" t="s">
        <v>3340</v>
      </c>
    </row>
    <row r="328" ht="31" spans="2:25">
      <c r="B328" s="1704">
        <f>职业列表!A78</f>
        <v>76</v>
      </c>
      <c r="C328" s="1704" t="str">
        <f>职业列表!B78</f>
        <v>传教士</v>
      </c>
      <c r="D328" s="2017">
        <f>职业列表!D78</f>
        <v>0</v>
      </c>
      <c r="E328" s="2020">
        <f>职业列表!E78</f>
        <v>30</v>
      </c>
      <c r="F328" s="2020">
        <f>IF(F251=1,IF(E244&gt;=D328,1,0),IF(E244&lt;=D328,1,0))</f>
        <v>0</v>
      </c>
      <c r="G328" s="2020">
        <f>IF(G251=1,IF(C244&gt;=E328,1,0),IF(C244&lt;=E328,1,0))</f>
        <v>0</v>
      </c>
      <c r="H328" s="1723" t="str">
        <f t="shared" si="25"/>
        <v/>
      </c>
      <c r="I328" s="1704" t="str">
        <f t="shared" si="26"/>
        <v/>
      </c>
      <c r="J328" s="1792" t="str">
        <f t="shared" si="27"/>
        <v/>
      </c>
      <c r="K328" s="1723" t="str">
        <f>职业列表!F78</f>
        <v>教育×2＋外貌×2</v>
      </c>
      <c r="L328" s="1792" t="str">
        <f>IF(ISNUMBER(FIND(B241,K328)),B328&amp;C328&amp;"、","")</f>
        <v/>
      </c>
      <c r="M328" s="2042" t="str">
        <f>职业列表!H78</f>
        <v>技艺（任一），急救，机械维修，医学，自然，一项社交技能（取悦、话术、恐吓、说服），任意两项其他个人或时代特长。</v>
      </c>
      <c r="N328" s="1188" t="str">
        <f>IF(ISNUMBER(FIND(B239,M328)),B328&amp;C328&amp;"、","")</f>
        <v/>
      </c>
      <c r="O328" s="1704">
        <f t="shared" si="28"/>
        <v>0</v>
      </c>
      <c r="P328" s="1704">
        <f t="shared" si="29"/>
        <v>0</v>
      </c>
      <c r="Q328" s="1704">
        <f t="shared" si="30"/>
        <v>0</v>
      </c>
      <c r="R328" s="1704">
        <f t="shared" si="31"/>
        <v>0</v>
      </c>
      <c r="S328" s="1167">
        <f t="shared" si="32"/>
        <v>0</v>
      </c>
      <c r="Y328" s="1979" t="s">
        <v>3341</v>
      </c>
    </row>
    <row r="329" ht="16" spans="2:25">
      <c r="B329" s="1704">
        <f>职业列表!A79</f>
        <v>77</v>
      </c>
      <c r="C329" s="1704" t="str">
        <f>职业列表!B79</f>
        <v>登山家</v>
      </c>
      <c r="D329" s="2017">
        <f>职业列表!D79</f>
        <v>30</v>
      </c>
      <c r="E329" s="2020">
        <f>职业列表!E79</f>
        <v>60</v>
      </c>
      <c r="F329" s="2020">
        <f>IF(F251=1,IF(E244&gt;=D329,1,0),IF(E244&lt;=D329,1,0))</f>
        <v>0</v>
      </c>
      <c r="G329" s="2020">
        <f>IF(G251=1,IF(C244&gt;=E329,1,0),IF(C244&lt;=E329,1,0))</f>
        <v>0</v>
      </c>
      <c r="H329" s="1723" t="str">
        <f t="shared" si="25"/>
        <v/>
      </c>
      <c r="I329" s="1704" t="str">
        <f t="shared" si="26"/>
        <v/>
      </c>
      <c r="J329" s="1792" t="str">
        <f t="shared" si="27"/>
        <v/>
      </c>
      <c r="K329" s="1723" t="str">
        <f>职业列表!F79</f>
        <v>教育×2＋力量或敏捷×2</v>
      </c>
      <c r="L329" s="1792" t="str">
        <f>IF(ISNUMBER(FIND(B241,K329)),B329&amp;C329&amp;"、","")</f>
        <v>77登山家、</v>
      </c>
      <c r="M329" s="2042" t="str">
        <f>职业列表!H79</f>
        <v>攀爬，急救，跳跃，聆听，导航，外语，生存（阿尔卑斯或类似），追踪。</v>
      </c>
      <c r="N329" s="1188" t="str">
        <f>IF(ISNUMBER(FIND(B239,M329)),B329&amp;C329&amp;"、","")</f>
        <v/>
      </c>
      <c r="O329" s="1704">
        <f t="shared" si="28"/>
        <v>16</v>
      </c>
      <c r="P329" s="1704">
        <f t="shared" si="29"/>
        <v>0</v>
      </c>
      <c r="Q329" s="1704">
        <f t="shared" si="30"/>
        <v>0</v>
      </c>
      <c r="R329" s="1704">
        <f t="shared" si="31"/>
        <v>0</v>
      </c>
      <c r="S329" s="1167">
        <f t="shared" si="32"/>
        <v>16</v>
      </c>
      <c r="Y329" s="1979" t="s">
        <v>237</v>
      </c>
    </row>
    <row r="330" ht="16" spans="2:25">
      <c r="B330" s="1704">
        <f>职业列表!A80</f>
        <v>78</v>
      </c>
      <c r="C330" s="1704" t="str">
        <f>职业列表!B80</f>
        <v>博物馆管理员</v>
      </c>
      <c r="D330" s="2017">
        <f>职业列表!D80</f>
        <v>10</v>
      </c>
      <c r="E330" s="2020">
        <f>职业列表!E80</f>
        <v>30</v>
      </c>
      <c r="F330" s="2020">
        <f>IF(F251=1,IF(E244&gt;=D330,1,0),IF(E244&lt;=D330,1,0))</f>
        <v>0</v>
      </c>
      <c r="G330" s="2020">
        <f>IF(G251=1,IF(C244&gt;=E330,1,0),IF(C244&lt;=E330,1,0))</f>
        <v>0</v>
      </c>
      <c r="H330" s="1723" t="str">
        <f t="shared" si="25"/>
        <v/>
      </c>
      <c r="I330" s="1704" t="str">
        <f t="shared" si="26"/>
        <v/>
      </c>
      <c r="J330" s="1792" t="str">
        <f t="shared" si="27"/>
        <v/>
      </c>
      <c r="K330" s="1723" t="str">
        <f>职业列表!F80</f>
        <v>教育×4</v>
      </c>
      <c r="L330" s="1792" t="str">
        <f>IF(ISNUMBER(FIND(B241,K330)),B330&amp;C330&amp;"、","")</f>
        <v/>
      </c>
      <c r="M330" s="2042" t="str">
        <f>职业列表!H80</f>
        <v>会计，估价，考古，历史，图书馆，神秘学，外语，侦查。</v>
      </c>
      <c r="N330" s="1188" t="str">
        <f>IF(ISNUMBER(FIND(B239,M330)),B330&amp;C330&amp;"、","")</f>
        <v/>
      </c>
      <c r="O330" s="1704">
        <f t="shared" si="28"/>
        <v>0</v>
      </c>
      <c r="P330" s="1704">
        <f t="shared" si="29"/>
        <v>0</v>
      </c>
      <c r="Q330" s="1704">
        <f t="shared" si="30"/>
        <v>0</v>
      </c>
      <c r="R330" s="1704">
        <f t="shared" si="31"/>
        <v>0</v>
      </c>
      <c r="S330" s="1167">
        <f t="shared" si="32"/>
        <v>0</v>
      </c>
      <c r="Y330" s="1979" t="s">
        <v>3342</v>
      </c>
    </row>
    <row r="331" ht="31" spans="2:25">
      <c r="B331" s="1704">
        <f>职业列表!A81</f>
        <v>79</v>
      </c>
      <c r="C331" s="1704" t="str">
        <f>职业列表!B81</f>
        <v>音乐家</v>
      </c>
      <c r="D331" s="2017">
        <f>职业列表!D81</f>
        <v>9</v>
      </c>
      <c r="E331" s="2020">
        <f>职业列表!E81</f>
        <v>30</v>
      </c>
      <c r="F331" s="2020">
        <f>IF(F251=1,IF(E244&gt;=D331,1,0),IF(E244&lt;=D331,1,0))</f>
        <v>0</v>
      </c>
      <c r="G331" s="2020">
        <f>IF(G251=1,IF(C244&gt;=E331,1,0),IF(C244&lt;=E331,1,0))</f>
        <v>0</v>
      </c>
      <c r="H331" s="1723" t="str">
        <f t="shared" si="25"/>
        <v/>
      </c>
      <c r="I331" s="1704" t="str">
        <f t="shared" si="26"/>
        <v/>
      </c>
      <c r="J331" s="1792" t="str">
        <f t="shared" si="27"/>
        <v/>
      </c>
      <c r="K331" s="1723" t="str">
        <f>职业列表!F81</f>
        <v>教育×2＋意志或敏捷×2</v>
      </c>
      <c r="L331" s="1792" t="str">
        <f>IF(ISNUMBER(FIND(B241,K331)),B331&amp;C331&amp;"、","")</f>
        <v/>
      </c>
      <c r="M331" s="2042" t="str">
        <f>职业列表!H81</f>
        <v>技艺（乐器），一项社交技能（取悦、话术、恐吓、说服），聆听，心理学，四项其他技能。</v>
      </c>
      <c r="N331" s="1188" t="str">
        <f>IF(ISNUMBER(FIND(B239,M331)),B331&amp;C331&amp;"、","")</f>
        <v/>
      </c>
      <c r="O331" s="1704">
        <f t="shared" si="28"/>
        <v>0</v>
      </c>
      <c r="P331" s="1704">
        <f t="shared" si="29"/>
        <v>0</v>
      </c>
      <c r="Q331" s="1704">
        <f t="shared" si="30"/>
        <v>0</v>
      </c>
      <c r="R331" s="1704">
        <f t="shared" si="31"/>
        <v>0</v>
      </c>
      <c r="S331" s="1167">
        <f t="shared" si="32"/>
        <v>0</v>
      </c>
      <c r="Y331" s="1979" t="s">
        <v>3343</v>
      </c>
    </row>
    <row r="332" ht="16" spans="2:25">
      <c r="B332" s="1704">
        <f>职业列表!A82</f>
        <v>80</v>
      </c>
      <c r="C332" s="1704" t="str">
        <f>职业列表!B82</f>
        <v>护士</v>
      </c>
      <c r="D332" s="2017">
        <f>职业列表!D82</f>
        <v>9</v>
      </c>
      <c r="E332" s="2020">
        <f>职业列表!E82</f>
        <v>30</v>
      </c>
      <c r="F332" s="2020">
        <f>IF(F251=1,IF(E244&gt;=D332,1,0),IF(E244&lt;=D332,1,0))</f>
        <v>0</v>
      </c>
      <c r="G332" s="2020">
        <f>IF(G251=1,IF(C244&gt;=E332,1,0),IF(C244&lt;=E332,1,0))</f>
        <v>0</v>
      </c>
      <c r="H332" s="1723" t="str">
        <f t="shared" si="25"/>
        <v/>
      </c>
      <c r="I332" s="1704" t="str">
        <f t="shared" si="26"/>
        <v/>
      </c>
      <c r="J332" s="1792" t="str">
        <f t="shared" si="27"/>
        <v/>
      </c>
      <c r="K332" s="1723" t="str">
        <f>职业列表!F82</f>
        <v>教育×4</v>
      </c>
      <c r="L332" s="1792" t="str">
        <f>IF(ISNUMBER(FIND(B241,K332)),B332&amp;C332&amp;"、","")</f>
        <v/>
      </c>
      <c r="M332" s="2042" t="str">
        <f>职业列表!H82</f>
        <v>急救，聆听，医学，一项社交技能（取悦、话术、恐吓、说服），心理学，科学（生物学，化学），侦查。</v>
      </c>
      <c r="N332" s="1188" t="str">
        <f>IF(ISNUMBER(FIND(B239,M332)),B332&amp;C332&amp;"、","")</f>
        <v/>
      </c>
      <c r="O332" s="1704">
        <f t="shared" si="28"/>
        <v>0</v>
      </c>
      <c r="P332" s="1704">
        <f t="shared" si="29"/>
        <v>0</v>
      </c>
      <c r="Q332" s="1704">
        <f t="shared" si="30"/>
        <v>0</v>
      </c>
      <c r="R332" s="1704">
        <f t="shared" si="31"/>
        <v>0</v>
      </c>
      <c r="S332" s="1167">
        <f t="shared" si="32"/>
        <v>0</v>
      </c>
      <c r="Y332" s="1979" t="s">
        <v>237</v>
      </c>
    </row>
    <row r="333" ht="16" spans="2:25">
      <c r="B333" s="1704">
        <f>职业列表!A83</f>
        <v>81</v>
      </c>
      <c r="C333" s="1704" t="str">
        <f>职业列表!B83</f>
        <v>神秘学家</v>
      </c>
      <c r="D333" s="2017">
        <f>职业列表!D83</f>
        <v>9</v>
      </c>
      <c r="E333" s="2020">
        <f>职业列表!E83</f>
        <v>65</v>
      </c>
      <c r="F333" s="2020">
        <f>IF(F251=1,IF(E244&gt;=D333,1,0),IF(E244&lt;=D333,1,0))</f>
        <v>0</v>
      </c>
      <c r="G333" s="2020">
        <f>IF(G251=1,IF(C244&gt;=E333,1,0),IF(C244&lt;=E333,1,0))</f>
        <v>0</v>
      </c>
      <c r="H333" s="1723" t="str">
        <f t="shared" si="25"/>
        <v/>
      </c>
      <c r="I333" s="1704" t="str">
        <f t="shared" si="26"/>
        <v/>
      </c>
      <c r="J333" s="1792" t="str">
        <f t="shared" si="27"/>
        <v/>
      </c>
      <c r="K333" s="1723" t="str">
        <f>职业列表!F83</f>
        <v>教育×4</v>
      </c>
      <c r="L333" s="1792" t="str">
        <f>IF(ISNUMBER(FIND(B241,K333)),B333&amp;C333&amp;"、","")</f>
        <v/>
      </c>
      <c r="M333" s="2042" t="str">
        <f>职业列表!H83</f>
        <v>人类学，历史，图书馆，一项社交技能（取悦、话术、恐吓、说服），神秘学，外语，科学（天文），任意一项其他个人或时代特长 ※经KP允许 可以包含克苏鲁神话</v>
      </c>
      <c r="N333" s="1188" t="str">
        <f>IF(ISNUMBER(FIND(B239,M333)),B333&amp;C333&amp;"、","")</f>
        <v>81神秘学家、</v>
      </c>
      <c r="O333" s="1704">
        <f t="shared" si="28"/>
        <v>0</v>
      </c>
      <c r="P333" s="1704">
        <f t="shared" si="29"/>
        <v>37</v>
      </c>
      <c r="Q333" s="1704">
        <f t="shared" si="30"/>
        <v>0</v>
      </c>
      <c r="R333" s="1704">
        <f t="shared" si="31"/>
        <v>0</v>
      </c>
      <c r="S333" s="1167">
        <f t="shared" si="32"/>
        <v>37</v>
      </c>
      <c r="Y333" s="1979" t="s">
        <v>3344</v>
      </c>
    </row>
    <row r="334" ht="31" spans="2:25">
      <c r="B334" s="1704">
        <f>职业列表!A84</f>
        <v>82</v>
      </c>
      <c r="C334" s="1704" t="str">
        <f>职业列表!B84</f>
        <v>旅行家</v>
      </c>
      <c r="D334" s="2017">
        <f>职业列表!D84</f>
        <v>5</v>
      </c>
      <c r="E334" s="2020">
        <f>职业列表!E84</f>
        <v>20</v>
      </c>
      <c r="F334" s="2020">
        <f>IF(F251=1,IF(E244&gt;=D334,1,0),IF(E244&lt;=D334,1,0))</f>
        <v>0</v>
      </c>
      <c r="G334" s="2020">
        <f>IF(G251=1,IF(C244&gt;=E334,1,0),IF(C244&lt;=E334,1,0))</f>
        <v>0</v>
      </c>
      <c r="H334" s="1723" t="str">
        <f t="shared" si="25"/>
        <v/>
      </c>
      <c r="I334" s="1704" t="str">
        <f t="shared" si="26"/>
        <v/>
      </c>
      <c r="J334" s="1792" t="str">
        <f t="shared" si="27"/>
        <v/>
      </c>
      <c r="K334" s="1723" t="str">
        <f>职业列表!F84</f>
        <v>教育×2＋力量或敏捷×2</v>
      </c>
      <c r="L334" s="1792" t="str">
        <f>IF(ISNUMBER(FIND(B241,K334)),B334&amp;C334&amp;"、","")</f>
        <v>82旅行家、</v>
      </c>
      <c r="M334" s="2042" t="str">
        <f>职业列表!H84</f>
        <v>射击，急救，聆听，自然，导航，侦查，生存（任一），追踪。</v>
      </c>
      <c r="N334" s="1188" t="str">
        <f>IF(ISNUMBER(FIND(B239,M334)),B334&amp;C334&amp;"、","")</f>
        <v/>
      </c>
      <c r="O334" s="1704">
        <f t="shared" si="28"/>
        <v>16</v>
      </c>
      <c r="P334" s="1704">
        <f t="shared" si="29"/>
        <v>0</v>
      </c>
      <c r="Q334" s="1704">
        <f t="shared" si="30"/>
        <v>0</v>
      </c>
      <c r="R334" s="1704">
        <f t="shared" si="31"/>
        <v>0</v>
      </c>
      <c r="S334" s="1167">
        <f t="shared" si="32"/>
        <v>16</v>
      </c>
      <c r="Y334" s="1979" t="s">
        <v>3345</v>
      </c>
    </row>
    <row r="335" ht="31" spans="2:25">
      <c r="B335" s="1704">
        <f>职业列表!A85</f>
        <v>83</v>
      </c>
      <c r="C335" s="1704" t="str">
        <f>职业列表!B85</f>
        <v>超心理学家</v>
      </c>
      <c r="D335" s="2017">
        <f>职业列表!D85</f>
        <v>9</v>
      </c>
      <c r="E335" s="2020">
        <f>职业列表!E85</f>
        <v>30</v>
      </c>
      <c r="F335" s="2020">
        <f>IF(F251=1,IF(E244&gt;=D335,1,0),IF(E244&lt;=D335,1,0))</f>
        <v>0</v>
      </c>
      <c r="G335" s="2020">
        <f>IF(G251=1,IF(C244&gt;=E335,1,0),IF(C244&lt;=E335,1,0))</f>
        <v>0</v>
      </c>
      <c r="H335" s="1723" t="str">
        <f t="shared" si="25"/>
        <v/>
      </c>
      <c r="I335" s="1704" t="str">
        <f t="shared" si="26"/>
        <v/>
      </c>
      <c r="J335" s="1792" t="str">
        <f t="shared" si="27"/>
        <v/>
      </c>
      <c r="K335" s="1723" t="str">
        <f>职业列表!F85</f>
        <v>教育×4</v>
      </c>
      <c r="L335" s="1792" t="str">
        <f>IF(ISNUMBER(FIND(B241,K335)),B335&amp;C335&amp;"、","")</f>
        <v/>
      </c>
      <c r="M335" s="2042" t="str">
        <f>职业列表!H85</f>
        <v>人类学，技艺（摄影），历史，图书馆，神秘学，外语，心理学，任意一项其他个人或时代特长。</v>
      </c>
      <c r="N335" s="1188" t="str">
        <f>IF(ISNUMBER(FIND(B239,M335)),B335&amp;C335&amp;"、","")</f>
        <v>83超心理学家、</v>
      </c>
      <c r="O335" s="1704">
        <f t="shared" si="28"/>
        <v>0</v>
      </c>
      <c r="P335" s="1704">
        <f t="shared" si="29"/>
        <v>37</v>
      </c>
      <c r="Q335" s="1704">
        <f t="shared" si="30"/>
        <v>0</v>
      </c>
      <c r="R335" s="1704">
        <f t="shared" si="31"/>
        <v>0</v>
      </c>
      <c r="S335" s="1167">
        <f t="shared" si="32"/>
        <v>37</v>
      </c>
      <c r="Y335" s="1979" t="s">
        <v>3346</v>
      </c>
    </row>
    <row r="336" ht="16" spans="2:25">
      <c r="B336" s="1704">
        <f>职业列表!A86</f>
        <v>84</v>
      </c>
      <c r="C336" s="1704" t="str">
        <f>职业列表!B86</f>
        <v>药剂师</v>
      </c>
      <c r="D336" s="2017">
        <f>职业列表!D86</f>
        <v>35</v>
      </c>
      <c r="E336" s="2020">
        <f>职业列表!E86</f>
        <v>75</v>
      </c>
      <c r="F336" s="2020">
        <f>IF(F251=1,IF(E244&gt;=D336,1,0),IF(E244&lt;=D336,1,0))</f>
        <v>0</v>
      </c>
      <c r="G336" s="2020">
        <f>IF(G251=1,IF(C244&gt;=E336,1,0),IF(C244&lt;=E336,1,0))</f>
        <v>0</v>
      </c>
      <c r="H336" s="1723" t="str">
        <f t="shared" si="25"/>
        <v/>
      </c>
      <c r="I336" s="1704" t="str">
        <f t="shared" si="26"/>
        <v/>
      </c>
      <c r="J336" s="1792" t="str">
        <f t="shared" si="27"/>
        <v/>
      </c>
      <c r="K336" s="1723" t="str">
        <f>职业列表!F86</f>
        <v>教育×4</v>
      </c>
      <c r="L336" s="1792" t="str">
        <f>IF(ISNUMBER(FIND(B241,K336)),B336&amp;C336&amp;"、","")</f>
        <v/>
      </c>
      <c r="M336" s="2042" t="str">
        <f>职业列表!H86</f>
        <v>会计，急救，外语（拉丁文），图书馆，一项社交技能（取悦、话术、恐吓、说服），心理学，科学（制药，化学）。</v>
      </c>
      <c r="N336" s="1188" t="str">
        <f>IF(ISNUMBER(FIND(B239,M336)),B336&amp;C336&amp;"、","")</f>
        <v/>
      </c>
      <c r="O336" s="1704">
        <f t="shared" si="28"/>
        <v>0</v>
      </c>
      <c r="P336" s="1704">
        <f t="shared" si="29"/>
        <v>0</v>
      </c>
      <c r="Q336" s="1704">
        <f t="shared" si="30"/>
        <v>0</v>
      </c>
      <c r="R336" s="1704">
        <f t="shared" si="31"/>
        <v>0</v>
      </c>
      <c r="S336" s="1167">
        <f t="shared" si="32"/>
        <v>0</v>
      </c>
      <c r="Y336" s="1979" t="s">
        <v>237</v>
      </c>
    </row>
    <row r="337" ht="46" spans="2:25">
      <c r="B337" s="1704">
        <f>职业列表!A87</f>
        <v>85</v>
      </c>
      <c r="C337" s="1704" t="str">
        <f>职业列表!B87</f>
        <v>摄影师-摄影师</v>
      </c>
      <c r="D337" s="2017">
        <f>职业列表!D87</f>
        <v>9</v>
      </c>
      <c r="E337" s="2020">
        <f>职业列表!E87</f>
        <v>30</v>
      </c>
      <c r="F337" s="2020">
        <f>IF(F251=1,IF(E244&gt;=D337,1,0),IF(E244&lt;=D337,1,0))</f>
        <v>0</v>
      </c>
      <c r="G337" s="2020">
        <f>IF(G251=1,IF(C244&gt;=E337,1,0),IF(C244&lt;=E337,1,0))</f>
        <v>0</v>
      </c>
      <c r="H337" s="1723" t="str">
        <f t="shared" si="25"/>
        <v/>
      </c>
      <c r="I337" s="1704" t="str">
        <f t="shared" si="26"/>
        <v/>
      </c>
      <c r="J337" s="1792" t="str">
        <f t="shared" si="27"/>
        <v/>
      </c>
      <c r="K337" s="1723" t="str">
        <f>职业列表!F87</f>
        <v>教育×4</v>
      </c>
      <c r="L337" s="1792" t="str">
        <f>IF(ISNUMBER(FIND(B241,K337)),B337&amp;C337&amp;"、","")</f>
        <v/>
      </c>
      <c r="M337" s="2042" t="str">
        <f>职业列表!H87</f>
        <v>技艺（摄影），一项社交技能（取悦、话术、恐吓、说服），心理学，科学（化学），潜行，侦查，任意两项其他个人或时代特长。</v>
      </c>
      <c r="N337" s="1188" t="str">
        <f>IF(ISNUMBER(FIND(B239,M337)),B337&amp;C337&amp;"、","")</f>
        <v/>
      </c>
      <c r="O337" s="1704">
        <f t="shared" si="28"/>
        <v>0</v>
      </c>
      <c r="P337" s="1704">
        <f t="shared" si="29"/>
        <v>0</v>
      </c>
      <c r="Q337" s="1704">
        <f t="shared" si="30"/>
        <v>0</v>
      </c>
      <c r="R337" s="1704">
        <f t="shared" si="31"/>
        <v>0</v>
      </c>
      <c r="S337" s="1167">
        <f t="shared" si="32"/>
        <v>0</v>
      </c>
      <c r="Y337" s="1979" t="s">
        <v>3347</v>
      </c>
    </row>
    <row r="338" ht="16" spans="2:25">
      <c r="B338" s="1704">
        <f>职业列表!A88</f>
        <v>86</v>
      </c>
      <c r="C338" s="1704" t="str">
        <f>职业列表!B88</f>
        <v>摄影师-摄影记者</v>
      </c>
      <c r="D338" s="2017">
        <f>职业列表!D88</f>
        <v>10</v>
      </c>
      <c r="E338" s="2020">
        <f>职业列表!E88</f>
        <v>30</v>
      </c>
      <c r="F338" s="2020">
        <f>IF(F251=1,IF(E244&gt;=D338,1,0),IF(E244&lt;=D338,1,0))</f>
        <v>0</v>
      </c>
      <c r="G338" s="2020">
        <f>IF(G251=1,IF(C244&gt;=E338,1,0),IF(C244&lt;=E338,1,0))</f>
        <v>0</v>
      </c>
      <c r="H338" s="1723" t="str">
        <f t="shared" si="25"/>
        <v/>
      </c>
      <c r="I338" s="1704" t="str">
        <f t="shared" si="26"/>
        <v/>
      </c>
      <c r="J338" s="1792" t="str">
        <f t="shared" si="27"/>
        <v/>
      </c>
      <c r="K338" s="1723" t="str">
        <f>职业列表!F88</f>
        <v>教育×4</v>
      </c>
      <c r="L338" s="1792" t="str">
        <f>IF(ISNUMBER(FIND(B241,K338)),B338&amp;C338&amp;"、","")</f>
        <v/>
      </c>
      <c r="M338" s="2042" t="str">
        <f>职业列表!H88</f>
        <v>技艺（摄影），攀爬，一项社交技能（取悦、话术、恐吓、说服），外语，心理学，科学（化学），任意两项其他个人或时代特长。</v>
      </c>
      <c r="N338" s="1188" t="str">
        <f>IF(ISNUMBER(FIND(B239,M338)),B338&amp;C338&amp;"、","")</f>
        <v/>
      </c>
      <c r="O338" s="1704">
        <f t="shared" si="28"/>
        <v>0</v>
      </c>
      <c r="P338" s="1704">
        <f t="shared" si="29"/>
        <v>0</v>
      </c>
      <c r="Q338" s="1704">
        <f t="shared" si="30"/>
        <v>0</v>
      </c>
      <c r="R338" s="1704">
        <f t="shared" si="31"/>
        <v>0</v>
      </c>
      <c r="S338" s="1167">
        <f t="shared" si="32"/>
        <v>0</v>
      </c>
      <c r="Y338" s="1979" t="s">
        <v>3348</v>
      </c>
    </row>
    <row r="339" ht="31" spans="2:25">
      <c r="B339" s="1704">
        <f>职业列表!A89</f>
        <v>87</v>
      </c>
      <c r="C339" s="1704" t="str">
        <f>职业列表!B89</f>
        <v>飞行员-飞行员</v>
      </c>
      <c r="D339" s="2017">
        <f>职业列表!D89</f>
        <v>20</v>
      </c>
      <c r="E339" s="2020">
        <f>职业列表!E89</f>
        <v>70</v>
      </c>
      <c r="F339" s="2020">
        <f>IF(F251=1,IF(E244&gt;=D339,1,0),IF(E244&lt;=D339,1,0))</f>
        <v>0</v>
      </c>
      <c r="G339" s="2020">
        <f>IF(G251=1,IF(C244&gt;=E339,1,0),IF(C244&lt;=E339,1,0))</f>
        <v>0</v>
      </c>
      <c r="H339" s="1723" t="str">
        <f t="shared" si="25"/>
        <v/>
      </c>
      <c r="I339" s="1704" t="str">
        <f t="shared" si="26"/>
        <v/>
      </c>
      <c r="J339" s="1792" t="str">
        <f t="shared" si="27"/>
        <v/>
      </c>
      <c r="K339" s="1723" t="str">
        <f>职业列表!F89</f>
        <v>教育×2＋敏捷×2</v>
      </c>
      <c r="L339" s="1792" t="str">
        <f>IF(ISNUMBER(FIND(B241,K339)),B339&amp;C339&amp;"、","")</f>
        <v/>
      </c>
      <c r="M339" s="2042" t="str">
        <f>职业列表!H89</f>
        <v>电气维修，机械维修，导航，操作重型机械，驾驶（飞行器），科学（天文），任意两项其他个人或时代特长。</v>
      </c>
      <c r="N339" s="1188" t="str">
        <f>IF(ISNUMBER(FIND(B239,M339)),B339&amp;C339&amp;"、","")</f>
        <v/>
      </c>
      <c r="O339" s="1704">
        <f t="shared" si="28"/>
        <v>0</v>
      </c>
      <c r="P339" s="1704">
        <f t="shared" si="29"/>
        <v>0</v>
      </c>
      <c r="Q339" s="1704">
        <f t="shared" si="30"/>
        <v>0</v>
      </c>
      <c r="R339" s="1704">
        <f t="shared" si="31"/>
        <v>0</v>
      </c>
      <c r="S339" s="1167">
        <f t="shared" si="32"/>
        <v>0</v>
      </c>
      <c r="Y339" s="1979" t="s">
        <v>3349</v>
      </c>
    </row>
    <row r="340" ht="31" spans="2:25">
      <c r="B340" s="1704">
        <f>职业列表!A90</f>
        <v>88</v>
      </c>
      <c r="C340" s="1704" t="str">
        <f>职业列表!B90</f>
        <v>飞行员-特技飞行员（古典）</v>
      </c>
      <c r="D340" s="2017">
        <f>职业列表!D90</f>
        <v>30</v>
      </c>
      <c r="E340" s="2020">
        <f>职业列表!E90</f>
        <v>60</v>
      </c>
      <c r="F340" s="2020">
        <f>IF(F251=1,IF(E244&gt;=D340,1,0),IF(E244&lt;=D340,1,0))</f>
        <v>0</v>
      </c>
      <c r="G340" s="2020">
        <f>IF(G251=1,IF(C244&gt;=E340,1,0),IF(C244&lt;=E340,1,0))</f>
        <v>0</v>
      </c>
      <c r="H340" s="1723" t="str">
        <f t="shared" si="25"/>
        <v/>
      </c>
      <c r="I340" s="1704" t="str">
        <f t="shared" si="26"/>
        <v/>
      </c>
      <c r="J340" s="1792" t="str">
        <f t="shared" si="27"/>
        <v/>
      </c>
      <c r="K340" s="1723" t="str">
        <f>职业列表!F90</f>
        <v>教育×4</v>
      </c>
      <c r="L340" s="1792" t="str">
        <f>IF(ISNUMBER(FIND(B241,K340)),B340&amp;C340&amp;"、","")</f>
        <v/>
      </c>
      <c r="M340" s="2042" t="str">
        <f>职业列表!H90</f>
        <v>会计，电气维修，聆听，机械维修，导航，驾驶（飞行器），侦查，任意一项其他个人或时代特长。</v>
      </c>
      <c r="N340" s="1188" t="str">
        <f>IF(ISNUMBER(FIND(B239,M340)),B340&amp;C340&amp;"、","")</f>
        <v/>
      </c>
      <c r="O340" s="1704">
        <f t="shared" si="28"/>
        <v>0</v>
      </c>
      <c r="P340" s="1704">
        <f t="shared" si="29"/>
        <v>0</v>
      </c>
      <c r="Q340" s="1704">
        <f t="shared" si="30"/>
        <v>0</v>
      </c>
      <c r="R340" s="1704">
        <f t="shared" si="31"/>
        <v>0</v>
      </c>
      <c r="S340" s="1167">
        <f t="shared" si="32"/>
        <v>0</v>
      </c>
      <c r="Y340" s="1979" t="s">
        <v>3330</v>
      </c>
    </row>
    <row r="341" ht="16" spans="2:25">
      <c r="B341" s="1704">
        <f>职业列表!A91</f>
        <v>89</v>
      </c>
      <c r="C341" s="1704" t="str">
        <f>职业列表!B91</f>
        <v>警方(原作向)-警探</v>
      </c>
      <c r="D341" s="2017">
        <f>职业列表!D91</f>
        <v>20</v>
      </c>
      <c r="E341" s="2020">
        <f>职业列表!E91</f>
        <v>50</v>
      </c>
      <c r="F341" s="2020">
        <f>IF(F251=1,IF(E244&gt;=D341,1,0),IF(E244&lt;=D341,1,0))</f>
        <v>0</v>
      </c>
      <c r="G341" s="2020">
        <f>IF(G251=1,IF(C244&gt;=E341,1,0),IF(C244&lt;=E341,1,0))</f>
        <v>0</v>
      </c>
      <c r="H341" s="1723" t="str">
        <f t="shared" si="25"/>
        <v/>
      </c>
      <c r="I341" s="1704" t="str">
        <f t="shared" si="26"/>
        <v/>
      </c>
      <c r="J341" s="1792" t="str">
        <f t="shared" si="27"/>
        <v/>
      </c>
      <c r="K341" s="1723" t="str">
        <f>职业列表!F91</f>
        <v>教育×2＋力量或敏捷×2</v>
      </c>
      <c r="L341" s="1792" t="str">
        <f>IF(ISNUMBER(FIND(B241,K341)),B341&amp;C341&amp;"、","")</f>
        <v>89警方(原作向)-警探、</v>
      </c>
      <c r="M341" s="2042" t="str">
        <f>职业列表!H91</f>
        <v>技艺（表演）或乔装，射击，法律，聆听，一项社交技能（取悦、话术、恐吓、说服），心理学，侦查，一项其他技能。</v>
      </c>
      <c r="N341" s="1188" t="str">
        <f>IF(ISNUMBER(FIND(B239,M341)),B341&amp;C341&amp;"、","")</f>
        <v/>
      </c>
      <c r="O341" s="1704">
        <f t="shared" si="28"/>
        <v>16</v>
      </c>
      <c r="P341" s="1704">
        <f t="shared" si="29"/>
        <v>0</v>
      </c>
      <c r="Q341" s="1704">
        <f t="shared" si="30"/>
        <v>0</v>
      </c>
      <c r="R341" s="1704">
        <f t="shared" si="31"/>
        <v>0</v>
      </c>
      <c r="S341" s="1167">
        <f t="shared" si="32"/>
        <v>16</v>
      </c>
      <c r="Y341" s="1979" t="s">
        <v>237</v>
      </c>
    </row>
    <row r="342" ht="76" spans="2:25">
      <c r="B342" s="1704">
        <f>职业列表!A92</f>
        <v>90</v>
      </c>
      <c r="C342" s="1704" t="str">
        <f>职业列表!B92</f>
        <v>警方(原作向)-巡警</v>
      </c>
      <c r="D342" s="2017">
        <f>职业列表!D92</f>
        <v>9</v>
      </c>
      <c r="E342" s="2020">
        <f>职业列表!E92</f>
        <v>30</v>
      </c>
      <c r="F342" s="2020">
        <f>IF(F251=1,IF(E244&gt;=D342,1,0),IF(E244&lt;=D342,1,0))</f>
        <v>0</v>
      </c>
      <c r="G342" s="2020">
        <f>IF(G251=1,IF(C244&gt;=E342,1,0),IF(C244&lt;=E342,1,0))</f>
        <v>0</v>
      </c>
      <c r="H342" s="1723" t="str">
        <f t="shared" si="25"/>
        <v/>
      </c>
      <c r="I342" s="1704" t="str">
        <f t="shared" si="26"/>
        <v/>
      </c>
      <c r="J342" s="1792" t="str">
        <f t="shared" si="27"/>
        <v/>
      </c>
      <c r="K342" s="1723" t="str">
        <f>职业列表!F92</f>
        <v>教育×2＋力量或敏捷×2</v>
      </c>
      <c r="L342" s="1792" t="str">
        <f>IF(ISNUMBER(FIND(B241,K342)),B342&amp;C342&amp;"、","")</f>
        <v>90警方(原作向)-巡警、</v>
      </c>
      <c r="M342" s="2042" t="str">
        <f>职业列表!H92</f>
        <v>格斗（斗殴），射击，急救，一项社交技能（取悦、话术、恐吓、说服），法律，心理学，侦查和下面的一种个人特长：汽车驾驶或骑乘。</v>
      </c>
      <c r="N342" s="1188" t="str">
        <f>IF(ISNUMBER(FIND(B239,M342)),B342&amp;C342&amp;"、","")</f>
        <v/>
      </c>
      <c r="O342" s="1704">
        <f t="shared" si="28"/>
        <v>16</v>
      </c>
      <c r="P342" s="1704">
        <f t="shared" si="29"/>
        <v>0</v>
      </c>
      <c r="Q342" s="1704">
        <f t="shared" si="30"/>
        <v>0</v>
      </c>
      <c r="R342" s="1704">
        <f t="shared" si="31"/>
        <v>0</v>
      </c>
      <c r="S342" s="1167">
        <f t="shared" si="32"/>
        <v>16</v>
      </c>
      <c r="Y342" s="1979" t="s">
        <v>3350</v>
      </c>
    </row>
    <row r="343" ht="31" spans="2:25">
      <c r="B343" s="1704">
        <f>职业列表!A93</f>
        <v>91</v>
      </c>
      <c r="C343" s="1704" t="str">
        <f>职业列表!B93</f>
        <v>私家侦探</v>
      </c>
      <c r="D343" s="2017">
        <f>职业列表!D93</f>
        <v>9</v>
      </c>
      <c r="E343" s="2020">
        <f>职业列表!E93</f>
        <v>30</v>
      </c>
      <c r="F343" s="2020">
        <f>IF(F251=1,IF(E244&gt;=D343,1,0),IF(E244&lt;=D343,1,0))</f>
        <v>0</v>
      </c>
      <c r="G343" s="2020">
        <f>IF(G251=1,IF(C244&gt;=E343,1,0),IF(C244&lt;=E343,1,0))</f>
        <v>0</v>
      </c>
      <c r="H343" s="1723" t="str">
        <f t="shared" si="25"/>
        <v/>
      </c>
      <c r="I343" s="1704" t="str">
        <f t="shared" si="26"/>
        <v/>
      </c>
      <c r="J343" s="1792" t="str">
        <f t="shared" si="27"/>
        <v/>
      </c>
      <c r="K343" s="1723" t="str">
        <f>职业列表!F93</f>
        <v>教育×2＋力量或敏捷×2</v>
      </c>
      <c r="L343" s="1792" t="str">
        <f>IF(ISNUMBER(FIND(B241,K343)),B343&amp;C343&amp;"、","")</f>
        <v>91私家侦探、</v>
      </c>
      <c r="M343" s="2042" t="str">
        <f>职业列表!H93</f>
        <v>技艺（摄影），乔装，法律，图书馆，一项社交技能（取悦、话术、恐吓、说服），心理学，侦查，一项其他个人或时代特长（如计算机、锁匠、格斗、射击）。</v>
      </c>
      <c r="N343" s="1188" t="str">
        <f>IF(ISNUMBER(FIND(B239,M343)),B343&amp;C343&amp;"、","")</f>
        <v/>
      </c>
      <c r="O343" s="1704">
        <f t="shared" si="28"/>
        <v>16</v>
      </c>
      <c r="P343" s="1704">
        <f t="shared" si="29"/>
        <v>0</v>
      </c>
      <c r="Q343" s="1704">
        <f t="shared" si="30"/>
        <v>0</v>
      </c>
      <c r="R343" s="1704">
        <f t="shared" si="31"/>
        <v>0</v>
      </c>
      <c r="S343" s="1167">
        <f t="shared" si="32"/>
        <v>16</v>
      </c>
      <c r="Y343" s="1979" t="s">
        <v>3351</v>
      </c>
    </row>
    <row r="344" ht="16" spans="2:25">
      <c r="B344" s="1704">
        <f>职业列表!A94</f>
        <v>92</v>
      </c>
      <c r="C344" s="1704" t="str">
        <f>职业列表!B94</f>
        <v>教授（原作向）</v>
      </c>
      <c r="D344" s="2017">
        <f>职业列表!D94</f>
        <v>20</v>
      </c>
      <c r="E344" s="2020">
        <f>职业列表!E94</f>
        <v>70</v>
      </c>
      <c r="F344" s="2020">
        <f>IF(F251=1,IF(E244&gt;=D344,1,0),IF(E244&lt;=D344,1,0))</f>
        <v>0</v>
      </c>
      <c r="G344" s="2020">
        <f>IF(G251=1,IF(C244&gt;=E344,1,0),IF(C244&lt;=E344,1,0))</f>
        <v>0</v>
      </c>
      <c r="H344" s="1723" t="str">
        <f t="shared" si="25"/>
        <v/>
      </c>
      <c r="I344" s="1704" t="str">
        <f t="shared" si="26"/>
        <v/>
      </c>
      <c r="J344" s="1792" t="str">
        <f t="shared" si="27"/>
        <v/>
      </c>
      <c r="K344" s="1723" t="str">
        <f>职业列表!F94</f>
        <v>教育×4</v>
      </c>
      <c r="L344" s="1792" t="str">
        <f>IF(ISNUMBER(FIND(B241,K344)),B344&amp;C344&amp;"、","")</f>
        <v/>
      </c>
      <c r="M344" s="2042" t="str">
        <f>职业列表!H94</f>
        <v>图书馆，外语，母语，心理学，任意四项其他学术、时代或个人特长。</v>
      </c>
      <c r="N344" s="1188" t="str">
        <f>IF(ISNUMBER(FIND(B239,M344)),B344&amp;C344&amp;"、","")</f>
        <v/>
      </c>
      <c r="O344" s="1704">
        <f t="shared" si="28"/>
        <v>0</v>
      </c>
      <c r="P344" s="1704">
        <f t="shared" si="29"/>
        <v>0</v>
      </c>
      <c r="Q344" s="1704">
        <f t="shared" si="30"/>
        <v>0</v>
      </c>
      <c r="R344" s="1704">
        <f t="shared" si="31"/>
        <v>0</v>
      </c>
      <c r="S344" s="1167">
        <f t="shared" si="32"/>
        <v>0</v>
      </c>
      <c r="Y344" s="1979" t="s">
        <v>237</v>
      </c>
    </row>
    <row r="345" ht="46" spans="2:25">
      <c r="B345" s="1704">
        <f>职业列表!A95</f>
        <v>93</v>
      </c>
      <c r="C345" s="1704" t="str">
        <f>职业列表!B95</f>
        <v>淘金客</v>
      </c>
      <c r="D345" s="2017">
        <f>职业列表!D95</f>
        <v>0</v>
      </c>
      <c r="E345" s="2020">
        <f>职业列表!E95</f>
        <v>10</v>
      </c>
      <c r="F345" s="2020">
        <f>IF(F251=1,IF(E244&gt;=D345,1,0),IF(E244&lt;=D345,1,0))</f>
        <v>0</v>
      </c>
      <c r="G345" s="2020">
        <f>IF(G251=1,IF(C244&gt;=E345,1,0),IF(C244&lt;=E345,1,0))</f>
        <v>0</v>
      </c>
      <c r="H345" s="1723" t="str">
        <f t="shared" si="25"/>
        <v/>
      </c>
      <c r="I345" s="1704" t="str">
        <f t="shared" si="26"/>
        <v/>
      </c>
      <c r="J345" s="1792" t="str">
        <f t="shared" si="27"/>
        <v/>
      </c>
      <c r="K345" s="1723" t="str">
        <f>职业列表!F95</f>
        <v>教育×2＋力量或敏捷×2</v>
      </c>
      <c r="L345" s="1792" t="str">
        <f>IF(ISNUMBER(FIND(B241,K345)),B345&amp;C345&amp;"、","")</f>
        <v>93淘金客、</v>
      </c>
      <c r="M345" s="2042" t="str">
        <f>职业列表!H95</f>
        <v>攀爬、急救、历史、机械维修、导航、科学（地质），侦查，任意一项其他个人或时代特长。</v>
      </c>
      <c r="N345" s="1188" t="str">
        <f>IF(ISNUMBER(FIND(B239,M345)),B345&amp;C345&amp;"、","")</f>
        <v/>
      </c>
      <c r="O345" s="1704">
        <f t="shared" si="28"/>
        <v>16</v>
      </c>
      <c r="P345" s="1704">
        <f t="shared" si="29"/>
        <v>0</v>
      </c>
      <c r="Q345" s="1704">
        <f t="shared" si="30"/>
        <v>0</v>
      </c>
      <c r="R345" s="1704">
        <f t="shared" si="31"/>
        <v>0</v>
      </c>
      <c r="S345" s="1167">
        <f t="shared" si="32"/>
        <v>16</v>
      </c>
      <c r="Y345" s="1979" t="s">
        <v>3352</v>
      </c>
    </row>
    <row r="346" ht="31" spans="2:25">
      <c r="B346" s="1704">
        <f>职业列表!A96</f>
        <v>94</v>
      </c>
      <c r="C346" s="1704" t="str">
        <f>职业列表!B96</f>
        <v>性工作者</v>
      </c>
      <c r="D346" s="2017">
        <f>职业列表!D96</f>
        <v>5</v>
      </c>
      <c r="E346" s="2020">
        <f>职业列表!E96</f>
        <v>50</v>
      </c>
      <c r="F346" s="2020">
        <f>IF(F251=1,IF(E244&gt;=D346,1,0),IF(E244&lt;=D346,1,0))</f>
        <v>0</v>
      </c>
      <c r="G346" s="2020">
        <f>IF(G251=1,IF(C244&gt;=E346,1,0),IF(C244&lt;=E346,1,0))</f>
        <v>0</v>
      </c>
      <c r="H346" s="1723" t="str">
        <f t="shared" si="25"/>
        <v/>
      </c>
      <c r="I346" s="1704" t="str">
        <f t="shared" si="26"/>
        <v/>
      </c>
      <c r="J346" s="1792" t="str">
        <f t="shared" si="27"/>
        <v/>
      </c>
      <c r="K346" s="1723" t="str">
        <f>职业列表!F96</f>
        <v>教育×2＋外貌×2</v>
      </c>
      <c r="L346" s="1792" t="str">
        <f>IF(ISNUMBER(FIND(B241,K346)),B346&amp;C346&amp;"、","")</f>
        <v/>
      </c>
      <c r="M346" s="2042" t="str">
        <f>职业列表!H96</f>
        <v>技艺（任一），两项社交技能（取悦、话术、恐吓、说服），闪避，心理学，妙手，潜行，任意一项其他个人或时代特长。</v>
      </c>
      <c r="N346" s="1188" t="str">
        <f>IF(ISNUMBER(FIND(B239,M346)),B346&amp;C346&amp;"、","")</f>
        <v/>
      </c>
      <c r="O346" s="1704">
        <f t="shared" si="28"/>
        <v>0</v>
      </c>
      <c r="P346" s="1704">
        <f t="shared" si="29"/>
        <v>0</v>
      </c>
      <c r="Q346" s="1704">
        <f t="shared" si="30"/>
        <v>0</v>
      </c>
      <c r="R346" s="1704">
        <f t="shared" si="31"/>
        <v>0</v>
      </c>
      <c r="S346" s="1167">
        <f t="shared" si="32"/>
        <v>0</v>
      </c>
      <c r="Y346" s="1979" t="s">
        <v>3353</v>
      </c>
    </row>
    <row r="347" ht="16" spans="2:25">
      <c r="B347" s="1704">
        <f>职业列表!A97</f>
        <v>95</v>
      </c>
      <c r="C347" s="1704" t="str">
        <f>职业列表!B97</f>
        <v>精神病学家</v>
      </c>
      <c r="D347" s="2017">
        <f>职业列表!D97</f>
        <v>30</v>
      </c>
      <c r="E347" s="2020">
        <f>职业列表!E97</f>
        <v>80</v>
      </c>
      <c r="F347" s="2020">
        <f>IF(F251=1,IF(E244&gt;=D347,1,0),IF(E244&lt;=D347,1,0))</f>
        <v>0</v>
      </c>
      <c r="G347" s="2020">
        <f>IF(G251=1,IF(C244&gt;=E347,1,0),IF(C244&lt;=E347,1,0))</f>
        <v>0</v>
      </c>
      <c r="H347" s="1723" t="str">
        <f t="shared" si="25"/>
        <v/>
      </c>
      <c r="I347" s="1704" t="str">
        <f t="shared" si="26"/>
        <v/>
      </c>
      <c r="J347" s="1792" t="str">
        <f t="shared" si="27"/>
        <v/>
      </c>
      <c r="K347" s="1723" t="str">
        <f>职业列表!F97</f>
        <v>教育×4</v>
      </c>
      <c r="L347" s="1792" t="str">
        <f>IF(ISNUMBER(FIND(B241,K347)),B347&amp;C347&amp;"、","")</f>
        <v/>
      </c>
      <c r="M347" s="2042" t="str">
        <f>职业列表!H97</f>
        <v>外语，聆听，医学，说服，精神分析，心理学，科学（生物学，化学）。</v>
      </c>
      <c r="N347" s="1188" t="str">
        <f>IF(ISNUMBER(FIND(B239,M347)),B347&amp;C347&amp;"、","")</f>
        <v/>
      </c>
      <c r="O347" s="1704">
        <f t="shared" si="28"/>
        <v>0</v>
      </c>
      <c r="P347" s="1704">
        <f t="shared" si="29"/>
        <v>0</v>
      </c>
      <c r="Q347" s="1704">
        <f t="shared" si="30"/>
        <v>0</v>
      </c>
      <c r="R347" s="1704">
        <f t="shared" si="31"/>
        <v>0</v>
      </c>
      <c r="S347" s="1167">
        <f t="shared" si="32"/>
        <v>0</v>
      </c>
      <c r="Y347" s="1979" t="s">
        <v>237</v>
      </c>
    </row>
    <row r="348" ht="46" spans="2:25">
      <c r="B348" s="1704">
        <f>职业列表!A98</f>
        <v>96</v>
      </c>
      <c r="C348" s="1704" t="str">
        <f>职业列表!B98</f>
        <v>心理学家/精神分析学家</v>
      </c>
      <c r="D348" s="2017">
        <f>职业列表!D98</f>
        <v>10</v>
      </c>
      <c r="E348" s="2020">
        <f>职业列表!E98</f>
        <v>40</v>
      </c>
      <c r="F348" s="2020">
        <f>IF(F251=1,IF(E244&gt;=D348,1,0),IF(E244&lt;=D348,1,0))</f>
        <v>0</v>
      </c>
      <c r="G348" s="2020">
        <f>IF(G251=1,IF(C244&gt;=E348,1,0),IF(C244&lt;=E348,1,0))</f>
        <v>0</v>
      </c>
      <c r="H348" s="1723" t="str">
        <f t="shared" si="25"/>
        <v/>
      </c>
      <c r="I348" s="1704" t="str">
        <f t="shared" si="26"/>
        <v/>
      </c>
      <c r="J348" s="1792" t="str">
        <f t="shared" si="27"/>
        <v/>
      </c>
      <c r="K348" s="1723" t="str">
        <f>职业列表!F98</f>
        <v>教育×4</v>
      </c>
      <c r="L348" s="1792" t="str">
        <f>IF(ISNUMBER(FIND(B241,K348)),B348&amp;C348&amp;"、","")</f>
        <v/>
      </c>
      <c r="M348" s="2042" t="str">
        <f>职业列表!H98</f>
        <v>会计，图书馆，聆听，说服，精神分析，心理学，任意两项其他学术、个人或时代特长。</v>
      </c>
      <c r="N348" s="1188" t="str">
        <f>IF(ISNUMBER(FIND(B239,M348)),B348&amp;C348&amp;"、","")</f>
        <v/>
      </c>
      <c r="O348" s="1704">
        <f t="shared" si="28"/>
        <v>0</v>
      </c>
      <c r="P348" s="1704">
        <f t="shared" si="29"/>
        <v>0</v>
      </c>
      <c r="Q348" s="1704">
        <f t="shared" si="30"/>
        <v>0</v>
      </c>
      <c r="R348" s="1704">
        <f t="shared" si="31"/>
        <v>0</v>
      </c>
      <c r="S348" s="1167">
        <f t="shared" si="32"/>
        <v>0</v>
      </c>
      <c r="Y348" s="1979" t="s">
        <v>3354</v>
      </c>
    </row>
    <row r="349" ht="16" spans="2:25">
      <c r="B349" s="1704">
        <f>职业列表!A99</f>
        <v>97</v>
      </c>
      <c r="C349" s="1704" t="str">
        <f>职业列表!B99</f>
        <v>研究员</v>
      </c>
      <c r="D349" s="2017">
        <f>职业列表!D99</f>
        <v>9</v>
      </c>
      <c r="E349" s="2020">
        <f>职业列表!E99</f>
        <v>30</v>
      </c>
      <c r="F349" s="2020">
        <f>IF(F251=1,IF(E244&gt;=D349,1,0),IF(E244&lt;=D349,1,0))</f>
        <v>0</v>
      </c>
      <c r="G349" s="2020">
        <f>IF(G251=1,IF(C244&gt;=E349,1,0),IF(C244&lt;=E349,1,0))</f>
        <v>0</v>
      </c>
      <c r="H349" s="1723" t="str">
        <f t="shared" si="25"/>
        <v/>
      </c>
      <c r="I349" s="1704" t="str">
        <f t="shared" si="26"/>
        <v/>
      </c>
      <c r="J349" s="1792" t="str">
        <f t="shared" si="27"/>
        <v/>
      </c>
      <c r="K349" s="1723" t="str">
        <f>职业列表!F99</f>
        <v>教育×4</v>
      </c>
      <c r="L349" s="1792" t="str">
        <f>IF(ISNUMBER(FIND(B241,K349)),B349&amp;C349&amp;"、","")</f>
        <v/>
      </c>
      <c r="M349" s="2042" t="str">
        <f>职业列表!H99</f>
        <v>历史，图书馆，一项社交技能（取悦、话术、恐吓、说服），外语，侦查，任意三项其他学术领域。</v>
      </c>
      <c r="N349" s="1188" t="str">
        <f>IF(ISNUMBER(FIND(B239,M349)),B349&amp;C349&amp;"、","")</f>
        <v/>
      </c>
      <c r="O349" s="1704">
        <f t="shared" si="28"/>
        <v>0</v>
      </c>
      <c r="P349" s="1704">
        <f t="shared" si="29"/>
        <v>0</v>
      </c>
      <c r="Q349" s="1704">
        <f t="shared" si="30"/>
        <v>0</v>
      </c>
      <c r="R349" s="1704">
        <f t="shared" si="31"/>
        <v>0</v>
      </c>
      <c r="S349" s="1167">
        <f t="shared" si="32"/>
        <v>0</v>
      </c>
      <c r="Y349" s="1979" t="s">
        <v>3355</v>
      </c>
    </row>
    <row r="350" ht="16" spans="2:25">
      <c r="B350" s="1704">
        <f>职业列表!A100</f>
        <v>98</v>
      </c>
      <c r="C350" s="1704" t="str">
        <f>职业列表!B100</f>
        <v>海员-军舰海员</v>
      </c>
      <c r="D350" s="2017">
        <f>职业列表!D100</f>
        <v>9</v>
      </c>
      <c r="E350" s="2020">
        <f>职业列表!E100</f>
        <v>30</v>
      </c>
      <c r="F350" s="2020">
        <f>IF(F251=1,IF(E244&gt;=D350,1,0),IF(E244&lt;=D350,1,0))</f>
        <v>0</v>
      </c>
      <c r="G350" s="2020">
        <f>IF(G251=1,IF(C244&gt;=E350,1,0),IF(C244&lt;=E350,1,0))</f>
        <v>0</v>
      </c>
      <c r="H350" s="1723" t="str">
        <f t="shared" si="25"/>
        <v/>
      </c>
      <c r="I350" s="1704" t="str">
        <f t="shared" si="26"/>
        <v/>
      </c>
      <c r="J350" s="1792" t="str">
        <f t="shared" si="27"/>
        <v/>
      </c>
      <c r="K350" s="1723" t="str">
        <f>职业列表!F100</f>
        <v>教育×4</v>
      </c>
      <c r="L350" s="1792" t="str">
        <f>IF(ISNUMBER(FIND(B241,K350)),B350&amp;C350&amp;"、","")</f>
        <v/>
      </c>
      <c r="M350" s="2042" t="str">
        <f>职业列表!H100</f>
        <v>电工或机械维修，格斗，射击，急救，导航，驾驶（船），生存（海上），游泳。</v>
      </c>
      <c r="N350" s="1188" t="str">
        <f>IF(ISNUMBER(FIND(B239,M350)),B350&amp;C350&amp;"、","")</f>
        <v/>
      </c>
      <c r="O350" s="1704">
        <f t="shared" si="28"/>
        <v>0</v>
      </c>
      <c r="P350" s="1704">
        <f t="shared" si="29"/>
        <v>0</v>
      </c>
      <c r="Q350" s="1704">
        <f t="shared" si="30"/>
        <v>0</v>
      </c>
      <c r="R350" s="1704">
        <f t="shared" si="31"/>
        <v>0</v>
      </c>
      <c r="S350" s="1167">
        <f t="shared" si="32"/>
        <v>0</v>
      </c>
      <c r="Y350" s="1979" t="s">
        <v>3340</v>
      </c>
    </row>
    <row r="351" ht="31" spans="2:25">
      <c r="B351" s="1704">
        <f>职业列表!A101</f>
        <v>99</v>
      </c>
      <c r="C351" s="1704" t="str">
        <f>职业列表!B101</f>
        <v>海员-民船海员</v>
      </c>
      <c r="D351" s="2017">
        <f>职业列表!D101</f>
        <v>20</v>
      </c>
      <c r="E351" s="2020">
        <f>职业列表!E101</f>
        <v>40</v>
      </c>
      <c r="F351" s="2020">
        <f>IF(F251=1,IF(E244&gt;=D351,1,0),IF(E244&lt;=D351,1,0))</f>
        <v>0</v>
      </c>
      <c r="G351" s="2020">
        <f>IF(G251=1,IF(C244&gt;=E351,1,0),IF(C244&lt;=E351,1,0))</f>
        <v>0</v>
      </c>
      <c r="H351" s="1723" t="str">
        <f t="shared" si="25"/>
        <v/>
      </c>
      <c r="I351" s="1704" t="str">
        <f t="shared" si="26"/>
        <v/>
      </c>
      <c r="J351" s="1792" t="str">
        <f t="shared" si="27"/>
        <v/>
      </c>
      <c r="K351" s="1723" t="str">
        <f>职业列表!F101</f>
        <v>教育×4</v>
      </c>
      <c r="L351" s="1792" t="str">
        <f>IF(ISNUMBER(FIND(B241,K351)),B351&amp;C351&amp;"、","")</f>
        <v/>
      </c>
      <c r="M351" s="2042" t="str">
        <f>职业列表!H101</f>
        <v>急救，机械维修，自然，导航，一项社交技能（取悦、话术、恐吓、说服），驾驶（船），侦查，游泳。</v>
      </c>
      <c r="N351" s="1188" t="str">
        <f>IF(ISNUMBER(FIND(B239,M351)),B351&amp;C351&amp;"、","")</f>
        <v/>
      </c>
      <c r="O351" s="1704">
        <f t="shared" si="28"/>
        <v>0</v>
      </c>
      <c r="P351" s="1704">
        <f t="shared" si="29"/>
        <v>0</v>
      </c>
      <c r="Q351" s="1704">
        <f t="shared" si="30"/>
        <v>0</v>
      </c>
      <c r="R351" s="1704">
        <f t="shared" si="31"/>
        <v>0</v>
      </c>
      <c r="S351" s="1167">
        <f t="shared" si="32"/>
        <v>0</v>
      </c>
      <c r="Y351" s="1979" t="s">
        <v>3356</v>
      </c>
    </row>
    <row r="352" ht="31" spans="2:25">
      <c r="B352" s="1704">
        <f>职业列表!A102</f>
        <v>100</v>
      </c>
      <c r="C352" s="1704" t="str">
        <f>职业列表!B102</f>
        <v>推销员</v>
      </c>
      <c r="D352" s="2017">
        <f>职业列表!D102</f>
        <v>9</v>
      </c>
      <c r="E352" s="2020">
        <f>职业列表!E102</f>
        <v>40</v>
      </c>
      <c r="F352" s="2020">
        <f>IF(F251=1,IF(E244&gt;=D352,1,0),IF(E244&lt;=D352,1,0))</f>
        <v>0</v>
      </c>
      <c r="G352" s="2020">
        <f>IF(G251=1,IF(C244&gt;=E352,1,0),IF(C244&lt;=E352,1,0))</f>
        <v>0</v>
      </c>
      <c r="H352" s="1723" t="str">
        <f t="shared" si="25"/>
        <v/>
      </c>
      <c r="I352" s="1704" t="str">
        <f t="shared" si="26"/>
        <v/>
      </c>
      <c r="J352" s="1792" t="str">
        <f t="shared" si="27"/>
        <v/>
      </c>
      <c r="K352" s="1723" t="str">
        <f>职业列表!F102</f>
        <v>教育×2＋外貌×2</v>
      </c>
      <c r="L352" s="1792" t="str">
        <f>IF(ISNUMBER(FIND(B241,K352)),B352&amp;C352&amp;"、","")</f>
        <v/>
      </c>
      <c r="M352" s="2042" t="str">
        <f>职业列表!H102</f>
        <v>会计，两项社交技能（取悦、话术、恐吓、说服），汽车驾驶，聆听，心理学，潜行或妙手，一项其他技能。</v>
      </c>
      <c r="N352" s="1188" t="str">
        <f>IF(ISNUMBER(FIND(B239,M352)),B352&amp;C352&amp;"、","")</f>
        <v/>
      </c>
      <c r="O352" s="1704">
        <f t="shared" si="28"/>
        <v>0</v>
      </c>
      <c r="P352" s="1704">
        <f t="shared" si="29"/>
        <v>0</v>
      </c>
      <c r="Q352" s="1704">
        <f t="shared" si="30"/>
        <v>0</v>
      </c>
      <c r="R352" s="1704">
        <f t="shared" si="31"/>
        <v>0</v>
      </c>
      <c r="S352" s="1167">
        <f t="shared" si="32"/>
        <v>0</v>
      </c>
      <c r="Y352" s="1979" t="s">
        <v>3357</v>
      </c>
    </row>
    <row r="353" ht="16" spans="2:25">
      <c r="B353" s="1704">
        <f>职业列表!A103</f>
        <v>101</v>
      </c>
      <c r="C353" s="1704" t="str">
        <f>职业列表!B103</f>
        <v>科学家</v>
      </c>
      <c r="D353" s="2017">
        <f>职业列表!D103</f>
        <v>9</v>
      </c>
      <c r="E353" s="2020">
        <f>职业列表!E103</f>
        <v>50</v>
      </c>
      <c r="F353" s="2020">
        <f>IF(F251=1,IF(E244&gt;=D353,1,0),IF(E244&lt;=D353,1,0))</f>
        <v>0</v>
      </c>
      <c r="G353" s="2020">
        <f>IF(G251=1,IF(C244&gt;=E353,1,0),IF(C244&lt;=E353,1,0))</f>
        <v>0</v>
      </c>
      <c r="H353" s="1723" t="str">
        <f t="shared" si="25"/>
        <v/>
      </c>
      <c r="I353" s="1704" t="str">
        <f t="shared" si="26"/>
        <v/>
      </c>
      <c r="J353" s="1792" t="str">
        <f t="shared" si="27"/>
        <v/>
      </c>
      <c r="K353" s="1723" t="str">
        <f>职业列表!F103</f>
        <v>教育×4</v>
      </c>
      <c r="L353" s="1792" t="str">
        <f>IF(ISNUMBER(FIND(B241,K353)),B353&amp;C353&amp;"、","")</f>
        <v/>
      </c>
      <c r="M353" s="2042" t="str">
        <f>职业列表!H103</f>
        <v>任意三项科学专业领域，计算机或图书馆，外语，母语，一项社交技能（取悦、话术、恐吓、说服），侦查。</v>
      </c>
      <c r="N353" s="1188" t="str">
        <f>IF(ISNUMBER(FIND(B239,M353)),B353&amp;C353&amp;"、","")</f>
        <v/>
      </c>
      <c r="O353" s="1704">
        <f t="shared" si="28"/>
        <v>0</v>
      </c>
      <c r="P353" s="1704">
        <f t="shared" si="29"/>
        <v>0</v>
      </c>
      <c r="Q353" s="1704">
        <f t="shared" si="30"/>
        <v>0</v>
      </c>
      <c r="R353" s="1704">
        <f t="shared" si="31"/>
        <v>0</v>
      </c>
      <c r="S353" s="1167">
        <f t="shared" si="32"/>
        <v>0</v>
      </c>
      <c r="Y353" s="1979" t="s">
        <v>237</v>
      </c>
    </row>
    <row r="354" ht="46" spans="2:25">
      <c r="B354" s="1704">
        <f>职业列表!A104</f>
        <v>102</v>
      </c>
      <c r="C354" s="1704" t="str">
        <f>职业列表!B104</f>
        <v>秘书</v>
      </c>
      <c r="D354" s="2017">
        <f>职业列表!D104</f>
        <v>9</v>
      </c>
      <c r="E354" s="2020">
        <f>职业列表!E104</f>
        <v>30</v>
      </c>
      <c r="F354" s="2020">
        <f>IF(F251=1,IF(E244&gt;=D354,1,0),IF(E244&lt;=D354,1,0))</f>
        <v>0</v>
      </c>
      <c r="G354" s="2020">
        <f>IF(G251=1,IF(C244&gt;=E354,1,0),IF(C244&lt;=E354,1,0))</f>
        <v>0</v>
      </c>
      <c r="H354" s="1723" t="str">
        <f t="shared" si="25"/>
        <v/>
      </c>
      <c r="I354" s="1704" t="str">
        <f t="shared" si="26"/>
        <v/>
      </c>
      <c r="J354" s="1792" t="str">
        <f t="shared" si="27"/>
        <v/>
      </c>
      <c r="K354" s="1723" t="str">
        <f>职业列表!F104</f>
        <v>教育×2＋敏捷或外貌×2</v>
      </c>
      <c r="L354" s="1792" t="str">
        <f>IF(ISNUMBER(FIND(B241,K354)),B354&amp;C354&amp;"、","")</f>
        <v/>
      </c>
      <c r="M354" s="2042" t="str">
        <f>职业列表!H104</f>
        <v>会计，技艺（打字或速记），两项社交技能（取悦、话术、恐吓、说服），母语，图书馆或计算机，心理学，任意一项其他个人或时代特长。</v>
      </c>
      <c r="N354" s="1188" t="str">
        <f>IF(ISNUMBER(FIND(B239,M354)),B354&amp;C354&amp;"、","")</f>
        <v/>
      </c>
      <c r="O354" s="1704">
        <f t="shared" si="28"/>
        <v>0</v>
      </c>
      <c r="P354" s="1704">
        <f t="shared" si="29"/>
        <v>0</v>
      </c>
      <c r="Q354" s="1704">
        <f t="shared" si="30"/>
        <v>0</v>
      </c>
      <c r="R354" s="1704">
        <f t="shared" si="31"/>
        <v>0</v>
      </c>
      <c r="S354" s="1167">
        <f t="shared" si="32"/>
        <v>0</v>
      </c>
      <c r="Y354" s="1979" t="s">
        <v>3358</v>
      </c>
    </row>
    <row r="355" ht="16" spans="2:25">
      <c r="B355" s="1704">
        <f>职业列表!A105</f>
        <v>103</v>
      </c>
      <c r="C355" s="1704" t="str">
        <f>职业列表!B105</f>
        <v>店老板</v>
      </c>
      <c r="D355" s="2017">
        <f>职业列表!D105</f>
        <v>20</v>
      </c>
      <c r="E355" s="2020">
        <f>职业列表!E105</f>
        <v>40</v>
      </c>
      <c r="F355" s="2020">
        <f>IF(F251=1,IF(E244&gt;=D355,1,0),IF(E244&lt;=D355,1,0))</f>
        <v>0</v>
      </c>
      <c r="G355" s="2020">
        <f>IF(G251=1,IF(C244&gt;=E355,1,0),IF(C244&lt;=E355,1,0))</f>
        <v>0</v>
      </c>
      <c r="H355" s="1723" t="str">
        <f t="shared" si="25"/>
        <v/>
      </c>
      <c r="I355" s="1704" t="str">
        <f t="shared" si="26"/>
        <v/>
      </c>
      <c r="J355" s="1792" t="str">
        <f t="shared" si="27"/>
        <v/>
      </c>
      <c r="K355" s="1723" t="str">
        <f>职业列表!F105</f>
        <v>教育×2＋外貌或敏捷×2</v>
      </c>
      <c r="L355" s="1792" t="str">
        <f>IF(ISNUMBER(FIND(B241,K355)),B355&amp;C355&amp;"、","")</f>
        <v/>
      </c>
      <c r="M355" s="2042" t="str">
        <f>职业列表!H105</f>
        <v>会计，两项社交技能（取悦、话术、恐吓、说服），电气维修，聆听，机械维修，心理学，侦查。</v>
      </c>
      <c r="N355" s="1188" t="str">
        <f>IF(ISNUMBER(FIND(B239,M355)),B355&amp;C355&amp;"、","")</f>
        <v/>
      </c>
      <c r="O355" s="1704">
        <f t="shared" si="28"/>
        <v>0</v>
      </c>
      <c r="P355" s="1704">
        <f t="shared" si="29"/>
        <v>0</v>
      </c>
      <c r="Q355" s="1704">
        <f t="shared" si="30"/>
        <v>0</v>
      </c>
      <c r="R355" s="1704">
        <f t="shared" si="31"/>
        <v>0</v>
      </c>
      <c r="S355" s="1167">
        <f t="shared" si="32"/>
        <v>0</v>
      </c>
      <c r="Y355" s="1979" t="s">
        <v>3359</v>
      </c>
    </row>
    <row r="356" ht="31" spans="2:25">
      <c r="B356" s="1704">
        <f>职业列表!A106</f>
        <v>104</v>
      </c>
      <c r="C356" s="1704" t="str">
        <f>职业列表!B106</f>
        <v>士兵/海军陆战队士兵</v>
      </c>
      <c r="D356" s="2017">
        <f>职业列表!D106</f>
        <v>9</v>
      </c>
      <c r="E356" s="2020">
        <f>职业列表!E106</f>
        <v>30</v>
      </c>
      <c r="F356" s="2020">
        <f>IF(F251=1,IF(E244&gt;=D356,1,0),IF(E244&lt;=D356,1,0))</f>
        <v>0</v>
      </c>
      <c r="G356" s="2020">
        <f>IF(G251=1,IF(C244&gt;=E356,1,0),IF(C244&lt;=E356,1,0))</f>
        <v>0</v>
      </c>
      <c r="H356" s="1723" t="str">
        <f t="shared" si="25"/>
        <v/>
      </c>
      <c r="I356" s="1704" t="str">
        <f t="shared" si="26"/>
        <v/>
      </c>
      <c r="J356" s="1792" t="str">
        <f t="shared" si="27"/>
        <v/>
      </c>
      <c r="K356" s="1723" t="str">
        <f>职业列表!F106</f>
        <v>教育×2＋力量或敏捷×2</v>
      </c>
      <c r="L356" s="1792" t="str">
        <f>IF(ISNUMBER(FIND(B241,K356)),B356&amp;C356&amp;"、","")</f>
        <v>104士兵/海军陆战队士兵、</v>
      </c>
      <c r="M356" s="2042" t="str">
        <f>职业列表!H106</f>
        <v>攀爬或游泳，闪避，格斗，射击，潜行，生存，下面任选两项：急救、机械维修、外语。</v>
      </c>
      <c r="N356" s="1188" t="str">
        <f>IF(ISNUMBER(FIND(B239,M356)),B356&amp;C356&amp;"、","")</f>
        <v/>
      </c>
      <c r="O356" s="1704">
        <f t="shared" si="28"/>
        <v>16</v>
      </c>
      <c r="P356" s="1704">
        <f t="shared" si="29"/>
        <v>0</v>
      </c>
      <c r="Q356" s="1704">
        <f t="shared" si="30"/>
        <v>0</v>
      </c>
      <c r="R356" s="1704">
        <f t="shared" si="31"/>
        <v>0</v>
      </c>
      <c r="S356" s="1167">
        <f t="shared" si="32"/>
        <v>16</v>
      </c>
      <c r="Y356" s="1979" t="s">
        <v>3360</v>
      </c>
    </row>
    <row r="357" ht="16" spans="2:25">
      <c r="B357" s="1704">
        <f>职业列表!A107</f>
        <v>105</v>
      </c>
      <c r="C357" s="1704" t="str">
        <f>职业列表!B107</f>
        <v>间谍</v>
      </c>
      <c r="D357" s="2017">
        <f>职业列表!D107</f>
        <v>20</v>
      </c>
      <c r="E357" s="2020">
        <f>职业列表!E107</f>
        <v>60</v>
      </c>
      <c r="F357" s="2020">
        <f>IF(F251=1,IF(E244&gt;=D357,1,0),IF(E244&lt;=D357,1,0))</f>
        <v>0</v>
      </c>
      <c r="G357" s="2020">
        <f>IF(G251=1,IF(C244&gt;=E357,1,0),IF(C244&lt;=E357,1,0))</f>
        <v>0</v>
      </c>
      <c r="H357" s="1723" t="str">
        <f t="shared" si="25"/>
        <v/>
      </c>
      <c r="I357" s="1704" t="str">
        <f t="shared" si="26"/>
        <v/>
      </c>
      <c r="J357" s="1792" t="str">
        <f t="shared" si="27"/>
        <v/>
      </c>
      <c r="K357" s="1723" t="str">
        <f>职业列表!F107</f>
        <v>教育×2＋外貌或敏捷×2</v>
      </c>
      <c r="L357" s="1792" t="str">
        <f>IF(ISNUMBER(FIND(B241,K357)),B357&amp;C357&amp;"、","")</f>
        <v/>
      </c>
      <c r="M357" s="2042" t="str">
        <f>职业列表!H107</f>
        <v>技艺（表演）或乔装，射击，聆听，外语，一项社交技能（取悦、话术、恐吓、说服），心理学，妙手，潜行。</v>
      </c>
      <c r="N357" s="1188" t="str">
        <f>IF(ISNUMBER(FIND(B239,M357)),B357&amp;C357&amp;"、","")</f>
        <v/>
      </c>
      <c r="O357" s="1704">
        <f t="shared" si="28"/>
        <v>0</v>
      </c>
      <c r="P357" s="1704">
        <f t="shared" si="29"/>
        <v>0</v>
      </c>
      <c r="Q357" s="1704">
        <f t="shared" si="30"/>
        <v>0</v>
      </c>
      <c r="R357" s="1704">
        <f t="shared" si="31"/>
        <v>0</v>
      </c>
      <c r="S357" s="1167">
        <f t="shared" si="32"/>
        <v>0</v>
      </c>
      <c r="Y357" s="1979" t="s">
        <v>237</v>
      </c>
    </row>
    <row r="358" ht="16" spans="2:25">
      <c r="B358" s="1704">
        <f>职业列表!A108</f>
        <v>106</v>
      </c>
      <c r="C358" s="1704" t="str">
        <f>职业列表!B108</f>
        <v>学生/实习生</v>
      </c>
      <c r="D358" s="2017">
        <f>职业列表!D108</f>
        <v>5</v>
      </c>
      <c r="E358" s="2020">
        <f>职业列表!E108</f>
        <v>10</v>
      </c>
      <c r="F358" s="2020">
        <f>IF(F251=1,IF(E244&gt;=D358,1,0),IF(E244&lt;=D358,1,0))</f>
        <v>0</v>
      </c>
      <c r="G358" s="2020">
        <f>IF(G251=1,IF(C244&gt;=E358,1,0),IF(C244&lt;=E358,1,0))</f>
        <v>0</v>
      </c>
      <c r="H358" s="1723" t="str">
        <f t="shared" si="25"/>
        <v/>
      </c>
      <c r="I358" s="1704" t="str">
        <f t="shared" si="26"/>
        <v/>
      </c>
      <c r="J358" s="1792" t="str">
        <f t="shared" si="27"/>
        <v/>
      </c>
      <c r="K358" s="1723" t="str">
        <f>职业列表!F108</f>
        <v>教育×4</v>
      </c>
      <c r="L358" s="1792" t="str">
        <f>IF(ISNUMBER(FIND(B241,K358)),B358&amp;C358&amp;"、","")</f>
        <v/>
      </c>
      <c r="M358" s="2042" t="str">
        <f>职业列表!H108</f>
        <v>语言（母语或外语），图书馆，聆听，三个学习的专业，任意两项其他个人或时代特长。</v>
      </c>
      <c r="N358" s="1188" t="str">
        <f>IF(ISNUMBER(FIND(B239,M358)),B358&amp;C358&amp;"、","")</f>
        <v/>
      </c>
      <c r="O358" s="1704">
        <f t="shared" si="28"/>
        <v>0</v>
      </c>
      <c r="P358" s="1704">
        <f t="shared" si="29"/>
        <v>0</v>
      </c>
      <c r="Q358" s="1704">
        <f t="shared" si="30"/>
        <v>0</v>
      </c>
      <c r="R358" s="1704">
        <f t="shared" si="31"/>
        <v>0</v>
      </c>
      <c r="S358" s="1167">
        <f t="shared" si="32"/>
        <v>0</v>
      </c>
      <c r="Y358" s="1979" t="s">
        <v>3361</v>
      </c>
    </row>
    <row r="359" ht="46" spans="2:25">
      <c r="B359" s="1704">
        <f>职业列表!A109</f>
        <v>107</v>
      </c>
      <c r="C359" s="1704" t="str">
        <f>职业列表!B109</f>
        <v>替身演员</v>
      </c>
      <c r="D359" s="2017">
        <f>职业列表!D109</f>
        <v>10</v>
      </c>
      <c r="E359" s="2020">
        <f>职业列表!E109</f>
        <v>50</v>
      </c>
      <c r="F359" s="2020">
        <f>IF(F251=1,IF(E244&gt;=D359,1,0),IF(E244&lt;=D359,1,0))</f>
        <v>0</v>
      </c>
      <c r="G359" s="2020">
        <f>IF(G251=1,IF(C244&gt;=E359,1,0),IF(C244&lt;=E359,1,0))</f>
        <v>0</v>
      </c>
      <c r="H359" s="1723" t="str">
        <f t="shared" si="25"/>
        <v/>
      </c>
      <c r="I359" s="1704" t="str">
        <f t="shared" si="26"/>
        <v/>
      </c>
      <c r="J359" s="1792" t="str">
        <f t="shared" si="27"/>
        <v/>
      </c>
      <c r="K359" s="1723" t="str">
        <f>职业列表!F109</f>
        <v>教育×2＋力量或敏捷×2</v>
      </c>
      <c r="L359" s="1792" t="str">
        <f>IF(ISNUMBER(FIND(B241,K359)),B359&amp;C359&amp;"、","")</f>
        <v>107替身演员、</v>
      </c>
      <c r="M359" s="2042" t="str">
        <f>职业列表!H109</f>
        <v>攀爬，闪避，电气维修或机械维修，格斗，急救，跳跃，游泳，下面任选一项：潜水、汽车驾驶、驾驶（任一），骑乘。</v>
      </c>
      <c r="N359" s="1188" t="str">
        <f>IF(ISNUMBER(FIND(B239,M359)),B359&amp;C359&amp;"、","")</f>
        <v/>
      </c>
      <c r="O359" s="1704">
        <f t="shared" si="28"/>
        <v>16</v>
      </c>
      <c r="P359" s="1704">
        <f t="shared" si="29"/>
        <v>0</v>
      </c>
      <c r="Q359" s="1704">
        <f t="shared" si="30"/>
        <v>0</v>
      </c>
      <c r="R359" s="1704">
        <f t="shared" si="31"/>
        <v>0</v>
      </c>
      <c r="S359" s="1167">
        <f t="shared" si="32"/>
        <v>16</v>
      </c>
      <c r="Y359" s="1979" t="s">
        <v>3362</v>
      </c>
    </row>
    <row r="360" ht="46" spans="2:25">
      <c r="B360" s="1704">
        <f>职业列表!A110</f>
        <v>108</v>
      </c>
      <c r="C360" s="1704" t="str">
        <f>职业列表!B110</f>
        <v>部落成员</v>
      </c>
      <c r="D360" s="2017">
        <f>职业列表!D110</f>
        <v>0</v>
      </c>
      <c r="E360" s="2020">
        <f>职业列表!E110</f>
        <v>15</v>
      </c>
      <c r="F360" s="2020">
        <f>IF(F251=1,IF(E244&gt;=D360,1,0),IF(E244&lt;=D360,1,0))</f>
        <v>0</v>
      </c>
      <c r="G360" s="2020">
        <f>IF(G251=1,IF(C244&gt;=E360,1,0),IF(C244&lt;=E360,1,0))</f>
        <v>0</v>
      </c>
      <c r="H360" s="1723" t="str">
        <f t="shared" si="25"/>
        <v/>
      </c>
      <c r="I360" s="1704" t="str">
        <f t="shared" si="26"/>
        <v/>
      </c>
      <c r="J360" s="1792" t="str">
        <f t="shared" si="27"/>
        <v/>
      </c>
      <c r="K360" s="1723" t="str">
        <f>职业列表!F110</f>
        <v>教育×2＋力量或敏捷×2</v>
      </c>
      <c r="L360" s="1792" t="str">
        <f>IF(ISNUMBER(FIND(B241,K360)),B360&amp;C360&amp;"、","")</f>
        <v>108部落成员、</v>
      </c>
      <c r="M360" s="2042" t="str">
        <f>职业列表!H110</f>
        <v>攀爬，格斗或投掷，聆听，自然，神秘学，侦查，游泳，生存（任一）。</v>
      </c>
      <c r="N360" s="1188" t="str">
        <f>IF(ISNUMBER(FIND(B239,M360)),B360&amp;C360&amp;"、","")</f>
        <v/>
      </c>
      <c r="O360" s="1704">
        <f t="shared" si="28"/>
        <v>16</v>
      </c>
      <c r="P360" s="1704">
        <f t="shared" si="29"/>
        <v>0</v>
      </c>
      <c r="Q360" s="1704">
        <f t="shared" si="30"/>
        <v>0</v>
      </c>
      <c r="R360" s="1704">
        <f t="shared" si="31"/>
        <v>0</v>
      </c>
      <c r="S360" s="1167">
        <f t="shared" si="32"/>
        <v>16</v>
      </c>
      <c r="Y360" s="1979" t="s">
        <v>3363</v>
      </c>
    </row>
    <row r="361" ht="46" spans="2:25">
      <c r="B361" s="1704">
        <f>职业列表!A111</f>
        <v>109</v>
      </c>
      <c r="C361" s="1704" t="str">
        <f>职业列表!B111</f>
        <v>殡葬师</v>
      </c>
      <c r="D361" s="2017">
        <f>职业列表!D111</f>
        <v>20</v>
      </c>
      <c r="E361" s="2020">
        <f>职业列表!E111</f>
        <v>40</v>
      </c>
      <c r="F361" s="2020">
        <f>IF(F251=1,IF(E244&gt;=D361,1,0),IF(E244&lt;=D361,1,0))</f>
        <v>0</v>
      </c>
      <c r="G361" s="2020">
        <f>IF(G251=1,IF(C244&gt;=E361,1,0),IF(C244&lt;=E361,1,0))</f>
        <v>0</v>
      </c>
      <c r="H361" s="1723" t="str">
        <f t="shared" si="25"/>
        <v/>
      </c>
      <c r="I361" s="1704" t="str">
        <f t="shared" si="26"/>
        <v/>
      </c>
      <c r="J361" s="1792" t="str">
        <f t="shared" si="27"/>
        <v/>
      </c>
      <c r="K361" s="1723" t="str">
        <f>职业列表!F111</f>
        <v>教育×4</v>
      </c>
      <c r="L361" s="1792" t="str">
        <f>IF(ISNUMBER(FIND(B241,K361)),B361&amp;C361&amp;"、","")</f>
        <v/>
      </c>
      <c r="M361" s="2042" t="str">
        <f>职业列表!H111</f>
        <v>会计，汽车驾驶，一项社交技能（取悦、话术、恐吓、说服），历史，神秘学，心理学，科学（生物学，化学）。</v>
      </c>
      <c r="N361" s="1188" t="str">
        <f>IF(ISNUMBER(FIND(B239,M361)),B361&amp;C361&amp;"、","")</f>
        <v/>
      </c>
      <c r="O361" s="1704">
        <f t="shared" si="28"/>
        <v>0</v>
      </c>
      <c r="P361" s="1704">
        <f t="shared" si="29"/>
        <v>0</v>
      </c>
      <c r="Q361" s="1704">
        <f t="shared" si="30"/>
        <v>0</v>
      </c>
      <c r="R361" s="1704">
        <f t="shared" si="31"/>
        <v>0</v>
      </c>
      <c r="S361" s="1167">
        <f t="shared" si="32"/>
        <v>0</v>
      </c>
      <c r="Y361" s="1979" t="s">
        <v>3364</v>
      </c>
    </row>
    <row r="362" ht="16" spans="2:25">
      <c r="B362" s="1704">
        <f>职业列表!A112</f>
        <v>110</v>
      </c>
      <c r="C362" s="1704" t="str">
        <f>职业列表!B112</f>
        <v>工会活动家</v>
      </c>
      <c r="D362" s="2017">
        <f>职业列表!D112</f>
        <v>5</v>
      </c>
      <c r="E362" s="2020">
        <f>职业列表!E112</f>
        <v>50</v>
      </c>
      <c r="F362" s="2020">
        <f>IF(F251=1,IF(E244&gt;=D362,1,0),IF(E244&lt;=D362,1,0))</f>
        <v>0</v>
      </c>
      <c r="G362" s="2020">
        <f>IF(G251=1,IF(C244&gt;=E362,1,0),IF(C244&lt;=E362,1,0))</f>
        <v>0</v>
      </c>
      <c r="H362" s="1723" t="str">
        <f t="shared" si="25"/>
        <v/>
      </c>
      <c r="I362" s="1704" t="str">
        <f t="shared" si="26"/>
        <v/>
      </c>
      <c r="J362" s="1792" t="str">
        <f t="shared" si="27"/>
        <v/>
      </c>
      <c r="K362" s="1723" t="str">
        <f>职业列表!F112</f>
        <v>教育×4</v>
      </c>
      <c r="L362" s="1792" t="str">
        <f>IF(ISNUMBER(FIND(B241,K362)),B362&amp;C362&amp;"、","")</f>
        <v/>
      </c>
      <c r="M362" s="2042" t="str">
        <f>职业列表!H112</f>
        <v>会计，两项社交技能（取悦、话术、恐吓、说服），格斗（斗殴），法律，聆听，操作重型机械，心理学。</v>
      </c>
      <c r="N362" s="1188" t="str">
        <f>IF(ISNUMBER(FIND(B239,M362)),B362&amp;C362&amp;"、","")</f>
        <v/>
      </c>
      <c r="O362" s="1704">
        <f t="shared" si="28"/>
        <v>0</v>
      </c>
      <c r="P362" s="1704">
        <f t="shared" si="29"/>
        <v>0</v>
      </c>
      <c r="Q362" s="1704">
        <f t="shared" si="30"/>
        <v>0</v>
      </c>
      <c r="R362" s="1704">
        <f t="shared" si="31"/>
        <v>0</v>
      </c>
      <c r="S362" s="1167">
        <f t="shared" si="32"/>
        <v>0</v>
      </c>
      <c r="Y362" s="1979" t="s">
        <v>237</v>
      </c>
    </row>
    <row r="363" ht="16" spans="2:25">
      <c r="B363" s="1704">
        <f>职业列表!A113</f>
        <v>111</v>
      </c>
      <c r="C363" s="1704" t="str">
        <f>职业列表!B113</f>
        <v>服务生</v>
      </c>
      <c r="D363" s="2017">
        <f>职业列表!D113</f>
        <v>9</v>
      </c>
      <c r="E363" s="2020">
        <f>职业列表!E113</f>
        <v>20</v>
      </c>
      <c r="F363" s="2020">
        <f>IF(F251=1,IF(E244&gt;=D363,1,0),IF(E244&lt;=D363,1,0))</f>
        <v>0</v>
      </c>
      <c r="G363" s="2020">
        <f>IF(G251=1,IF(C244&gt;=E363,1,0),IF(C244&lt;=E363,1,0))</f>
        <v>0</v>
      </c>
      <c r="H363" s="1723" t="str">
        <f t="shared" si="25"/>
        <v/>
      </c>
      <c r="I363" s="1704" t="str">
        <f t="shared" si="26"/>
        <v/>
      </c>
      <c r="J363" s="1792" t="str">
        <f t="shared" si="27"/>
        <v/>
      </c>
      <c r="K363" s="1723" t="str">
        <f>职业列表!F113</f>
        <v>教育×2＋外貌或敏捷×2</v>
      </c>
      <c r="L363" s="1792" t="str">
        <f>IF(ISNUMBER(FIND(B241,K363)),B363&amp;C363&amp;"、","")</f>
        <v/>
      </c>
      <c r="M363" s="2042" t="str">
        <f>职业列表!H113</f>
        <v>会计，技艺（任一），闪避，聆听，两项社交技能（取悦、话术、恐吓、说服），心理学，任意一项其他个人或时代特长。</v>
      </c>
      <c r="N363" s="1188" t="str">
        <f>IF(ISNUMBER(FIND(B239,M363)),B363&amp;C363&amp;"、","")</f>
        <v/>
      </c>
      <c r="O363" s="1704">
        <f t="shared" si="28"/>
        <v>0</v>
      </c>
      <c r="P363" s="1704">
        <f t="shared" si="29"/>
        <v>0</v>
      </c>
      <c r="Q363" s="1704">
        <f t="shared" si="30"/>
        <v>0</v>
      </c>
      <c r="R363" s="1704">
        <f t="shared" si="31"/>
        <v>0</v>
      </c>
      <c r="S363" s="1167">
        <f t="shared" si="32"/>
        <v>0</v>
      </c>
      <c r="Y363" s="1979" t="s">
        <v>3365</v>
      </c>
    </row>
    <row r="364" ht="31" spans="2:25">
      <c r="B364" s="1704">
        <f>职业列表!A114</f>
        <v>112</v>
      </c>
      <c r="C364" s="1704" t="str">
        <f>职业列表!B114</f>
        <v>白领工人-职员/主管</v>
      </c>
      <c r="D364" s="2017">
        <f>职业列表!D114</f>
        <v>9</v>
      </c>
      <c r="E364" s="2020">
        <f>职业列表!E114</f>
        <v>20</v>
      </c>
      <c r="F364" s="2020">
        <f>IF(F251=1,IF(E244&gt;=D364,1,0),IF(E244&lt;=D364,1,0))</f>
        <v>0</v>
      </c>
      <c r="G364" s="2020">
        <f>IF(G251=1,IF(C244&gt;=E364,1,0),IF(C244&lt;=E364,1,0))</f>
        <v>0</v>
      </c>
      <c r="H364" s="1723" t="str">
        <f t="shared" si="25"/>
        <v/>
      </c>
      <c r="I364" s="1704" t="str">
        <f t="shared" si="26"/>
        <v/>
      </c>
      <c r="J364" s="1792" t="str">
        <f t="shared" si="27"/>
        <v/>
      </c>
      <c r="K364" s="1723" t="str">
        <f>职业列表!F114</f>
        <v>教育×4</v>
      </c>
      <c r="L364" s="1792" t="str">
        <f>IF(ISNUMBER(FIND(B241,K364)),B364&amp;C364&amp;"、","")</f>
        <v/>
      </c>
      <c r="M364" s="2042" t="str">
        <f>职业列表!H114</f>
        <v>会计，语言，法律，图书馆或计算机，聆听，一项社交技能（取悦、话术、恐吓、说服），任意两项其他个人或时代特长。</v>
      </c>
      <c r="N364" s="1188" t="str">
        <f>IF(ISNUMBER(FIND(B239,M364)),B364&amp;C364&amp;"、","")</f>
        <v/>
      </c>
      <c r="O364" s="1704">
        <f t="shared" si="28"/>
        <v>0</v>
      </c>
      <c r="P364" s="1704">
        <f t="shared" si="29"/>
        <v>0</v>
      </c>
      <c r="Q364" s="1704">
        <f t="shared" si="30"/>
        <v>0</v>
      </c>
      <c r="R364" s="1704">
        <f t="shared" si="31"/>
        <v>0</v>
      </c>
      <c r="S364" s="1167">
        <f t="shared" si="32"/>
        <v>0</v>
      </c>
      <c r="Y364" s="1979" t="s">
        <v>3366</v>
      </c>
    </row>
    <row r="365" ht="46" spans="2:25">
      <c r="B365" s="1704">
        <f>职业列表!A115</f>
        <v>113</v>
      </c>
      <c r="C365" s="1704" t="str">
        <f>职业列表!B115</f>
        <v>白领工人-中高层管理人员</v>
      </c>
      <c r="D365" s="2017">
        <f>职业列表!D115</f>
        <v>20</v>
      </c>
      <c r="E365" s="2020">
        <f>职业列表!E115</f>
        <v>80</v>
      </c>
      <c r="F365" s="2020">
        <f>IF(F251=1,IF(E244&gt;=D365,1,0),IF(E244&lt;=D365,1,0))</f>
        <v>0</v>
      </c>
      <c r="G365" s="2020">
        <f>IF(G251=1,IF(C244&gt;=E365,1,0),IF(C244&lt;=E365,1,0))</f>
        <v>0</v>
      </c>
      <c r="H365" s="1723" t="str">
        <f t="shared" si="25"/>
        <v/>
      </c>
      <c r="I365" s="1704" t="str">
        <f t="shared" si="26"/>
        <v/>
      </c>
      <c r="J365" s="1792" t="str">
        <f t="shared" si="27"/>
        <v/>
      </c>
      <c r="K365" s="1723" t="str">
        <f>职业列表!F115</f>
        <v>教育×4</v>
      </c>
      <c r="L365" s="1792" t="str">
        <f>IF(ISNUMBER(FIND(B241,K365)),B365&amp;C365&amp;"、","")</f>
        <v/>
      </c>
      <c r="M365" s="2042" t="str">
        <f>职业列表!H115</f>
        <v>会计，外语，法律，两项社交技能（取悦、话术、恐吓、说服），心理学，任意两项其他个人或时代特长。</v>
      </c>
      <c r="N365" s="1188" t="str">
        <f>IF(ISNUMBER(FIND(B239,M365)),B365&amp;C365&amp;"、","")</f>
        <v/>
      </c>
      <c r="O365" s="1704">
        <f t="shared" si="28"/>
        <v>0</v>
      </c>
      <c r="P365" s="1704">
        <f t="shared" si="29"/>
        <v>0</v>
      </c>
      <c r="Q365" s="1704">
        <f t="shared" si="30"/>
        <v>0</v>
      </c>
      <c r="R365" s="1704">
        <f t="shared" si="31"/>
        <v>0</v>
      </c>
      <c r="S365" s="1167">
        <f t="shared" si="32"/>
        <v>0</v>
      </c>
      <c r="Y365" s="1979" t="s">
        <v>3367</v>
      </c>
    </row>
    <row r="366" ht="46" spans="2:25">
      <c r="B366" s="1704">
        <f>职业列表!A116</f>
        <v>114</v>
      </c>
      <c r="C366" s="1704" t="str">
        <f>职业列表!B116</f>
        <v>狂热者</v>
      </c>
      <c r="D366" s="2017">
        <f>职业列表!D116</f>
        <v>0</v>
      </c>
      <c r="E366" s="2020">
        <f>职业列表!E116</f>
        <v>30</v>
      </c>
      <c r="F366" s="2020">
        <f>IF(F251=1,IF(E244&gt;=D366,1,0),IF(E244&lt;=D366,1,0))</f>
        <v>0</v>
      </c>
      <c r="G366" s="2020">
        <f>IF(G251=1,IF(C244&gt;=E366,1,0),IF(C244&lt;=E366,1,0))</f>
        <v>0</v>
      </c>
      <c r="H366" s="1723" t="str">
        <f t="shared" si="25"/>
        <v/>
      </c>
      <c r="I366" s="1704" t="str">
        <f t="shared" si="26"/>
        <v/>
      </c>
      <c r="J366" s="1792" t="str">
        <f t="shared" si="27"/>
        <v/>
      </c>
      <c r="K366" s="1723" t="str">
        <f>职业列表!F116</f>
        <v>教育×2＋外貌或意志×2</v>
      </c>
      <c r="L366" s="1792" t="str">
        <f>IF(ISNUMBER(FIND(B241,K366)),B366&amp;C366&amp;"、","")</f>
        <v/>
      </c>
      <c r="M366" s="2042" t="str">
        <f>职业列表!H116</f>
        <v>历史，两项社交技能（取悦、话术、恐吓、说服），心理学，潜行，任意三项其他个人或时代特长。</v>
      </c>
      <c r="N366" s="1188" t="str">
        <f>IF(ISNUMBER(FIND(B239,M366)),B366&amp;C366&amp;"、","")</f>
        <v/>
      </c>
      <c r="O366" s="1704">
        <f t="shared" si="28"/>
        <v>0</v>
      </c>
      <c r="P366" s="1704">
        <f t="shared" si="29"/>
        <v>0</v>
      </c>
      <c r="Q366" s="1704">
        <f t="shared" si="30"/>
        <v>0</v>
      </c>
      <c r="R366" s="1704">
        <f t="shared" si="31"/>
        <v>0</v>
      </c>
      <c r="S366" s="1167">
        <f t="shared" si="32"/>
        <v>0</v>
      </c>
      <c r="Y366" s="1979" t="s">
        <v>3368</v>
      </c>
    </row>
    <row r="367" ht="46" spans="2:25">
      <c r="B367" s="1704">
        <f>职业列表!A117</f>
        <v>115</v>
      </c>
      <c r="C367" s="1704" t="str">
        <f>职业列表!B117</f>
        <v>饲养员</v>
      </c>
      <c r="D367" s="2017">
        <f>职业列表!D117</f>
        <v>9</v>
      </c>
      <c r="E367" s="2020">
        <f>职业列表!E117</f>
        <v>40</v>
      </c>
      <c r="F367" s="2020">
        <f>IF(F251=1,IF(E244&gt;=D367,1,0),IF(E244&lt;=D367,1,0))</f>
        <v>0</v>
      </c>
      <c r="G367" s="2020">
        <f>IF(G251=1,IF(C244&gt;=E367,1,0),IF(C244&lt;=E367,1,0))</f>
        <v>0</v>
      </c>
      <c r="H367" s="1723" t="str">
        <f t="shared" si="25"/>
        <v/>
      </c>
      <c r="I367" s="1704" t="str">
        <f t="shared" si="26"/>
        <v/>
      </c>
      <c r="J367" s="1792" t="str">
        <f t="shared" si="27"/>
        <v/>
      </c>
      <c r="K367" s="1723" t="str">
        <f>职业列表!F117</f>
        <v>教育×4</v>
      </c>
      <c r="L367" s="1792" t="str">
        <f>IF(ISNUMBER(FIND(B241,K367)),B367&amp;C367&amp;"、","")</f>
        <v/>
      </c>
      <c r="M367" s="2042" t="str">
        <f>职业列表!H117</f>
        <v>驯兽，会计，闪避，急救，自然，医学，科学（制药，动物学）。</v>
      </c>
      <c r="N367" s="1188" t="str">
        <f>IF(ISNUMBER(FIND(B239,M367)),B367&amp;C367&amp;"、","")</f>
        <v/>
      </c>
      <c r="O367" s="1704">
        <f t="shared" si="28"/>
        <v>0</v>
      </c>
      <c r="P367" s="1704">
        <f t="shared" si="29"/>
        <v>0</v>
      </c>
      <c r="Q367" s="1704">
        <f t="shared" si="30"/>
        <v>0</v>
      </c>
      <c r="R367" s="1704">
        <f t="shared" si="31"/>
        <v>0</v>
      </c>
      <c r="S367" s="1167">
        <f t="shared" si="32"/>
        <v>0</v>
      </c>
      <c r="Y367" s="1979" t="s">
        <v>3369</v>
      </c>
    </row>
    <row r="368" ht="61" spans="2:25">
      <c r="B368" s="1704">
        <f>职业列表!A118</f>
        <v>116</v>
      </c>
      <c r="C368" s="1704" t="str">
        <f>职业列表!B118</f>
        <v>大使</v>
      </c>
      <c r="D368" s="2017">
        <f>职业列表!D118</f>
        <v>50</v>
      </c>
      <c r="E368" s="2020">
        <f>职业列表!E118</f>
        <v>90</v>
      </c>
      <c r="F368" s="2020">
        <f>IF(F251=1,IF(E244&gt;=D368,1,0),IF(E244&lt;=D368,1,0))</f>
        <v>1</v>
      </c>
      <c r="G368" s="2020">
        <f>IF(G251=1,IF(C244&gt;=E368,1,0),IF(C244&lt;=E368,1,0))</f>
        <v>1</v>
      </c>
      <c r="H368" s="1723" t="str">
        <f t="shared" si="25"/>
        <v>116大使、</v>
      </c>
      <c r="I368" s="1704" t="str">
        <f t="shared" si="26"/>
        <v>116大使、</v>
      </c>
      <c r="J368" s="1792" t="str">
        <f t="shared" si="27"/>
        <v>116大使</v>
      </c>
      <c r="K368" s="1723" t="str">
        <f>职业列表!F118</f>
        <v>教育×2＋外貌×2</v>
      </c>
      <c r="L368" s="1792" t="str">
        <f>IF(ISNUMBER(FIND(B241,K368)),B368&amp;C368&amp;"、","")</f>
        <v/>
      </c>
      <c r="M368" s="2042" t="str">
        <f>职业列表!H118</f>
        <v>取悦，历史，恐吓，话术，聆听，母语，说服，心理学。(用一到两种外语取代前面两种技能)</v>
      </c>
      <c r="N368" s="1188" t="str">
        <f>IF(ISNUMBER(FIND(B239,M368)),B368&amp;C368&amp;"、","")</f>
        <v/>
      </c>
      <c r="O368" s="1704">
        <f t="shared" si="28"/>
        <v>0</v>
      </c>
      <c r="P368" s="1704">
        <f t="shared" si="29"/>
        <v>0</v>
      </c>
      <c r="Q368" s="1704">
        <f t="shared" si="30"/>
        <v>49</v>
      </c>
      <c r="R368" s="1704">
        <f t="shared" si="31"/>
        <v>69</v>
      </c>
      <c r="S368" s="1167">
        <f t="shared" si="32"/>
        <v>118</v>
      </c>
      <c r="Y368" s="1979" t="s">
        <v>3370</v>
      </c>
    </row>
    <row r="369" ht="46" spans="2:25">
      <c r="B369" s="1704">
        <f>职业列表!A119</f>
        <v>117</v>
      </c>
      <c r="C369" s="1704" t="str">
        <f>职业列表!B119</f>
        <v>运动员（游泳/潜水）</v>
      </c>
      <c r="D369" s="2017">
        <f>职业列表!D119</f>
        <v>9</v>
      </c>
      <c r="E369" s="2020">
        <f>职业列表!E119</f>
        <v>20</v>
      </c>
      <c r="F369" s="2020">
        <f>IF(F251=1,IF(E244&gt;=D369,1,0),IF(E244&lt;=D369,1,0))</f>
        <v>0</v>
      </c>
      <c r="G369" s="2020">
        <f>IF(G251=1,IF(C244&gt;=E369,1,0),IF(C244&lt;=E369,1,0))</f>
        <v>0</v>
      </c>
      <c r="H369" s="1723" t="str">
        <f t="shared" si="25"/>
        <v/>
      </c>
      <c r="I369" s="1704" t="str">
        <f t="shared" si="26"/>
        <v/>
      </c>
      <c r="J369" s="1792" t="str">
        <f t="shared" si="27"/>
        <v/>
      </c>
      <c r="K369" s="1723" t="str">
        <f>职业列表!F119</f>
        <v>教育×2＋力量或敏捷×2</v>
      </c>
      <c r="L369" s="1792" t="str">
        <f>IF(ISNUMBER(FIND(B241,K369)),B369&amp;C369&amp;"、","")</f>
        <v>117运动员（游泳/潜水）、</v>
      </c>
      <c r="M369" s="2042" t="str">
        <f>职业列表!H119</f>
        <v>攀爬，跳跃，格斗（斗殴），外语，一项社交技能（取悦、话术、恐吓、说服），游泳，投掷，任意一项其他个人或时代特长。</v>
      </c>
      <c r="N369" s="1188" t="str">
        <f>IF(ISNUMBER(FIND(B239,M369)),B369&amp;C369&amp;"、","")</f>
        <v/>
      </c>
      <c r="O369" s="1704">
        <f t="shared" si="28"/>
        <v>16</v>
      </c>
      <c r="P369" s="1704">
        <f t="shared" si="29"/>
        <v>0</v>
      </c>
      <c r="Q369" s="1704">
        <f t="shared" si="30"/>
        <v>0</v>
      </c>
      <c r="R369" s="1704">
        <f t="shared" si="31"/>
        <v>0</v>
      </c>
      <c r="S369" s="1167">
        <f t="shared" si="32"/>
        <v>16</v>
      </c>
      <c r="Y369" s="1979" t="s">
        <v>3371</v>
      </c>
    </row>
    <row r="370" ht="46" spans="2:25">
      <c r="B370" s="1704">
        <f>职业列表!A120</f>
        <v>118</v>
      </c>
      <c r="C370" s="1704" t="str">
        <f>职业列表!B120</f>
        <v>运动员（高尔夫）</v>
      </c>
      <c r="D370" s="2017">
        <f>职业列表!D120</f>
        <v>50</v>
      </c>
      <c r="E370" s="2020">
        <f>职业列表!E120</f>
        <v>70</v>
      </c>
      <c r="F370" s="2020">
        <f>IF(F251=1,IF(E244&gt;=D370,1,0),IF(E244&lt;=D370,1,0))</f>
        <v>1</v>
      </c>
      <c r="G370" s="2020">
        <f>IF(G251=1,IF(C244&gt;=E370,1,0),IF(C244&lt;=E370,1,0))</f>
        <v>0</v>
      </c>
      <c r="H370" s="1723" t="str">
        <f t="shared" si="25"/>
        <v>118运动员（高尔夫）、</v>
      </c>
      <c r="I370" s="1704" t="str">
        <f t="shared" si="26"/>
        <v/>
      </c>
      <c r="J370" s="1792" t="str">
        <f t="shared" si="27"/>
        <v/>
      </c>
      <c r="K370" s="1723" t="str">
        <f>职业列表!F120</f>
        <v>教育×2＋力量或敏捷×2</v>
      </c>
      <c r="L370" s="1792" t="str">
        <f>IF(ISNUMBER(FIND(B241,K370)),B370&amp;C370&amp;"、","")</f>
        <v>118运动员（高尔夫）、</v>
      </c>
      <c r="M370" s="2042" t="str">
        <f>职业列表!H120</f>
        <v>攀爬，跳跃，格斗（斗殴），骑术，一项社交技能（取悦、话术、恐吓、说服），游泳，投掷，任意一项其他个人或时代特长。</v>
      </c>
      <c r="N370" s="1188" t="str">
        <f>IF(ISNUMBER(FIND(B239,M370)),B370&amp;C370&amp;"、","")</f>
        <v/>
      </c>
      <c r="O370" s="1704">
        <f t="shared" si="28"/>
        <v>16</v>
      </c>
      <c r="P370" s="1704">
        <f t="shared" si="29"/>
        <v>0</v>
      </c>
      <c r="Q370" s="1704">
        <f t="shared" si="30"/>
        <v>49</v>
      </c>
      <c r="R370" s="1704">
        <f t="shared" si="31"/>
        <v>0</v>
      </c>
      <c r="S370" s="1167">
        <f t="shared" si="32"/>
        <v>65</v>
      </c>
      <c r="Y370" s="1979" t="s">
        <v>3372</v>
      </c>
    </row>
    <row r="371" ht="16" spans="2:25">
      <c r="B371" s="1704">
        <f>职业列表!A121</f>
        <v>119</v>
      </c>
      <c r="C371" s="1704" t="str">
        <f>职业列表!B121</f>
        <v>运动员（网球）</v>
      </c>
      <c r="D371" s="2017">
        <f>职业列表!D121</f>
        <v>30</v>
      </c>
      <c r="E371" s="2020">
        <f>职业列表!E121</f>
        <v>70</v>
      </c>
      <c r="F371" s="2020">
        <f>IF(F251=1,IF(E244&gt;=D371,1,0),IF(E244&lt;=D371,1,0))</f>
        <v>0</v>
      </c>
      <c r="G371" s="2020">
        <f>IF(G251=1,IF(C244&gt;=E371,1,0),IF(C244&lt;=E371,1,0))</f>
        <v>0</v>
      </c>
      <c r="H371" s="1723" t="str">
        <f t="shared" si="25"/>
        <v/>
      </c>
      <c r="I371" s="1704" t="str">
        <f t="shared" si="26"/>
        <v/>
      </c>
      <c r="J371" s="1792" t="str">
        <f t="shared" si="27"/>
        <v/>
      </c>
      <c r="K371" s="1723" t="str">
        <f>职业列表!F121</f>
        <v>教育×2＋力量或敏捷×2</v>
      </c>
      <c r="L371" s="1792" t="str">
        <f>IF(ISNUMBER(FIND(B241,K371)),B371&amp;C371&amp;"、","")</f>
        <v>119运动员（网球）、</v>
      </c>
      <c r="M371" s="2042" t="str">
        <f>职业列表!H121</f>
        <v>跳跃，格斗（斗殴），闪避，一项社交技能（取悦、话术、恐吓、说服），心理学，侦察，投掷，任意一项其他个人或时代特长。</v>
      </c>
      <c r="N371" s="1188" t="str">
        <f>IF(ISNUMBER(FIND(B239,M371)),B371&amp;C371&amp;"、","")</f>
        <v/>
      </c>
      <c r="O371" s="1704">
        <f t="shared" si="28"/>
        <v>16</v>
      </c>
      <c r="P371" s="1704">
        <f t="shared" si="29"/>
        <v>0</v>
      </c>
      <c r="Q371" s="1704">
        <f t="shared" si="30"/>
        <v>0</v>
      </c>
      <c r="R371" s="1704">
        <f t="shared" si="31"/>
        <v>0</v>
      </c>
      <c r="S371" s="1167">
        <f t="shared" si="32"/>
        <v>16</v>
      </c>
      <c r="Y371" s="1979" t="s">
        <v>237</v>
      </c>
    </row>
    <row r="372" ht="16" spans="2:25">
      <c r="B372" s="1704">
        <f>职业列表!A122</f>
        <v>120</v>
      </c>
      <c r="C372" s="1704" t="str">
        <f>职业列表!B122</f>
        <v>运动员（田径）</v>
      </c>
      <c r="D372" s="2017">
        <f>职业列表!D122</f>
        <v>9</v>
      </c>
      <c r="E372" s="2020">
        <f>职业列表!E122</f>
        <v>20</v>
      </c>
      <c r="F372" s="2020">
        <f>IF(F251=1,IF(E244&gt;=D372,1,0),IF(E244&lt;=D372,1,0))</f>
        <v>0</v>
      </c>
      <c r="G372" s="2020">
        <f>IF(G251=1,IF(C244&gt;=E372,1,0),IF(C244&lt;=E372,1,0))</f>
        <v>0</v>
      </c>
      <c r="H372" s="1723" t="str">
        <f t="shared" si="25"/>
        <v/>
      </c>
      <c r="I372" s="1704" t="str">
        <f t="shared" si="26"/>
        <v/>
      </c>
      <c r="J372" s="1792" t="str">
        <f t="shared" si="27"/>
        <v/>
      </c>
      <c r="K372" s="1723" t="str">
        <f>职业列表!F122</f>
        <v>教育×2＋力量或敏捷×2</v>
      </c>
      <c r="L372" s="1792" t="str">
        <f>IF(ISNUMBER(FIND(B241,K372)),B372&amp;C372&amp;"、","")</f>
        <v>120运动员（田径）、</v>
      </c>
      <c r="M372" s="2042" t="str">
        <f>职业列表!H122</f>
        <v>攀爬，跳跃，格斗（斗殴），外语，一项社交技能（取悦、话术、恐吓、说服），闪避，投掷，任意一项其他个人或时代特长。</v>
      </c>
      <c r="N372" s="1188" t="str">
        <f>IF(ISNUMBER(FIND(B239,M372)),B372&amp;C372&amp;"、","")</f>
        <v/>
      </c>
      <c r="O372" s="1704">
        <f t="shared" si="28"/>
        <v>16</v>
      </c>
      <c r="P372" s="1704">
        <f t="shared" si="29"/>
        <v>0</v>
      </c>
      <c r="Q372" s="1704">
        <f t="shared" si="30"/>
        <v>0</v>
      </c>
      <c r="R372" s="1704">
        <f t="shared" si="31"/>
        <v>0</v>
      </c>
      <c r="S372" s="1167">
        <f t="shared" si="32"/>
        <v>16</v>
      </c>
      <c r="Y372" s="1979" t="s">
        <v>3373</v>
      </c>
    </row>
    <row r="373" ht="61" spans="2:25">
      <c r="B373" s="1704">
        <f>职业列表!A123</f>
        <v>121</v>
      </c>
      <c r="C373" s="1704" t="str">
        <f>职业列表!B123</f>
        <v>发言人</v>
      </c>
      <c r="D373" s="2017">
        <f>职业列表!D123</f>
        <v>50</v>
      </c>
      <c r="E373" s="2020">
        <f>职业列表!E123</f>
        <v>80</v>
      </c>
      <c r="F373" s="2020">
        <f>IF(F251=1,IF(E244&gt;=D373,1,0),IF(E244&lt;=D373,1,0))</f>
        <v>1</v>
      </c>
      <c r="G373" s="2020">
        <f>IF(G251=1,IF(C244&gt;=E373,1,0),IF(C244&lt;=E373,1,0))</f>
        <v>0</v>
      </c>
      <c r="H373" s="1723" t="str">
        <f t="shared" si="25"/>
        <v>121发言人、</v>
      </c>
      <c r="I373" s="1704" t="str">
        <f t="shared" si="26"/>
        <v/>
      </c>
      <c r="J373" s="1792" t="str">
        <f t="shared" si="27"/>
        <v/>
      </c>
      <c r="K373" s="1723" t="str">
        <f>职业列表!F123</f>
        <v>教育×4</v>
      </c>
      <c r="L373" s="1792" t="str">
        <f>IF(ISNUMBER(FIND(B241,K373)),B373&amp;C373&amp;"、","")</f>
        <v/>
      </c>
      <c r="M373" s="2042" t="str">
        <f>职业列表!H123</f>
        <v>乔装，闪避，三项社交技能（取悦、话术、恐吓、说服），心理学，外语，任意一项其他个人或时代特长。</v>
      </c>
      <c r="N373" s="1188" t="str">
        <f>IF(ISNUMBER(FIND(B239,M373)),B373&amp;C373&amp;"、","")</f>
        <v/>
      </c>
      <c r="O373" s="1704">
        <f t="shared" si="28"/>
        <v>0</v>
      </c>
      <c r="P373" s="1704">
        <f t="shared" si="29"/>
        <v>0</v>
      </c>
      <c r="Q373" s="1704">
        <f t="shared" si="30"/>
        <v>49</v>
      </c>
      <c r="R373" s="1704">
        <f t="shared" si="31"/>
        <v>0</v>
      </c>
      <c r="S373" s="1167">
        <f t="shared" si="32"/>
        <v>49</v>
      </c>
      <c r="Y373" s="1979" t="s">
        <v>3374</v>
      </c>
    </row>
    <row r="374" ht="61" spans="2:25">
      <c r="B374" s="1704">
        <f>职业列表!A124</f>
        <v>122</v>
      </c>
      <c r="C374" s="1704" t="str">
        <f>职业列表!B124</f>
        <v>保释担保人</v>
      </c>
      <c r="D374" s="2017">
        <f>职业列表!D124</f>
        <v>50</v>
      </c>
      <c r="E374" s="2020">
        <f>职业列表!E124</f>
        <v>80</v>
      </c>
      <c r="F374" s="2020">
        <f>IF(F251=1,IF(E244&gt;=D374,1,0),IF(E244&lt;=D374,1,0))</f>
        <v>1</v>
      </c>
      <c r="G374" s="2020">
        <f>IF(G251=1,IF(C244&gt;=E374,1,0),IF(C244&lt;=E374,1,0))</f>
        <v>0</v>
      </c>
      <c r="H374" s="1723" t="str">
        <f t="shared" si="25"/>
        <v>122保释担保人、</v>
      </c>
      <c r="I374" s="1704" t="str">
        <f t="shared" si="26"/>
        <v/>
      </c>
      <c r="J374" s="1792" t="str">
        <f t="shared" si="27"/>
        <v/>
      </c>
      <c r="K374" s="1723" t="str">
        <f>职业列表!F124</f>
        <v>教育×4</v>
      </c>
      <c r="L374" s="1792" t="str">
        <f>IF(ISNUMBER(FIND(B241,K374)),B374&amp;C374&amp;"、","")</f>
        <v/>
      </c>
      <c r="M374" s="2042" t="str">
        <f>职业列表!H124</f>
        <v>会计，两项社交技能（取悦、话术、恐吓、说服），法律，图书馆，心理学，任意两项其他个人或时代特长。</v>
      </c>
      <c r="N374" s="1188" t="str">
        <f>IF(ISNUMBER(FIND(B239,M374)),B374&amp;C374&amp;"、","")</f>
        <v/>
      </c>
      <c r="O374" s="1704">
        <f t="shared" si="28"/>
        <v>0</v>
      </c>
      <c r="P374" s="1704">
        <f t="shared" si="29"/>
        <v>0</v>
      </c>
      <c r="Q374" s="1704">
        <f t="shared" si="30"/>
        <v>49</v>
      </c>
      <c r="R374" s="1704">
        <f t="shared" si="31"/>
        <v>0</v>
      </c>
      <c r="S374" s="1167">
        <f t="shared" si="32"/>
        <v>49</v>
      </c>
      <c r="Y374" s="1979" t="s">
        <v>3375</v>
      </c>
    </row>
    <row r="375" ht="61" spans="2:25">
      <c r="B375" s="1704">
        <f>职业列表!A125</f>
        <v>123</v>
      </c>
      <c r="C375" s="1704" t="str">
        <f>职业列表!B125</f>
        <v>神职人员(天主教牧师)</v>
      </c>
      <c r="D375" s="2017">
        <f>职业列表!D125</f>
        <v>20</v>
      </c>
      <c r="E375" s="2020">
        <f>职业列表!E125</f>
        <v>70</v>
      </c>
      <c r="F375" s="2020">
        <f>IF(F251=1,IF(E244&gt;=D375,1,0),IF(E244&lt;=D375,1,0))</f>
        <v>0</v>
      </c>
      <c r="G375" s="2020">
        <f>IF(G251=1,IF(C244&gt;=E375,1,0),IF(C244&lt;=E375,1,0))</f>
        <v>0</v>
      </c>
      <c r="H375" s="1723" t="str">
        <f t="shared" si="25"/>
        <v/>
      </c>
      <c r="I375" s="1704" t="str">
        <f t="shared" si="26"/>
        <v/>
      </c>
      <c r="J375" s="1792" t="str">
        <f t="shared" si="27"/>
        <v/>
      </c>
      <c r="K375" s="1723" t="str">
        <f>职业列表!F125</f>
        <v>教育×4</v>
      </c>
      <c r="L375" s="1792" t="str">
        <f>IF(ISNUMBER(FIND(B241,K375)),B375&amp;C375&amp;"、","")</f>
        <v/>
      </c>
      <c r="M375" s="2042" t="str">
        <f>职业列表!H125</f>
        <v>会计，母语，外语(拉丁文)，图书馆，神秘学，一项社交技能（取悦、话术、恐吓、说服），心理学，任意一项其他技能。</v>
      </c>
      <c r="N375" s="1188" t="str">
        <f>IF(ISNUMBER(FIND(B239,M375)),B375&amp;C375&amp;"、","")</f>
        <v/>
      </c>
      <c r="O375" s="1704">
        <f t="shared" si="28"/>
        <v>0</v>
      </c>
      <c r="P375" s="1704">
        <f t="shared" si="29"/>
        <v>0</v>
      </c>
      <c r="Q375" s="1704">
        <f t="shared" si="30"/>
        <v>0</v>
      </c>
      <c r="R375" s="1704">
        <f t="shared" si="31"/>
        <v>0</v>
      </c>
      <c r="S375" s="1167">
        <f t="shared" si="32"/>
        <v>0</v>
      </c>
      <c r="Y375" s="1979" t="s">
        <v>3376</v>
      </c>
    </row>
    <row r="376" ht="46" spans="2:25">
      <c r="B376" s="1704">
        <f>职业列表!A126</f>
        <v>124</v>
      </c>
      <c r="C376" s="1704" t="str">
        <f>职业列表!B126</f>
        <v>神职人员(新教牧师)</v>
      </c>
      <c r="D376" s="2017">
        <f>职业列表!D126</f>
        <v>9</v>
      </c>
      <c r="E376" s="2020">
        <f>职业列表!E126</f>
        <v>60</v>
      </c>
      <c r="F376" s="2020">
        <f>IF(F251=1,IF(E244&gt;=D376,1,0),IF(E244&lt;=D376,1,0))</f>
        <v>0</v>
      </c>
      <c r="G376" s="2020">
        <f>IF(G251=1,IF(C244&gt;=E376,1,0),IF(C244&lt;=E376,1,0))</f>
        <v>0</v>
      </c>
      <c r="H376" s="1723" t="str">
        <f t="shared" si="25"/>
        <v/>
      </c>
      <c r="I376" s="1704" t="str">
        <f t="shared" si="26"/>
        <v/>
      </c>
      <c r="J376" s="1792" t="str">
        <f t="shared" si="27"/>
        <v/>
      </c>
      <c r="K376" s="1723" t="str">
        <f>职业列表!F126</f>
        <v>教育×4</v>
      </c>
      <c r="L376" s="1792" t="str">
        <f>IF(ISNUMBER(FIND(B241,K376)),B376&amp;C376&amp;"、","")</f>
        <v/>
      </c>
      <c r="M376" s="2042" t="str">
        <f>职业列表!H126</f>
        <v>会计，历史，图书馆，聆听，外语，一项社交技能（取悦、话术、恐吓、说服），心理学，任意一项其他技能。</v>
      </c>
      <c r="N376" s="1188" t="str">
        <f>IF(ISNUMBER(FIND(B239,M376)),B376&amp;C376&amp;"、","")</f>
        <v/>
      </c>
      <c r="O376" s="1704">
        <f t="shared" si="28"/>
        <v>0</v>
      </c>
      <c r="P376" s="1704">
        <f t="shared" si="29"/>
        <v>0</v>
      </c>
      <c r="Q376" s="1704">
        <f t="shared" si="30"/>
        <v>0</v>
      </c>
      <c r="R376" s="1704">
        <f t="shared" si="31"/>
        <v>0</v>
      </c>
      <c r="S376" s="1167">
        <f t="shared" si="32"/>
        <v>0</v>
      </c>
      <c r="Y376" s="1979" t="s">
        <v>3377</v>
      </c>
    </row>
    <row r="377" ht="46" spans="2:25">
      <c r="B377" s="1704">
        <f>职业列表!A127</f>
        <v>125</v>
      </c>
      <c r="C377" s="1704" t="str">
        <f>职业列表!B127</f>
        <v>神职人员(犹太教拉比)</v>
      </c>
      <c r="D377" s="2017">
        <f>职业列表!D127</f>
        <v>9</v>
      </c>
      <c r="E377" s="2020">
        <f>职业列表!E127</f>
        <v>60</v>
      </c>
      <c r="F377" s="2020">
        <f>IF(F251=1,IF(E244&gt;=D377,1,0),IF(E244&lt;=D377,1,0))</f>
        <v>0</v>
      </c>
      <c r="G377" s="2020">
        <f>IF(G251=1,IF(C244&gt;=E377,1,0),IF(C244&lt;=E377,1,0))</f>
        <v>0</v>
      </c>
      <c r="H377" s="1723" t="str">
        <f t="shared" si="25"/>
        <v/>
      </c>
      <c r="I377" s="1704" t="str">
        <f t="shared" si="26"/>
        <v/>
      </c>
      <c r="J377" s="1792" t="str">
        <f t="shared" si="27"/>
        <v/>
      </c>
      <c r="K377" s="1723" t="str">
        <f>职业列表!F127</f>
        <v>教育×4</v>
      </c>
      <c r="L377" s="1792" t="str">
        <f>IF(ISNUMBER(FIND(B241,K377)),B377&amp;C377&amp;"、","")</f>
        <v/>
      </c>
      <c r="M377" s="2042" t="str">
        <f>职业列表!H127</f>
        <v>母语，外语（希伯来语），历史，图书馆，神秘学，一项社交技能（取悦、话术、恐吓、说服），心理学，任意一项其他技能。</v>
      </c>
      <c r="N377" s="1188" t="str">
        <f>IF(ISNUMBER(FIND(B239,M377)),B377&amp;C377&amp;"、","")</f>
        <v/>
      </c>
      <c r="O377" s="1704">
        <f t="shared" si="28"/>
        <v>0</v>
      </c>
      <c r="P377" s="1704">
        <f t="shared" si="29"/>
        <v>0</v>
      </c>
      <c r="Q377" s="1704">
        <f t="shared" si="30"/>
        <v>0</v>
      </c>
      <c r="R377" s="1704">
        <f t="shared" si="31"/>
        <v>0</v>
      </c>
      <c r="S377" s="1167">
        <f t="shared" si="32"/>
        <v>0</v>
      </c>
      <c r="Y377" s="1979" t="s">
        <v>3378</v>
      </c>
    </row>
    <row r="378" ht="16" spans="2:25">
      <c r="B378" s="1704">
        <f>职业列表!A128</f>
        <v>126</v>
      </c>
      <c r="C378" s="1704" t="str">
        <f>职业列表!B128</f>
        <v>专栏作家</v>
      </c>
      <c r="D378" s="2017">
        <f>职业列表!D128</f>
        <v>30</v>
      </c>
      <c r="E378" s="2020">
        <f>职业列表!E128</f>
        <v>70</v>
      </c>
      <c r="F378" s="2020">
        <f>IF(F251=1,IF(E244&gt;=D378,1,0),IF(E244&lt;=D378,1,0))</f>
        <v>0</v>
      </c>
      <c r="G378" s="2020">
        <f>IF(G251=1,IF(C244&gt;=E378,1,0),IF(C244&lt;=E378,1,0))</f>
        <v>0</v>
      </c>
      <c r="H378" s="1723" t="str">
        <f t="shared" si="25"/>
        <v/>
      </c>
      <c r="I378" s="1704" t="str">
        <f t="shared" si="26"/>
        <v/>
      </c>
      <c r="J378" s="1792" t="str">
        <f t="shared" si="27"/>
        <v/>
      </c>
      <c r="K378" s="1723" t="str">
        <f>职业列表!F128</f>
        <v>教育×4</v>
      </c>
      <c r="L378" s="1792" t="str">
        <f>IF(ISNUMBER(FIND(B241,K378)),B378&amp;C378&amp;"、","")</f>
        <v/>
      </c>
      <c r="M378" s="2042" t="str">
        <f>职业列表!H128</f>
        <v>乔装，一项社交技能（取悦、话术、恐吓、说服），历史或图书馆，母语，外语，心理学，潜行。</v>
      </c>
      <c r="N378" s="1188" t="str">
        <f>IF(ISNUMBER(FIND(B239,M378)),B378&amp;C378&amp;"、","")</f>
        <v/>
      </c>
      <c r="O378" s="1704">
        <f t="shared" si="28"/>
        <v>0</v>
      </c>
      <c r="P378" s="1704">
        <f t="shared" si="29"/>
        <v>0</v>
      </c>
      <c r="Q378" s="1704">
        <f t="shared" si="30"/>
        <v>0</v>
      </c>
      <c r="R378" s="1704">
        <f t="shared" si="31"/>
        <v>0</v>
      </c>
      <c r="S378" s="1167">
        <f t="shared" si="32"/>
        <v>0</v>
      </c>
      <c r="Y378" s="1979" t="s">
        <v>237</v>
      </c>
    </row>
    <row r="379" ht="46" spans="2:25">
      <c r="B379" s="1704">
        <f>职业列表!A129</f>
        <v>127</v>
      </c>
      <c r="C379" s="1704" t="str">
        <f>职业列表!B129</f>
        <v>社会主义者/激进主义者</v>
      </c>
      <c r="D379" s="2017">
        <f>职业列表!D129</f>
        <v>0</v>
      </c>
      <c r="E379" s="2020">
        <f>职业列表!E129</f>
        <v>30</v>
      </c>
      <c r="F379" s="2020">
        <f>IF(F251=1,IF(E244&gt;=D379,1,0),IF(E244&lt;=D379,1,0))</f>
        <v>0</v>
      </c>
      <c r="G379" s="2020">
        <f>IF(G251=1,IF(C244&gt;=E379,1,0),IF(C244&lt;=E379,1,0))</f>
        <v>0</v>
      </c>
      <c r="H379" s="1723" t="str">
        <f t="shared" si="25"/>
        <v/>
      </c>
      <c r="I379" s="1704" t="str">
        <f t="shared" si="26"/>
        <v/>
      </c>
      <c r="J379" s="1792" t="str">
        <f t="shared" si="27"/>
        <v/>
      </c>
      <c r="K379" s="1723" t="str">
        <f>职业列表!F129</f>
        <v>教育×2＋外貌或意志×2</v>
      </c>
      <c r="L379" s="1792" t="str">
        <f>IF(ISNUMBER(FIND(B241,K379)),B379&amp;C379&amp;"、","")</f>
        <v/>
      </c>
      <c r="M379" s="2042" t="str">
        <f>职业列表!H129</f>
        <v>格斗（斗殴），两项社交技能（取悦、话术、恐吓、说服），射击（手枪），外语，心理学，任意两项其他个人或时代特长。</v>
      </c>
      <c r="N379" s="1188" t="str">
        <f>IF(ISNUMBER(FIND(B239,M379)),B379&amp;C379&amp;"、","")</f>
        <v/>
      </c>
      <c r="O379" s="1704">
        <f t="shared" si="28"/>
        <v>0</v>
      </c>
      <c r="P379" s="1704">
        <f t="shared" si="29"/>
        <v>0</v>
      </c>
      <c r="Q379" s="1704">
        <f t="shared" si="30"/>
        <v>0</v>
      </c>
      <c r="R379" s="1704">
        <f t="shared" si="31"/>
        <v>0</v>
      </c>
      <c r="S379" s="1167">
        <f t="shared" si="32"/>
        <v>0</v>
      </c>
      <c r="Y379" s="1979" t="s">
        <v>3379</v>
      </c>
    </row>
    <row r="380" ht="46" spans="2:25">
      <c r="B380" s="1704">
        <f>职业列表!A130</f>
        <v>128</v>
      </c>
      <c r="C380" s="1704" t="str">
        <f>职业列表!B130</f>
        <v>撰稿人</v>
      </c>
      <c r="D380" s="2017">
        <f>职业列表!D130</f>
        <v>20</v>
      </c>
      <c r="E380" s="2020">
        <f>职业列表!E130</f>
        <v>60</v>
      </c>
      <c r="F380" s="2020">
        <f>IF(F251=1,IF(E244&gt;=D380,1,0),IF(E244&lt;=D380,1,0))</f>
        <v>0</v>
      </c>
      <c r="G380" s="2020">
        <f>IF(G251=1,IF(C244&gt;=E380,1,0),IF(C244&lt;=E380,1,0))</f>
        <v>0</v>
      </c>
      <c r="H380" s="1723" t="str">
        <f t="shared" si="25"/>
        <v/>
      </c>
      <c r="I380" s="1704" t="str">
        <f t="shared" si="26"/>
        <v/>
      </c>
      <c r="J380" s="1792" t="str">
        <f t="shared" si="27"/>
        <v/>
      </c>
      <c r="K380" s="1723" t="str">
        <f>职业列表!F130</f>
        <v>教育×4</v>
      </c>
      <c r="L380" s="1792" t="str">
        <f>IF(ISNUMBER(FIND(B241,K380)),B380&amp;C380&amp;"、","")</f>
        <v/>
      </c>
      <c r="M380" s="2042" t="str">
        <f>职业列表!H130</f>
        <v>母语，艺术（文学），两项社交技能（取悦、话术、恐吓、说服），历史，图书馆，聆听，心理学。</v>
      </c>
      <c r="N380" s="1188" t="str">
        <f>IF(ISNUMBER(FIND(B239,M380)),B380&amp;C380&amp;"、","")</f>
        <v/>
      </c>
      <c r="O380" s="1704">
        <f t="shared" si="28"/>
        <v>0</v>
      </c>
      <c r="P380" s="1704">
        <f t="shared" si="29"/>
        <v>0</v>
      </c>
      <c r="Q380" s="1704">
        <f t="shared" si="30"/>
        <v>0</v>
      </c>
      <c r="R380" s="1704">
        <f t="shared" si="31"/>
        <v>0</v>
      </c>
      <c r="S380" s="1167">
        <f t="shared" si="32"/>
        <v>0</v>
      </c>
      <c r="Y380" s="1979" t="s">
        <v>3380</v>
      </c>
    </row>
    <row r="381" ht="61" spans="2:25">
      <c r="B381" s="1704">
        <f>职业列表!A131</f>
        <v>129</v>
      </c>
      <c r="C381" s="1704" t="str">
        <f>职业列表!B131</f>
        <v>罪犯（赌博庄家）</v>
      </c>
      <c r="D381" s="2017">
        <f>职业列表!D131</f>
        <v>50</v>
      </c>
      <c r="E381" s="2020">
        <f>职业列表!E131</f>
        <v>80</v>
      </c>
      <c r="F381" s="2020">
        <f>IF(F251=1,IF(E244&gt;=D381,1,0),IF(E244&lt;=D381,1,0))</f>
        <v>1</v>
      </c>
      <c r="G381" s="2020">
        <f>IF(G251=1,IF(C244&gt;=E381,1,0),IF(C244&lt;=E381,1,0))</f>
        <v>0</v>
      </c>
      <c r="H381" s="1723" t="str">
        <f t="shared" ref="H381:H444" si="33">IF(F381=1,B381&amp;C381&amp;"、","")</f>
        <v>129罪犯（赌博庄家）、</v>
      </c>
      <c r="I381" s="1704" t="str">
        <f t="shared" ref="I381:I444" si="34">IF(G381=1,B381&amp;C381&amp;"、","")</f>
        <v/>
      </c>
      <c r="J381" s="1792" t="str">
        <f t="shared" ref="J381:J444" si="35">IF(F381+G381=2,B381&amp;C381,"")</f>
        <v/>
      </c>
      <c r="K381" s="1723" t="str">
        <f>职业列表!F131</f>
        <v>教育×2＋敏捷或外貌×2</v>
      </c>
      <c r="L381" s="1792" t="str">
        <f>IF(ISNUMBER(FIND(B241,K381)),B381&amp;C381&amp;"、","")</f>
        <v/>
      </c>
      <c r="M381" s="2042" t="str">
        <f>职业列表!H131</f>
        <v>会计,两项社交技能（取悦、话术、恐吓、说服）,心理学，侦察，妙手，任意一项其他个人或时代特长。</v>
      </c>
      <c r="N381" s="1188" t="str">
        <f>IF(ISNUMBER(FIND(B239,M381)),B381&amp;C381&amp;"、","")</f>
        <v/>
      </c>
      <c r="O381" s="1704">
        <f t="shared" ref="O381:O444" si="36">IF(L381="",0,16)</f>
        <v>0</v>
      </c>
      <c r="P381" s="1704">
        <f t="shared" ref="P381:P444" si="37">IF(N381="",0,37)</f>
        <v>0</v>
      </c>
      <c r="Q381" s="1704">
        <f t="shared" ref="Q381:Q444" si="38">IF(F381=1,49,0)</f>
        <v>49</v>
      </c>
      <c r="R381" s="1704">
        <f t="shared" ref="R381:R444" si="39">IF(G381=1,69,0)</f>
        <v>0</v>
      </c>
      <c r="S381" s="1167">
        <f t="shared" ref="S381:S444" si="40">SUM(O381:R381)</f>
        <v>49</v>
      </c>
      <c r="Y381" s="1979" t="s">
        <v>3381</v>
      </c>
    </row>
    <row r="382" ht="46" spans="2:25">
      <c r="B382" s="1704">
        <f>职业列表!A132</f>
        <v>130</v>
      </c>
      <c r="C382" s="1704" t="str">
        <f>职业列表!B132</f>
        <v>罪犯（放高利贷者）</v>
      </c>
      <c r="D382" s="2017">
        <f>职业列表!D132</f>
        <v>50</v>
      </c>
      <c r="E382" s="2020">
        <f>职业列表!E132</f>
        <v>80</v>
      </c>
      <c r="F382" s="2020">
        <f>IF(F251=1,IF(E244&gt;=D382,1,0),IF(E244&lt;=D382,1,0))</f>
        <v>1</v>
      </c>
      <c r="G382" s="2020">
        <f>IF(G251=1,IF(C244&gt;=E382,1,0),IF(C244&lt;=E382,1,0))</f>
        <v>0</v>
      </c>
      <c r="H382" s="1723" t="str">
        <f t="shared" si="33"/>
        <v>130罪犯（放高利贷者）、</v>
      </c>
      <c r="I382" s="1704" t="str">
        <f t="shared" si="34"/>
        <v/>
      </c>
      <c r="J382" s="1792" t="str">
        <f t="shared" si="35"/>
        <v/>
      </c>
      <c r="K382" s="1723" t="str">
        <f>职业列表!F132</f>
        <v>教育×2＋敏捷或外貌×2</v>
      </c>
      <c r="L382" s="1792" t="str">
        <f>IF(ISNUMBER(FIND(B241,K382)),B382&amp;C382&amp;"、","")</f>
        <v/>
      </c>
      <c r="M382" s="2042" t="str">
        <f>职业列表!H132</f>
        <v>会计，估价，两项社交技能（取悦、话术、恐吓、说服）,心理学，侦察，任意两项其他个人或时代特长。</v>
      </c>
      <c r="N382" s="1188" t="str">
        <f>IF(ISNUMBER(FIND(B239,M382)),B382&amp;C382&amp;"、","")</f>
        <v/>
      </c>
      <c r="O382" s="1704">
        <f t="shared" si="36"/>
        <v>0</v>
      </c>
      <c r="P382" s="1704">
        <f t="shared" si="37"/>
        <v>0</v>
      </c>
      <c r="Q382" s="1704">
        <f t="shared" si="38"/>
        <v>49</v>
      </c>
      <c r="R382" s="1704">
        <f t="shared" si="39"/>
        <v>0</v>
      </c>
      <c r="S382" s="1167">
        <f t="shared" si="40"/>
        <v>49</v>
      </c>
      <c r="Y382" s="1979" t="s">
        <v>3382</v>
      </c>
    </row>
    <row r="383" ht="46" spans="2:25">
      <c r="B383" s="1704">
        <f>职业列表!A133</f>
        <v>131</v>
      </c>
      <c r="C383" s="1704" t="str">
        <f>职业列表!B133</f>
        <v>罪犯（扒手）</v>
      </c>
      <c r="D383" s="2017">
        <f>职业列表!D133</f>
        <v>9</v>
      </c>
      <c r="E383" s="2020">
        <f>职业列表!E133</f>
        <v>30</v>
      </c>
      <c r="F383" s="2020">
        <f>IF(F251=1,IF(E244&gt;=D383,1,0),IF(E244&lt;=D383,1,0))</f>
        <v>0</v>
      </c>
      <c r="G383" s="2020">
        <f>IF(G251=1,IF(C244&gt;=E383,1,0),IF(C244&lt;=E383,1,0))</f>
        <v>0</v>
      </c>
      <c r="H383" s="1723" t="str">
        <f t="shared" si="33"/>
        <v/>
      </c>
      <c r="I383" s="1704" t="str">
        <f t="shared" si="34"/>
        <v/>
      </c>
      <c r="J383" s="1792" t="str">
        <f t="shared" si="35"/>
        <v/>
      </c>
      <c r="K383" s="1723" t="str">
        <f>职业列表!F133</f>
        <v>教育×2＋敏捷×2</v>
      </c>
      <c r="L383" s="1792" t="str">
        <f>IF(ISNUMBER(FIND(B241,K383)),B383&amp;C383&amp;"、","")</f>
        <v/>
      </c>
      <c r="M383" s="2042" t="str">
        <f>职业列表!H133</f>
        <v>乔装，一项社交技能（取悦、话术、恐吓、说服）,潜行，聆听，心理学，侦察，妙手，任意一项其他个人或时代特长。</v>
      </c>
      <c r="N383" s="1188" t="str">
        <f>IF(ISNUMBER(FIND(B239,M383)),B383&amp;C383&amp;"、","")</f>
        <v/>
      </c>
      <c r="O383" s="1704">
        <f t="shared" si="36"/>
        <v>0</v>
      </c>
      <c r="P383" s="1704">
        <f t="shared" si="37"/>
        <v>0</v>
      </c>
      <c r="Q383" s="1704">
        <f t="shared" si="38"/>
        <v>0</v>
      </c>
      <c r="R383" s="1704">
        <f t="shared" si="39"/>
        <v>0</v>
      </c>
      <c r="S383" s="1167">
        <f t="shared" si="40"/>
        <v>0</v>
      </c>
      <c r="Y383" s="1979" t="s">
        <v>3383</v>
      </c>
    </row>
    <row r="384" ht="16" spans="2:25">
      <c r="B384" s="1704">
        <f>职业列表!A134</f>
        <v>132</v>
      </c>
      <c r="C384" s="1704" t="str">
        <f>职业列表!B134</f>
        <v>罪犯（地下钱庄）</v>
      </c>
      <c r="D384" s="2017">
        <f>职业列表!D134</f>
        <v>30</v>
      </c>
      <c r="E384" s="2020">
        <f>职业列表!E134</f>
        <v>70</v>
      </c>
      <c r="F384" s="2020">
        <f>IF(F251=1,IF(E244&gt;=D384,1,0),IF(E244&lt;=D384,1,0))</f>
        <v>0</v>
      </c>
      <c r="G384" s="2020">
        <f>IF(G251=1,IF(C244&gt;=E384,1,0),IF(C244&lt;=E384,1,0))</f>
        <v>0</v>
      </c>
      <c r="H384" s="1723" t="str">
        <f t="shared" si="33"/>
        <v/>
      </c>
      <c r="I384" s="1704" t="str">
        <f t="shared" si="34"/>
        <v/>
      </c>
      <c r="J384" s="1792" t="str">
        <f t="shared" si="35"/>
        <v/>
      </c>
      <c r="K384" s="1723" t="str">
        <f>职业列表!F134</f>
        <v>教育×4</v>
      </c>
      <c r="L384" s="1792" t="str">
        <f>IF(ISNUMBER(FIND(B241,K384)),B384&amp;C384&amp;"、","")</f>
        <v/>
      </c>
      <c r="M384" s="2042" t="str">
        <f>职业列表!H134</f>
        <v>会计，法律，图书馆，聆听，说服，侦察，任意其他两项个人或时代特长。</v>
      </c>
      <c r="N384" s="1188" t="str">
        <f>IF(ISNUMBER(FIND(B239,M384)),B384&amp;C384&amp;"、","")</f>
        <v/>
      </c>
      <c r="O384" s="1704">
        <f t="shared" si="36"/>
        <v>0</v>
      </c>
      <c r="P384" s="1704">
        <f t="shared" si="37"/>
        <v>0</v>
      </c>
      <c r="Q384" s="1704">
        <f t="shared" si="38"/>
        <v>0</v>
      </c>
      <c r="R384" s="1704">
        <f t="shared" si="39"/>
        <v>0</v>
      </c>
      <c r="S384" s="1167">
        <f t="shared" si="40"/>
        <v>0</v>
      </c>
      <c r="Y384" s="1979" t="s">
        <v>237</v>
      </c>
    </row>
    <row r="385" ht="31" spans="2:25">
      <c r="B385" s="1704">
        <f>职业列表!A135</f>
        <v>133</v>
      </c>
      <c r="C385" s="1704" t="str">
        <f>职业列表!B135</f>
        <v>罪犯（黑律师）</v>
      </c>
      <c r="D385" s="2017">
        <f>职业列表!D135</f>
        <v>30</v>
      </c>
      <c r="E385" s="2020">
        <f>职业列表!E135</f>
        <v>80</v>
      </c>
      <c r="F385" s="2020">
        <f>IF(F251=1,IF(E244&gt;=D385,1,0),IF(E244&lt;=D385,1,0))</f>
        <v>0</v>
      </c>
      <c r="G385" s="2020">
        <f>IF(G251=1,IF(C244&gt;=E385,1,0),IF(C244&lt;=E385,1,0))</f>
        <v>0</v>
      </c>
      <c r="H385" s="1723" t="str">
        <f t="shared" si="33"/>
        <v/>
      </c>
      <c r="I385" s="1704" t="str">
        <f t="shared" si="34"/>
        <v/>
      </c>
      <c r="J385" s="1792" t="str">
        <f t="shared" si="35"/>
        <v/>
      </c>
      <c r="K385" s="1723" t="str">
        <f>职业列表!F135</f>
        <v>教育×4</v>
      </c>
      <c r="L385" s="1792" t="str">
        <f>IF(ISNUMBER(FIND(B241,K385)),B385&amp;C385&amp;"、","")</f>
        <v/>
      </c>
      <c r="M385" s="2042" t="str">
        <f>职业列表!H135</f>
        <v>会计，法律，图书馆，两项社交技能（取悦、话术、恐吓、说服），心理学，两项其他技能。</v>
      </c>
      <c r="N385" s="1188" t="str">
        <f>IF(ISNUMBER(FIND(B239,M385)),B385&amp;C385&amp;"、","")</f>
        <v/>
      </c>
      <c r="O385" s="1704">
        <f t="shared" si="36"/>
        <v>0</v>
      </c>
      <c r="P385" s="1704">
        <f t="shared" si="37"/>
        <v>0</v>
      </c>
      <c r="Q385" s="1704">
        <f t="shared" si="38"/>
        <v>0</v>
      </c>
      <c r="R385" s="1704">
        <f t="shared" si="39"/>
        <v>0</v>
      </c>
      <c r="S385" s="1167">
        <f t="shared" si="40"/>
        <v>0</v>
      </c>
      <c r="Y385" s="1979" t="s">
        <v>3384</v>
      </c>
    </row>
    <row r="386" ht="31" spans="2:25">
      <c r="B386" s="1704">
        <f>职业列表!A136</f>
        <v>134</v>
      </c>
      <c r="C386" s="1704" t="str">
        <f>职业列表!B136</f>
        <v>牙医</v>
      </c>
      <c r="D386" s="2017">
        <f>职业列表!D136</f>
        <v>30</v>
      </c>
      <c r="E386" s="2020">
        <f>职业列表!E136</f>
        <v>70</v>
      </c>
      <c r="F386" s="2020">
        <f>IF(F251=1,IF(E244&gt;=D386,1,0),IF(E244&lt;=D386,1,0))</f>
        <v>0</v>
      </c>
      <c r="G386" s="2020">
        <f>IF(G251=1,IF(C244&gt;=E386,1,0),IF(C244&lt;=E386,1,0))</f>
        <v>0</v>
      </c>
      <c r="H386" s="1723" t="str">
        <f t="shared" si="33"/>
        <v/>
      </c>
      <c r="I386" s="1704" t="str">
        <f t="shared" si="34"/>
        <v/>
      </c>
      <c r="J386" s="1792" t="str">
        <f t="shared" si="35"/>
        <v/>
      </c>
      <c r="K386" s="1723" t="str">
        <f>职业列表!F136</f>
        <v>教育×4</v>
      </c>
      <c r="L386" s="1792" t="str">
        <f>IF(ISNUMBER(FIND(B241,K386)),B386&amp;C386&amp;"、","")</f>
        <v/>
      </c>
      <c r="M386" s="2042" t="str">
        <f>职业列表!H136</f>
        <v>急救、医学、外语（拉丁文）、心理学、科学（生物学，制药），任两种其他学术或个人特长。</v>
      </c>
      <c r="N386" s="1188" t="str">
        <f>IF(ISNUMBER(FIND(B239,M386)),B386&amp;C386&amp;"、","")</f>
        <v/>
      </c>
      <c r="O386" s="1704">
        <f t="shared" si="36"/>
        <v>0</v>
      </c>
      <c r="P386" s="1704">
        <f t="shared" si="37"/>
        <v>0</v>
      </c>
      <c r="Q386" s="1704">
        <f t="shared" si="38"/>
        <v>0</v>
      </c>
      <c r="R386" s="1704">
        <f t="shared" si="39"/>
        <v>0</v>
      </c>
      <c r="S386" s="1167">
        <f t="shared" si="40"/>
        <v>0</v>
      </c>
      <c r="Y386" s="1979" t="s">
        <v>3385</v>
      </c>
    </row>
    <row r="387" ht="16" spans="2:25">
      <c r="B387" s="1704">
        <f>职业列表!A137</f>
        <v>135</v>
      </c>
      <c r="C387" s="1704" t="str">
        <f>职业列表!B137</f>
        <v>外科医生/内科医生</v>
      </c>
      <c r="D387" s="2017">
        <f>职业列表!D137</f>
        <v>50</v>
      </c>
      <c r="E387" s="2020">
        <f>职业列表!E137</f>
        <v>80</v>
      </c>
      <c r="F387" s="2020">
        <f>IF(F251=1,IF(E244&gt;=D387,1,0),IF(E244&lt;=D387,1,0))</f>
        <v>1</v>
      </c>
      <c r="G387" s="2020">
        <f>IF(G251=1,IF(C244&gt;=E387,1,0),IF(C244&lt;=E387,1,0))</f>
        <v>0</v>
      </c>
      <c r="H387" s="1723" t="str">
        <f t="shared" si="33"/>
        <v>135外科医生/内科医生、</v>
      </c>
      <c r="I387" s="1704" t="str">
        <f t="shared" si="34"/>
        <v/>
      </c>
      <c r="J387" s="1792" t="str">
        <f t="shared" si="35"/>
        <v/>
      </c>
      <c r="K387" s="1723" t="str">
        <f>职业列表!F137</f>
        <v>教育×4</v>
      </c>
      <c r="L387" s="1792" t="str">
        <f>IF(ISNUMBER(FIND(B241,K387)),B387&amp;C387&amp;"、","")</f>
        <v/>
      </c>
      <c r="M387" s="2042" t="str">
        <f>职业列表!H137</f>
        <v>急救、医学、外语（拉丁文）、心理学、科学（生物学，制药），任两种其他学术或个人特长。</v>
      </c>
      <c r="N387" s="1188" t="str">
        <f>IF(ISNUMBER(FIND(B239,M387)),B387&amp;C387&amp;"、","")</f>
        <v/>
      </c>
      <c r="O387" s="1704">
        <f t="shared" si="36"/>
        <v>0</v>
      </c>
      <c r="P387" s="1704">
        <f t="shared" si="37"/>
        <v>0</v>
      </c>
      <c r="Q387" s="1704">
        <f t="shared" si="38"/>
        <v>49</v>
      </c>
      <c r="R387" s="1704">
        <f t="shared" si="39"/>
        <v>0</v>
      </c>
      <c r="S387" s="1167">
        <f t="shared" si="40"/>
        <v>49</v>
      </c>
      <c r="Y387" s="1979" t="s">
        <v>237</v>
      </c>
    </row>
    <row r="388" ht="16" spans="2:25">
      <c r="B388" s="1704">
        <f>职业列表!A138</f>
        <v>136</v>
      </c>
      <c r="C388" s="1704" t="str">
        <f>职业列表!B138</f>
        <v>整形医生</v>
      </c>
      <c r="D388" s="2017">
        <f>职业列表!D138</f>
        <v>30</v>
      </c>
      <c r="E388" s="2020">
        <f>职业列表!E138</f>
        <v>80</v>
      </c>
      <c r="F388" s="2020">
        <f>IF(F251=1,IF(E244&gt;=D388,1,0),IF(E244&lt;=D388,1,0))</f>
        <v>0</v>
      </c>
      <c r="G388" s="2020">
        <f>IF(G251=1,IF(C244&gt;=E388,1,0),IF(C244&lt;=E388,1,0))</f>
        <v>0</v>
      </c>
      <c r="H388" s="1723" t="str">
        <f t="shared" si="33"/>
        <v/>
      </c>
      <c r="I388" s="1704" t="str">
        <f t="shared" si="34"/>
        <v/>
      </c>
      <c r="J388" s="1792" t="str">
        <f t="shared" si="35"/>
        <v/>
      </c>
      <c r="K388" s="1723" t="str">
        <f>职业列表!F138</f>
        <v>教育×4</v>
      </c>
      <c r="L388" s="1792" t="str">
        <f>IF(ISNUMBER(FIND(B241,K388)),B388&amp;C388&amp;"、","")</f>
        <v/>
      </c>
      <c r="M388" s="2042" t="str">
        <f>职业列表!H138</f>
        <v>急救、医学、外语（拉丁文）、心理学、科学（生物学，制药），任两种其他学术或个人特长。</v>
      </c>
      <c r="N388" s="1188" t="str">
        <f>IF(ISNUMBER(FIND(B239,M388)),B388&amp;C388&amp;"、","")</f>
        <v/>
      </c>
      <c r="O388" s="1704">
        <f t="shared" si="36"/>
        <v>0</v>
      </c>
      <c r="P388" s="1704">
        <f t="shared" si="37"/>
        <v>0</v>
      </c>
      <c r="Q388" s="1704">
        <f t="shared" si="38"/>
        <v>0</v>
      </c>
      <c r="R388" s="1704">
        <f t="shared" si="39"/>
        <v>0</v>
      </c>
      <c r="S388" s="1167">
        <f t="shared" si="40"/>
        <v>0</v>
      </c>
      <c r="Y388" s="1979" t="s">
        <v>3386</v>
      </c>
    </row>
    <row r="389" ht="46" spans="2:25">
      <c r="B389" s="1704">
        <f>职业列表!A139</f>
        <v>137</v>
      </c>
      <c r="C389" s="1704" t="str">
        <f>职业列表!B139</f>
        <v>司机-公交司机</v>
      </c>
      <c r="D389" s="2017">
        <f>职业列表!D139</f>
        <v>30</v>
      </c>
      <c r="E389" s="2020">
        <f>职业列表!E139</f>
        <v>50</v>
      </c>
      <c r="F389" s="2020">
        <f>IF(F251=1,IF(E244&gt;=D389,1,0),IF(E244&lt;=D389,1,0))</f>
        <v>0</v>
      </c>
      <c r="G389" s="2020">
        <f>IF(G251=1,IF(C244&gt;=E389,1,0),IF(C244&lt;=E389,1,0))</f>
        <v>0</v>
      </c>
      <c r="H389" s="1723" t="str">
        <f t="shared" si="33"/>
        <v/>
      </c>
      <c r="I389" s="1704" t="str">
        <f t="shared" si="34"/>
        <v/>
      </c>
      <c r="J389" s="1792" t="str">
        <f t="shared" si="35"/>
        <v/>
      </c>
      <c r="K389" s="1723" t="str">
        <f>职业列表!F139</f>
        <v>教育×2＋敏捷×2</v>
      </c>
      <c r="L389" s="1792" t="str">
        <f>IF(ISNUMBER(FIND(B241,K389)),B389&amp;C389&amp;"、","")</f>
        <v/>
      </c>
      <c r="M389" s="2042" t="str">
        <f>职业列表!H139</f>
        <v>会计，汽车驾驶，电气维修，机械维修，领航，一项社交技能（取悦、话术、恐吓、说服），心理学，任意一项其他个人或时代特长。</v>
      </c>
      <c r="N389" s="1188" t="str">
        <f>IF(ISNUMBER(FIND(B239,M389)),B389&amp;C389&amp;"、","")</f>
        <v/>
      </c>
      <c r="O389" s="1704">
        <f t="shared" si="36"/>
        <v>0</v>
      </c>
      <c r="P389" s="1704">
        <f t="shared" si="37"/>
        <v>0</v>
      </c>
      <c r="Q389" s="1704">
        <f t="shared" si="38"/>
        <v>0</v>
      </c>
      <c r="R389" s="1704">
        <f t="shared" si="39"/>
        <v>0</v>
      </c>
      <c r="S389" s="1167">
        <f t="shared" si="40"/>
        <v>0</v>
      </c>
      <c r="Y389" s="1979" t="s">
        <v>3387</v>
      </c>
    </row>
    <row r="390" ht="16" spans="2:25">
      <c r="B390" s="1704">
        <f>职业列表!A140</f>
        <v>138</v>
      </c>
      <c r="C390" s="1704" t="str">
        <f>职业列表!B140</f>
        <v>实地调研员</v>
      </c>
      <c r="D390" s="2017">
        <f>职业列表!D140</f>
        <v>9</v>
      </c>
      <c r="E390" s="2020">
        <f>职业列表!E140</f>
        <v>30</v>
      </c>
      <c r="F390" s="2020">
        <f>IF(F251=1,IF(E244&gt;=D390,1,0),IF(E244&lt;=D390,1,0))</f>
        <v>0</v>
      </c>
      <c r="G390" s="2020">
        <f>IF(G251=1,IF(C244&gt;=E390,1,0),IF(C244&lt;=E390,1,0))</f>
        <v>0</v>
      </c>
      <c r="H390" s="1723" t="str">
        <f t="shared" si="33"/>
        <v/>
      </c>
      <c r="I390" s="1704" t="str">
        <f t="shared" si="34"/>
        <v/>
      </c>
      <c r="J390" s="1792" t="str">
        <f t="shared" si="35"/>
        <v/>
      </c>
      <c r="K390" s="1723" t="str">
        <f>职业列表!F140</f>
        <v>教育×4</v>
      </c>
      <c r="L390" s="1792" t="str">
        <f>IF(ISNUMBER(FIND(B241,K390)),B390&amp;C390&amp;"、","")</f>
        <v/>
      </c>
      <c r="M390" s="2042" t="str">
        <f>职业列表!H140</f>
        <v>会计，攀爬或跳跃，急救，图书馆，外语，一项社交技能（取悦、话术、恐吓、说服），两项研究领域相关技能。</v>
      </c>
      <c r="N390" s="1188" t="str">
        <f>IF(ISNUMBER(FIND(B239,M390)),B390&amp;C390&amp;"、","")</f>
        <v/>
      </c>
      <c r="O390" s="1704">
        <f t="shared" si="36"/>
        <v>0</v>
      </c>
      <c r="P390" s="1704">
        <f t="shared" si="37"/>
        <v>0</v>
      </c>
      <c r="Q390" s="1704">
        <f t="shared" si="38"/>
        <v>0</v>
      </c>
      <c r="R390" s="1704">
        <f t="shared" si="39"/>
        <v>0</v>
      </c>
      <c r="S390" s="1167">
        <f t="shared" si="40"/>
        <v>0</v>
      </c>
      <c r="Y390" s="1979" t="s">
        <v>237</v>
      </c>
    </row>
    <row r="391" ht="46" spans="2:25">
      <c r="B391" s="1704">
        <f>职业列表!A141</f>
        <v>139</v>
      </c>
      <c r="C391" s="1704" t="str">
        <f>职业列表!B141</f>
        <v>电影摄制人员</v>
      </c>
      <c r="D391" s="2017">
        <f>职业列表!D141</f>
        <v>9</v>
      </c>
      <c r="E391" s="2020">
        <f>职业列表!E141</f>
        <v>30</v>
      </c>
      <c r="F391" s="2020">
        <f>IF(F251=1,IF(E244&gt;=D391,1,0),IF(E244&lt;=D391,1,0))</f>
        <v>0</v>
      </c>
      <c r="G391" s="2020">
        <f>IF(G251=1,IF(C244&gt;=E391,1,0),IF(C244&lt;=E391,1,0))</f>
        <v>0</v>
      </c>
      <c r="H391" s="1723" t="str">
        <f t="shared" si="33"/>
        <v/>
      </c>
      <c r="I391" s="1704" t="str">
        <f t="shared" si="34"/>
        <v/>
      </c>
      <c r="J391" s="1792" t="str">
        <f t="shared" si="35"/>
        <v/>
      </c>
      <c r="K391" s="1723" t="str">
        <f>职业列表!F141</f>
        <v>教育×2＋意志或敏捷×2</v>
      </c>
      <c r="L391" s="1792" t="str">
        <f>IF(ISNUMBER(FIND(B241,K391)),B391&amp;C391&amp;"、","")</f>
        <v/>
      </c>
      <c r="M391" s="2042" t="str">
        <f>职业列表!H141</f>
        <v>艺术/工艺(任一,如摄影)，攀爬，汽车驾驶，电气维修，机械维修，一项社交技能（取悦、话术、恐吓、说服），任意两项其他个人或时代特长。</v>
      </c>
      <c r="N391" s="1188" t="str">
        <f>IF(ISNUMBER(FIND(B239,M391)),B391&amp;C391&amp;"、","")</f>
        <v/>
      </c>
      <c r="O391" s="1704">
        <f t="shared" si="36"/>
        <v>0</v>
      </c>
      <c r="P391" s="1704">
        <f t="shared" si="37"/>
        <v>0</v>
      </c>
      <c r="Q391" s="1704">
        <f t="shared" si="38"/>
        <v>0</v>
      </c>
      <c r="R391" s="1704">
        <f t="shared" si="39"/>
        <v>0</v>
      </c>
      <c r="S391" s="1167">
        <f t="shared" si="40"/>
        <v>0</v>
      </c>
      <c r="Y391" s="1979" t="s">
        <v>3388</v>
      </c>
    </row>
    <row r="392" ht="46" spans="2:25">
      <c r="B392" s="1704">
        <f>职业列表!A142</f>
        <v>140</v>
      </c>
      <c r="C392" s="1704" t="str">
        <f>职业列表!B142</f>
        <v>司法科学家</v>
      </c>
      <c r="D392" s="2017">
        <f>职业列表!D142</f>
        <v>30</v>
      </c>
      <c r="E392" s="2020">
        <f>职业列表!E142</f>
        <v>50</v>
      </c>
      <c r="F392" s="2020">
        <f>IF(F251=1,IF(E244&gt;=D392,1,0),IF(E244&lt;=D392,1,0))</f>
        <v>0</v>
      </c>
      <c r="G392" s="2020">
        <f>IF(G251=1,IF(C244&gt;=E392,1,0),IF(C244&lt;=E392,1,0))</f>
        <v>0</v>
      </c>
      <c r="H392" s="1723" t="str">
        <f t="shared" si="33"/>
        <v/>
      </c>
      <c r="I392" s="1704" t="str">
        <f t="shared" si="34"/>
        <v/>
      </c>
      <c r="J392" s="1792" t="str">
        <f t="shared" si="35"/>
        <v/>
      </c>
      <c r="K392" s="1723" t="str">
        <f>职业列表!F142</f>
        <v>教育×4</v>
      </c>
      <c r="L392" s="1792" t="str">
        <f>IF(ISNUMBER(FIND(B241,K392)),B392&amp;C392&amp;"、","")</f>
        <v/>
      </c>
      <c r="M392" s="2042" t="str">
        <f>职业列表!H142</f>
        <v>艺术（摄影），医学，法律，科学（化学，司法科学，药学），侦察，任意一项其他个人或时代特长。</v>
      </c>
      <c r="N392" s="1188" t="str">
        <f>IF(ISNUMBER(FIND(B239,M392)),B392&amp;C392&amp;"、","")</f>
        <v/>
      </c>
      <c r="O392" s="1704">
        <f t="shared" si="36"/>
        <v>0</v>
      </c>
      <c r="P392" s="1704">
        <f t="shared" si="37"/>
        <v>0</v>
      </c>
      <c r="Q392" s="1704">
        <f t="shared" si="38"/>
        <v>0</v>
      </c>
      <c r="R392" s="1704">
        <f t="shared" si="39"/>
        <v>0</v>
      </c>
      <c r="S392" s="1167">
        <f t="shared" si="40"/>
        <v>0</v>
      </c>
      <c r="Y392" s="1979" t="s">
        <v>3389</v>
      </c>
    </row>
    <row r="393" ht="46" spans="2:25">
      <c r="B393" s="1704">
        <f>职业列表!A143</f>
        <v>141</v>
      </c>
      <c r="C393" s="1704" t="str">
        <f>职业列表!B143</f>
        <v>运动经理</v>
      </c>
      <c r="D393" s="2017">
        <f>职业列表!D143</f>
        <v>20</v>
      </c>
      <c r="E393" s="2020">
        <f>职业列表!E143</f>
        <v>70</v>
      </c>
      <c r="F393" s="2020">
        <f>IF(F251=1,IF(E244&gt;=D393,1,0),IF(E244&lt;=D393,1,0))</f>
        <v>0</v>
      </c>
      <c r="G393" s="2020">
        <f>IF(G251=1,IF(C244&gt;=E393,1,0),IF(C244&lt;=E393,1,0))</f>
        <v>0</v>
      </c>
      <c r="H393" s="1723" t="str">
        <f t="shared" si="33"/>
        <v/>
      </c>
      <c r="I393" s="1704" t="str">
        <f t="shared" si="34"/>
        <v/>
      </c>
      <c r="J393" s="1792" t="str">
        <f t="shared" si="35"/>
        <v/>
      </c>
      <c r="K393" s="1723" t="str">
        <f>职业列表!F143</f>
        <v>教育×2＋力量或敏捷×2</v>
      </c>
      <c r="L393" s="1792" t="str">
        <f>IF(ISNUMBER(FIND(B241,K393)),B393&amp;C393&amp;"、","")</f>
        <v>141运动经理、</v>
      </c>
      <c r="M393" s="2042" t="str">
        <f>职业列表!H143</f>
        <v>会计，格斗（斗殴），闪避，两项社交技能（取悦、话术、恐吓、说服），急救，心理学，任意一项其他个人或时代特长。</v>
      </c>
      <c r="N393" s="1188" t="str">
        <f>IF(ISNUMBER(FIND(B239,M393)),B393&amp;C393&amp;"、","")</f>
        <v/>
      </c>
      <c r="O393" s="1704">
        <f t="shared" si="36"/>
        <v>16</v>
      </c>
      <c r="P393" s="1704">
        <f t="shared" si="37"/>
        <v>0</v>
      </c>
      <c r="Q393" s="1704">
        <f t="shared" si="38"/>
        <v>0</v>
      </c>
      <c r="R393" s="1704">
        <f t="shared" si="39"/>
        <v>0</v>
      </c>
      <c r="S393" s="1167">
        <f t="shared" si="40"/>
        <v>16</v>
      </c>
      <c r="Y393" s="1979" t="s">
        <v>3390</v>
      </c>
    </row>
    <row r="394" ht="61" spans="2:25">
      <c r="B394" s="1704">
        <f>职业列表!A144</f>
        <v>142</v>
      </c>
      <c r="C394" s="1704" t="str">
        <f>职业列表!B144</f>
        <v>商船队船员</v>
      </c>
      <c r="D394" s="2017">
        <f>职业列表!D144</f>
        <v>20</v>
      </c>
      <c r="E394" s="2020">
        <f>职业列表!E144</f>
        <v>30</v>
      </c>
      <c r="F394" s="2020">
        <f>IF(F251=1,IF(E244&gt;=D394,1,0),IF(E244&lt;=D394,1,0))</f>
        <v>0</v>
      </c>
      <c r="G394" s="2020">
        <f>IF(G251=1,IF(C244&gt;=E394,1,0),IF(C244&lt;=E394,1,0))</f>
        <v>0</v>
      </c>
      <c r="H394" s="1723" t="str">
        <f t="shared" si="33"/>
        <v/>
      </c>
      <c r="I394" s="1704" t="str">
        <f t="shared" si="34"/>
        <v/>
      </c>
      <c r="J394" s="1792" t="str">
        <f t="shared" si="35"/>
        <v/>
      </c>
      <c r="K394" s="1723" t="str">
        <f>职业列表!F144</f>
        <v>教育×2＋力量或敏捷×2</v>
      </c>
      <c r="L394" s="1792" t="str">
        <f>IF(ISNUMBER(FIND(B241,K394)),B394&amp;C394&amp;"、","")</f>
        <v>142商船队船员、</v>
      </c>
      <c r="M394" s="2042" t="str">
        <f>职业列表!H144</f>
        <v>人类学，攀爬，电气维修或机械维修，跳跃，操作重型机械，外语，生存（海上），任意一项其他个人或时代特长。</v>
      </c>
      <c r="N394" s="1188" t="str">
        <f>IF(ISNUMBER(FIND(B239,M394)),B394&amp;C394&amp;"、","")</f>
        <v>142商船队船员、</v>
      </c>
      <c r="O394" s="1704">
        <f t="shared" si="36"/>
        <v>16</v>
      </c>
      <c r="P394" s="1704">
        <f t="shared" si="37"/>
        <v>37</v>
      </c>
      <c r="Q394" s="1704">
        <f t="shared" si="38"/>
        <v>0</v>
      </c>
      <c r="R394" s="1704">
        <f t="shared" si="39"/>
        <v>0</v>
      </c>
      <c r="S394" s="1167">
        <f t="shared" si="40"/>
        <v>53</v>
      </c>
      <c r="Y394" s="1979" t="s">
        <v>3391</v>
      </c>
    </row>
    <row r="395" ht="31" spans="2:25">
      <c r="B395" s="1704">
        <f>职业列表!A145</f>
        <v>143</v>
      </c>
      <c r="C395" s="1704" t="str">
        <f>职业列表!B145</f>
        <v>古典音乐家</v>
      </c>
      <c r="D395" s="2017">
        <f>职业列表!D145</f>
        <v>30</v>
      </c>
      <c r="E395" s="2020">
        <f>职业列表!E145</f>
        <v>30</v>
      </c>
      <c r="F395" s="2020">
        <f>IF(F251=1,IF(E244&gt;=D395,1,0),IF(E244&lt;=D395,1,0))</f>
        <v>0</v>
      </c>
      <c r="G395" s="2020">
        <f>IF(G251=1,IF(C244&gt;=E395,1,0),IF(C244&lt;=E395,1,0))</f>
        <v>0</v>
      </c>
      <c r="H395" s="1723" t="str">
        <f t="shared" si="33"/>
        <v/>
      </c>
      <c r="I395" s="1704" t="str">
        <f t="shared" si="34"/>
        <v/>
      </c>
      <c r="J395" s="1792" t="str">
        <f t="shared" si="35"/>
        <v/>
      </c>
      <c r="K395" s="1723" t="str">
        <f>职业列表!F145</f>
        <v>教育×2＋意志或敏捷×2</v>
      </c>
      <c r="L395" s="1792" t="str">
        <f>IF(ISNUMBER(FIND(B241,K395)),B395&amp;C395&amp;"、","")</f>
        <v/>
      </c>
      <c r="M395" s="2042" t="str">
        <f>职业列表!H145</f>
        <v>会计，技艺（乐器），一项社交技能（取悦、话术、恐吓、说服），聆听，心理学，三项其他技能。</v>
      </c>
      <c r="N395" s="1188" t="str">
        <f>IF(ISNUMBER(FIND(B239,M395)),B395&amp;C395&amp;"、","")</f>
        <v/>
      </c>
      <c r="O395" s="1704">
        <f t="shared" si="36"/>
        <v>0</v>
      </c>
      <c r="P395" s="1704">
        <f t="shared" si="37"/>
        <v>0</v>
      </c>
      <c r="Q395" s="1704">
        <f t="shared" si="38"/>
        <v>0</v>
      </c>
      <c r="R395" s="1704">
        <f t="shared" si="39"/>
        <v>0</v>
      </c>
      <c r="S395" s="1167">
        <f t="shared" si="40"/>
        <v>0</v>
      </c>
      <c r="Y395" s="1979" t="s">
        <v>3392</v>
      </c>
    </row>
    <row r="396" ht="31" spans="2:25">
      <c r="B396" s="1704">
        <f>职业列表!A146</f>
        <v>144</v>
      </c>
      <c r="C396" s="1704" t="str">
        <f>职业列表!B146</f>
        <v>赛车手/ 赛艇手</v>
      </c>
      <c r="D396" s="2017">
        <f>职业列表!D146</f>
        <v>70</v>
      </c>
      <c r="E396" s="2020">
        <f>职业列表!E146</f>
        <v>70</v>
      </c>
      <c r="F396" s="2020">
        <f>IF(F251=1,IF(E244&gt;=D396,1,0),IF(E244&lt;=D396,1,0))</f>
        <v>1</v>
      </c>
      <c r="G396" s="2020">
        <f>IF(G251=1,IF(C244&gt;=E396,1,0),IF(C244&lt;=E396,1,0))</f>
        <v>0</v>
      </c>
      <c r="H396" s="1723" t="str">
        <f t="shared" si="33"/>
        <v>144赛车手/ 赛艇手、</v>
      </c>
      <c r="I396" s="1704" t="str">
        <f t="shared" si="34"/>
        <v/>
      </c>
      <c r="J396" s="1792" t="str">
        <f t="shared" si="35"/>
        <v/>
      </c>
      <c r="K396" s="1723" t="str">
        <f>职业列表!F146</f>
        <v>教育×2＋敏捷×2</v>
      </c>
      <c r="L396" s="1792" t="str">
        <f>IF(ISNUMBER(FIND(B241,K396)),B396&amp;C396&amp;"、","")</f>
        <v/>
      </c>
      <c r="M396" s="2042" t="str">
        <f>职业列表!H146</f>
        <v>汽车驾驶，电气维修，机械维修，驾驶（船），心理学，侦察，任意两项其他个人或时代特长。</v>
      </c>
      <c r="N396" s="1188" t="str">
        <f>IF(ISNUMBER(FIND(B239,M396)),B396&amp;C396&amp;"、","")</f>
        <v/>
      </c>
      <c r="O396" s="1704">
        <f t="shared" si="36"/>
        <v>0</v>
      </c>
      <c r="P396" s="1704">
        <f t="shared" si="37"/>
        <v>0</v>
      </c>
      <c r="Q396" s="1704">
        <f t="shared" si="38"/>
        <v>49</v>
      </c>
      <c r="R396" s="1704">
        <f t="shared" si="39"/>
        <v>0</v>
      </c>
      <c r="S396" s="1167">
        <f t="shared" si="40"/>
        <v>49</v>
      </c>
      <c r="Y396" s="1979" t="s">
        <v>3393</v>
      </c>
    </row>
    <row r="397" ht="31" spans="2:25">
      <c r="B397" s="1704">
        <f>职业列表!A147</f>
        <v>145</v>
      </c>
      <c r="C397" s="1704" t="str">
        <f>职业列表!B147</f>
        <v>电台播音员</v>
      </c>
      <c r="D397" s="2017">
        <f>职业列表!D147</f>
        <v>80</v>
      </c>
      <c r="E397" s="2020">
        <f>职业列表!E147</f>
        <v>80</v>
      </c>
      <c r="F397" s="2020">
        <f>IF(F251=1,IF(E244&gt;=D397,1,0),IF(E244&lt;=D397,1,0))</f>
        <v>1</v>
      </c>
      <c r="G397" s="2020">
        <f>IF(G251=1,IF(C244&gt;=E397,1,0),IF(C244&lt;=E397,1,0))</f>
        <v>0</v>
      </c>
      <c r="H397" s="1723" t="str">
        <f t="shared" si="33"/>
        <v>145电台播音员、</v>
      </c>
      <c r="I397" s="1704" t="str">
        <f t="shared" si="34"/>
        <v/>
      </c>
      <c r="J397" s="1792" t="str">
        <f t="shared" si="35"/>
        <v/>
      </c>
      <c r="K397" s="1723" t="str">
        <f>职业列表!F147</f>
        <v>教育×4</v>
      </c>
      <c r="L397" s="1792" t="str">
        <f>IF(ISNUMBER(FIND(B241,K397)),B397&amp;C397&amp;"、","")</f>
        <v/>
      </c>
      <c r="M397" s="2042" t="str">
        <f>职业列表!H147</f>
        <v>艺术（表演），母语，取悦，话术，说服，心理学，任意两项其他个人或时代特长。</v>
      </c>
      <c r="N397" s="1188" t="str">
        <f>IF(ISNUMBER(FIND(B239,M397)),B397&amp;C397&amp;"、","")</f>
        <v/>
      </c>
      <c r="O397" s="1704">
        <f t="shared" si="36"/>
        <v>0</v>
      </c>
      <c r="P397" s="1704">
        <f t="shared" si="37"/>
        <v>0</v>
      </c>
      <c r="Q397" s="1704">
        <f t="shared" si="38"/>
        <v>49</v>
      </c>
      <c r="R397" s="1704">
        <f t="shared" si="39"/>
        <v>0</v>
      </c>
      <c r="S397" s="1167">
        <f t="shared" si="40"/>
        <v>49</v>
      </c>
      <c r="Y397" s="1979" t="s">
        <v>3394</v>
      </c>
    </row>
    <row r="398" ht="31" spans="2:25">
      <c r="B398" s="1704">
        <f>职业列表!A148</f>
        <v>146</v>
      </c>
      <c r="C398" s="1704" t="str">
        <f>职业列表!B148</f>
        <v>推销员（圣经推销员）</v>
      </c>
      <c r="D398" s="2017">
        <f>职业列表!D148</f>
        <v>40</v>
      </c>
      <c r="E398" s="2020">
        <f>职业列表!E148</f>
        <v>40</v>
      </c>
      <c r="F398" s="2020">
        <f>IF(F251=1,IF(E244&gt;=D398,1,0),IF(E244&lt;=D398,1,0))</f>
        <v>0</v>
      </c>
      <c r="G398" s="2020">
        <f>IF(G251=1,IF(C244&gt;=E398,1,0),IF(C244&lt;=E398,1,0))</f>
        <v>0</v>
      </c>
      <c r="H398" s="1723" t="str">
        <f t="shared" si="33"/>
        <v/>
      </c>
      <c r="I398" s="1704" t="str">
        <f t="shared" si="34"/>
        <v/>
      </c>
      <c r="J398" s="1792" t="str">
        <f t="shared" si="35"/>
        <v/>
      </c>
      <c r="K398" s="1723" t="str">
        <f>职业列表!F148</f>
        <v>教育×2＋外貌×2</v>
      </c>
      <c r="L398" s="1792" t="str">
        <f>IF(ISNUMBER(FIND(B241,K398)),B398&amp;C398&amp;"、","")</f>
        <v/>
      </c>
      <c r="M398" s="2042" t="str">
        <f>职业列表!H148</f>
        <v>会计，两项社交技能（取悦、话术、恐吓、说服），汽车驾驶，聆听，心理学，潜行或妙手，一项其他技能。</v>
      </c>
      <c r="N398" s="1188" t="str">
        <f>IF(ISNUMBER(FIND(B239,M398)),B398&amp;C398&amp;"、","")</f>
        <v/>
      </c>
      <c r="O398" s="1704">
        <f t="shared" si="36"/>
        <v>0</v>
      </c>
      <c r="P398" s="1704">
        <f t="shared" si="37"/>
        <v>0</v>
      </c>
      <c r="Q398" s="1704">
        <f t="shared" si="38"/>
        <v>0</v>
      </c>
      <c r="R398" s="1704">
        <f t="shared" si="39"/>
        <v>0</v>
      </c>
      <c r="S398" s="1167">
        <f t="shared" si="40"/>
        <v>0</v>
      </c>
      <c r="Y398" s="1979" t="s">
        <v>3395</v>
      </c>
    </row>
    <row r="399" ht="16" spans="2:25">
      <c r="B399" s="1704">
        <f>职业列表!A149</f>
        <v>147</v>
      </c>
      <c r="C399" s="1704" t="str">
        <f>职业列表!B149</f>
        <v>推销员（旅行推销员）</v>
      </c>
      <c r="D399" s="2017">
        <f>职业列表!D149</f>
        <v>30</v>
      </c>
      <c r="E399" s="2020">
        <f>职业列表!E149</f>
        <v>30</v>
      </c>
      <c r="F399" s="2020">
        <f>IF(F251=1,IF(E244&gt;=D399,1,0),IF(E244&lt;=D399,1,0))</f>
        <v>0</v>
      </c>
      <c r="G399" s="2020">
        <f>IF(G251=1,IF(C244&gt;=E399,1,0),IF(C244&lt;=E399,1,0))</f>
        <v>0</v>
      </c>
      <c r="H399" s="1723" t="str">
        <f t="shared" si="33"/>
        <v/>
      </c>
      <c r="I399" s="1704" t="str">
        <f t="shared" si="34"/>
        <v/>
      </c>
      <c r="J399" s="1792" t="str">
        <f t="shared" si="35"/>
        <v/>
      </c>
      <c r="K399" s="1723" t="str">
        <f>职业列表!F149</f>
        <v>教育×2＋外貌×2</v>
      </c>
      <c r="L399" s="1792" t="str">
        <f>IF(ISNUMBER(FIND(B241,K399)),B399&amp;C399&amp;"、","")</f>
        <v/>
      </c>
      <c r="M399" s="2042" t="str">
        <f>职业列表!H149</f>
        <v>会计，两项社交技能（取悦、话术、恐吓、说服），汽车驾驶，领航，聆听，心理学，一项其他技能。</v>
      </c>
      <c r="N399" s="1188" t="str">
        <f>IF(ISNUMBER(FIND(B239,M399)),B399&amp;C399&amp;"、","")</f>
        <v/>
      </c>
      <c r="O399" s="1704">
        <f t="shared" si="36"/>
        <v>0</v>
      </c>
      <c r="P399" s="1704">
        <f t="shared" si="37"/>
        <v>0</v>
      </c>
      <c r="Q399" s="1704">
        <f t="shared" si="38"/>
        <v>0</v>
      </c>
      <c r="R399" s="1704">
        <f t="shared" si="39"/>
        <v>0</v>
      </c>
      <c r="S399" s="1167">
        <f t="shared" si="40"/>
        <v>0</v>
      </c>
      <c r="Y399" s="1979" t="s">
        <v>237</v>
      </c>
    </row>
    <row r="400" ht="46" spans="2:25">
      <c r="B400" s="1704">
        <f>职业列表!A150</f>
        <v>148</v>
      </c>
      <c r="C400" s="1704" t="str">
        <f>职业列表!B150</f>
        <v>小企业家</v>
      </c>
      <c r="D400" s="2017">
        <f>职业列表!D150</f>
        <v>50</v>
      </c>
      <c r="E400" s="2020">
        <f>职业列表!E150</f>
        <v>70</v>
      </c>
      <c r="F400" s="2020">
        <f>IF(F251=1,IF(E244&gt;=D400,1,0),IF(E244&lt;=D400,1,0))</f>
        <v>1</v>
      </c>
      <c r="G400" s="2020">
        <f>IF(G251=1,IF(C244&gt;=E400,1,0),IF(C244&lt;=E400,1,0))</f>
        <v>0</v>
      </c>
      <c r="H400" s="1723" t="str">
        <f t="shared" si="33"/>
        <v>148小企业家、</v>
      </c>
      <c r="I400" s="1704" t="str">
        <f t="shared" si="34"/>
        <v/>
      </c>
      <c r="J400" s="1792" t="str">
        <f t="shared" si="35"/>
        <v/>
      </c>
      <c r="K400" s="1723" t="str">
        <f>职业列表!F150</f>
        <v>教育×4</v>
      </c>
      <c r="L400" s="1792" t="str">
        <f>IF(ISNUMBER(FIND(B241,K400)),B400&amp;C400&amp;"、","")</f>
        <v/>
      </c>
      <c r="M400" s="2042" t="str">
        <f>职业列表!H150</f>
        <v>会计，两项社交技能（取悦、话术、恐吓、说服），心理学，四项经营业务相关技能。</v>
      </c>
      <c r="N400" s="1188" t="str">
        <f>IF(ISNUMBER(FIND(B239,M400)),B400&amp;C400&amp;"、","")</f>
        <v/>
      </c>
      <c r="O400" s="1704">
        <f t="shared" si="36"/>
        <v>0</v>
      </c>
      <c r="P400" s="1704">
        <f t="shared" si="37"/>
        <v>0</v>
      </c>
      <c r="Q400" s="1704">
        <f t="shared" si="38"/>
        <v>49</v>
      </c>
      <c r="R400" s="1704">
        <f t="shared" si="39"/>
        <v>0</v>
      </c>
      <c r="S400" s="1167">
        <f t="shared" si="40"/>
        <v>49</v>
      </c>
      <c r="Y400" s="1979" t="s">
        <v>3396</v>
      </c>
    </row>
    <row r="401" ht="16" spans="2:25">
      <c r="B401" s="1704">
        <f>职业列表!A151</f>
        <v>149</v>
      </c>
      <c r="C401" s="1704" t="str">
        <f>职业列表!B151</f>
        <v>舞台工作人员</v>
      </c>
      <c r="D401" s="2017">
        <f>职业列表!D151</f>
        <v>9</v>
      </c>
      <c r="E401" s="2020">
        <f>职业列表!E151</f>
        <v>20</v>
      </c>
      <c r="F401" s="2020">
        <f>IF(F251=1,IF(E244&gt;=D401,1,0),IF(E244&lt;=D401,1,0))</f>
        <v>0</v>
      </c>
      <c r="G401" s="2020">
        <f>IF(G251=1,IF(C244&gt;=E401,1,0),IF(C244&lt;=E401,1,0))</f>
        <v>0</v>
      </c>
      <c r="H401" s="1723" t="str">
        <f t="shared" si="33"/>
        <v/>
      </c>
      <c r="I401" s="1704" t="str">
        <f t="shared" si="34"/>
        <v/>
      </c>
      <c r="J401" s="1792" t="str">
        <f t="shared" si="35"/>
        <v/>
      </c>
      <c r="K401" s="1723" t="str">
        <f>职业列表!F151</f>
        <v>教育×2＋力量或敏捷×2</v>
      </c>
      <c r="L401" s="1792" t="str">
        <f>IF(ISNUMBER(FIND(B241,K401)),B401&amp;C401&amp;"、","")</f>
        <v>149舞台工作人员、</v>
      </c>
      <c r="M401" s="2042" t="str">
        <f>职业列表!H151</f>
        <v>艺术/ 工艺（任一），母语，两项社交技能（取悦、话术、恐吓、说服），乔装，心理学，任意两项其他个人或时代特长。</v>
      </c>
      <c r="N401" s="1188" t="str">
        <f>IF(ISNUMBER(FIND(B239,M401)),B401&amp;C401&amp;"、","")</f>
        <v/>
      </c>
      <c r="O401" s="1704">
        <f t="shared" si="36"/>
        <v>16</v>
      </c>
      <c r="P401" s="1704">
        <f t="shared" si="37"/>
        <v>0</v>
      </c>
      <c r="Q401" s="1704">
        <f t="shared" si="38"/>
        <v>0</v>
      </c>
      <c r="R401" s="1704">
        <f t="shared" si="39"/>
        <v>0</v>
      </c>
      <c r="S401" s="1167">
        <f t="shared" si="40"/>
        <v>16</v>
      </c>
      <c r="Y401" s="1979" t="s">
        <v>3397</v>
      </c>
    </row>
    <row r="402" ht="31" spans="2:25">
      <c r="B402" s="1704">
        <f>职业列表!A152</f>
        <v>150</v>
      </c>
      <c r="C402" s="1704" t="str">
        <f>职业列表!B152</f>
        <v>证券经纪人</v>
      </c>
      <c r="D402" s="2017">
        <f>职业列表!D152</f>
        <v>60</v>
      </c>
      <c r="E402" s="2020">
        <f>职业列表!E152</f>
        <v>90</v>
      </c>
      <c r="F402" s="2020">
        <f>IF(F251=1,IF(E244&gt;=D402,1,0),IF(E244&lt;=D402,1,0))</f>
        <v>1</v>
      </c>
      <c r="G402" s="2020">
        <f>IF(G251=1,IF(C244&gt;=E402,1,0),IF(C244&lt;=E402,1,0))</f>
        <v>1</v>
      </c>
      <c r="H402" s="1723" t="str">
        <f t="shared" si="33"/>
        <v>150证券经纪人、</v>
      </c>
      <c r="I402" s="1704" t="str">
        <f t="shared" si="34"/>
        <v>150证券经纪人、</v>
      </c>
      <c r="J402" s="1792" t="str">
        <f t="shared" si="35"/>
        <v>150证券经纪人</v>
      </c>
      <c r="K402" s="1723" t="str">
        <f>职业列表!F152</f>
        <v>教育×4</v>
      </c>
      <c r="L402" s="1792" t="str">
        <f>IF(ISNUMBER(FIND(B241,K402)),B402&amp;C402&amp;"、","")</f>
        <v/>
      </c>
      <c r="M402" s="2042" t="str">
        <f>职业列表!H152</f>
        <v>会计，估价，母语，两项社交技能（取悦、话术、恐吓、说服），心理学，任意两项其他个人或时代特长。</v>
      </c>
      <c r="N402" s="1188" t="str">
        <f>IF(ISNUMBER(FIND(B239,M402)),B402&amp;C402&amp;"、","")</f>
        <v/>
      </c>
      <c r="O402" s="1704">
        <f t="shared" si="36"/>
        <v>0</v>
      </c>
      <c r="P402" s="1704">
        <f t="shared" si="37"/>
        <v>0</v>
      </c>
      <c r="Q402" s="1704">
        <f t="shared" si="38"/>
        <v>49</v>
      </c>
      <c r="R402" s="1704">
        <f t="shared" si="39"/>
        <v>69</v>
      </c>
      <c r="S402" s="1167">
        <f t="shared" si="40"/>
        <v>118</v>
      </c>
      <c r="Y402" s="1979" t="s">
        <v>3357</v>
      </c>
    </row>
    <row r="403" ht="16" spans="2:25">
      <c r="B403" s="1704">
        <f>职业列表!A153</f>
        <v>151</v>
      </c>
      <c r="C403" s="1704" t="str">
        <f>职业列表!B153</f>
        <v>勘测员</v>
      </c>
      <c r="D403" s="2017">
        <f>职业列表!D153</f>
        <v>20</v>
      </c>
      <c r="E403" s="2020">
        <f>职业列表!E153</f>
        <v>60</v>
      </c>
      <c r="F403" s="2020">
        <f>IF(F251=1,IF(E244&gt;=D403,1,0),IF(E244&lt;=D403,1,0))</f>
        <v>0</v>
      </c>
      <c r="G403" s="2020">
        <f>IF(G251=1,IF(C244&gt;=E403,1,0),IF(C244&lt;=E403,1,0))</f>
        <v>0</v>
      </c>
      <c r="H403" s="1723" t="str">
        <f t="shared" si="33"/>
        <v/>
      </c>
      <c r="I403" s="1704" t="str">
        <f t="shared" si="34"/>
        <v/>
      </c>
      <c r="J403" s="1792" t="str">
        <f t="shared" si="35"/>
        <v/>
      </c>
      <c r="K403" s="1723" t="str">
        <f>职业列表!F153</f>
        <v>教育×4</v>
      </c>
      <c r="L403" s="1792" t="str">
        <f>IF(ISNUMBER(FIND(B241,K403)),B403&amp;C403&amp;"、","")</f>
        <v/>
      </c>
      <c r="M403" s="2042" t="str">
        <f>职业列表!H153</f>
        <v>会计，艺术（摄影），图书馆，博物学，领航，生存（任一），侦察，任意一项其他个人或时代特长。</v>
      </c>
      <c r="N403" s="1188" t="str">
        <f>IF(ISNUMBER(FIND(B239,M403)),B403&amp;C403&amp;"、","")</f>
        <v/>
      </c>
      <c r="O403" s="1704">
        <f t="shared" si="36"/>
        <v>0</v>
      </c>
      <c r="P403" s="1704">
        <f t="shared" si="37"/>
        <v>0</v>
      </c>
      <c r="Q403" s="1704">
        <f t="shared" si="38"/>
        <v>0</v>
      </c>
      <c r="R403" s="1704">
        <f t="shared" si="39"/>
        <v>0</v>
      </c>
      <c r="S403" s="1167">
        <f t="shared" si="40"/>
        <v>0</v>
      </c>
      <c r="Y403" s="1979" t="s">
        <v>237</v>
      </c>
    </row>
    <row r="404" ht="16" spans="2:25">
      <c r="B404" s="1704">
        <f>职业列表!A154</f>
        <v>152</v>
      </c>
      <c r="C404" s="1704" t="str">
        <f>职业列表!B154</f>
        <v>电话接线员</v>
      </c>
      <c r="D404" s="2017">
        <f>职业列表!D154</f>
        <v>20</v>
      </c>
      <c r="E404" s="2020">
        <f>职业列表!E154</f>
        <v>50</v>
      </c>
      <c r="F404" s="2020">
        <f>IF(F251=1,IF(E244&gt;=D404,1,0),IF(E244&lt;=D404,1,0))</f>
        <v>0</v>
      </c>
      <c r="G404" s="2020">
        <f>IF(G251=1,IF(C244&gt;=E404,1,0),IF(C244&lt;=E404,1,0))</f>
        <v>0</v>
      </c>
      <c r="H404" s="1723" t="str">
        <f t="shared" si="33"/>
        <v/>
      </c>
      <c r="I404" s="1704" t="str">
        <f t="shared" si="34"/>
        <v/>
      </c>
      <c r="J404" s="1792" t="str">
        <f t="shared" si="35"/>
        <v/>
      </c>
      <c r="K404" s="1723" t="str">
        <f>职业列表!F154</f>
        <v>教育×4</v>
      </c>
      <c r="L404" s="1792" t="str">
        <f>IF(ISNUMBER(FIND(B241,K404)),B404&amp;C404&amp;"、","")</f>
        <v/>
      </c>
      <c r="M404" s="2042" t="str">
        <f>职业列表!H154</f>
        <v>母语，外语，两项社交技能（取悦、话术、恐吓、说服），聆听，心理学，任意两项其他个人或时代特长。</v>
      </c>
      <c r="N404" s="1188" t="str">
        <f>IF(ISNUMBER(FIND(B239,M404)),B404&amp;C404&amp;"、","")</f>
        <v/>
      </c>
      <c r="O404" s="1704">
        <f t="shared" si="36"/>
        <v>0</v>
      </c>
      <c r="P404" s="1704">
        <f t="shared" si="37"/>
        <v>0</v>
      </c>
      <c r="Q404" s="1704">
        <f t="shared" si="38"/>
        <v>0</v>
      </c>
      <c r="R404" s="1704">
        <f t="shared" si="39"/>
        <v>0</v>
      </c>
      <c r="S404" s="1167">
        <f t="shared" si="40"/>
        <v>0</v>
      </c>
      <c r="Y404" s="1979" t="s">
        <v>3398</v>
      </c>
    </row>
    <row r="405" ht="31" spans="2:25">
      <c r="B405" s="1704">
        <f>职业列表!A155</f>
        <v>153</v>
      </c>
      <c r="C405" s="1704" t="str">
        <f>职业列表!B155</f>
        <v>星探</v>
      </c>
      <c r="D405" s="2017">
        <f>职业列表!D155</f>
        <v>9</v>
      </c>
      <c r="E405" s="2020">
        <f>职业列表!E155</f>
        <v>30</v>
      </c>
      <c r="F405" s="2020">
        <f>IF(F251=1,IF(E244&gt;=D405,1,0),IF(E244&lt;=D405,1,0))</f>
        <v>0</v>
      </c>
      <c r="G405" s="2020">
        <f>IF(G251=1,IF(C244&gt;=E405,1,0),IF(C244&lt;=E405,1,0))</f>
        <v>0</v>
      </c>
      <c r="H405" s="1723" t="str">
        <f t="shared" si="33"/>
        <v/>
      </c>
      <c r="I405" s="1704" t="str">
        <f t="shared" si="34"/>
        <v/>
      </c>
      <c r="J405" s="1792" t="str">
        <f t="shared" si="35"/>
        <v/>
      </c>
      <c r="K405" s="1723" t="str">
        <f>职业列表!F155</f>
        <v>教育×4</v>
      </c>
      <c r="L405" s="1792" t="str">
        <f>IF(ISNUMBER(FIND(B241,K405)),B405&amp;C405&amp;"、","")</f>
        <v/>
      </c>
      <c r="M405" s="2042" t="str">
        <f>职业列表!H155</f>
        <v>会计，两项社交技能（取悦、话术、恐吓、说服），法律，心理学，侦察，任意两项其他个人或时代特长。</v>
      </c>
      <c r="N405" s="1188" t="str">
        <f>IF(ISNUMBER(FIND(B239,M405)),B405&amp;C405&amp;"、","")</f>
        <v/>
      </c>
      <c r="O405" s="1704">
        <f t="shared" si="36"/>
        <v>0</v>
      </c>
      <c r="P405" s="1704">
        <f t="shared" si="37"/>
        <v>0</v>
      </c>
      <c r="Q405" s="1704">
        <f t="shared" si="38"/>
        <v>0</v>
      </c>
      <c r="R405" s="1704">
        <f t="shared" si="39"/>
        <v>0</v>
      </c>
      <c r="S405" s="1167">
        <f t="shared" si="40"/>
        <v>0</v>
      </c>
      <c r="Y405" s="1979" t="s">
        <v>3399</v>
      </c>
    </row>
    <row r="406" ht="31" spans="2:25">
      <c r="B406" s="1704">
        <f>职业列表!A156</f>
        <v>154</v>
      </c>
      <c r="C406" s="1704" t="str">
        <f>职业列表!B156</f>
        <v>医疗技术员</v>
      </c>
      <c r="D406" s="2017">
        <f>职业列表!D156</f>
        <v>30</v>
      </c>
      <c r="E406" s="2020">
        <f>职业列表!E156</f>
        <v>60</v>
      </c>
      <c r="F406" s="2020">
        <f>IF(F251=1,IF(E244&gt;=D406,1,0),IF(E244&lt;=D406,1,0))</f>
        <v>0</v>
      </c>
      <c r="G406" s="2020">
        <f>IF(G251=1,IF(C244&gt;=E406,1,0),IF(C244&lt;=E406,1,0))</f>
        <v>0</v>
      </c>
      <c r="H406" s="1723" t="str">
        <f t="shared" si="33"/>
        <v/>
      </c>
      <c r="I406" s="1704" t="str">
        <f t="shared" si="34"/>
        <v/>
      </c>
      <c r="J406" s="1792" t="str">
        <f t="shared" si="35"/>
        <v/>
      </c>
      <c r="K406" s="1723" t="str">
        <f>职业列表!F156</f>
        <v>教育×4</v>
      </c>
      <c r="L406" s="1792" t="str">
        <f>IF(ISNUMBER(FIND(B241,K406)),B406&amp;C406&amp;"、","")</f>
        <v/>
      </c>
      <c r="M406" s="2042" t="str">
        <f>职业列表!H156</f>
        <v>艺术（摄影），电气维修，图书馆，机械维修，医学，科学（生物，化学，药学）。</v>
      </c>
      <c r="N406" s="1188" t="str">
        <f>IF(ISNUMBER(FIND(B239,M406)),B406&amp;C406&amp;"、","")</f>
        <v/>
      </c>
      <c r="O406" s="1704">
        <f t="shared" si="36"/>
        <v>0</v>
      </c>
      <c r="P406" s="1704">
        <f t="shared" si="37"/>
        <v>0</v>
      </c>
      <c r="Q406" s="1704">
        <f t="shared" si="38"/>
        <v>0</v>
      </c>
      <c r="R406" s="1704">
        <f t="shared" si="39"/>
        <v>0</v>
      </c>
      <c r="S406" s="1167">
        <f t="shared" si="40"/>
        <v>0</v>
      </c>
      <c r="Y406" s="1979" t="s">
        <v>3332</v>
      </c>
    </row>
    <row r="407" ht="16" spans="2:25">
      <c r="B407" s="1704">
        <f>职业列表!A157</f>
        <v>155</v>
      </c>
      <c r="C407" s="1704" t="str">
        <f>职业列表!B157</f>
        <v>队医</v>
      </c>
      <c r="D407" s="2017">
        <f>职业列表!D157</f>
        <v>9</v>
      </c>
      <c r="E407" s="2020">
        <f>职业列表!E157</f>
        <v>30</v>
      </c>
      <c r="F407" s="2020">
        <f>IF(F251=1,IF(E244&gt;=D407,1,0),IF(E244&lt;=D407,1,0))</f>
        <v>0</v>
      </c>
      <c r="G407" s="2020">
        <f>IF(G251=1,IF(C244&gt;=E407,1,0),IF(C244&lt;=E407,1,0))</f>
        <v>0</v>
      </c>
      <c r="H407" s="1723" t="str">
        <f t="shared" si="33"/>
        <v/>
      </c>
      <c r="I407" s="1704" t="str">
        <f t="shared" si="34"/>
        <v/>
      </c>
      <c r="J407" s="1792" t="str">
        <f t="shared" si="35"/>
        <v/>
      </c>
      <c r="K407" s="1723" t="str">
        <f>职业列表!F157</f>
        <v>教育×4</v>
      </c>
      <c r="L407" s="1792" t="str">
        <f>IF(ISNUMBER(FIND(B241,K407)),B407&amp;C407&amp;"、","")</f>
        <v/>
      </c>
      <c r="M407" s="2042" t="str">
        <f>职业列表!H157</f>
        <v>两项社交技能（取悦、话术、恐吓、说服），急救，医学，科学（药学），心理学，侦察，任意一项其他个人或时代特长。</v>
      </c>
      <c r="N407" s="1188" t="str">
        <f>IF(ISNUMBER(FIND(B239,M407)),B407&amp;C407&amp;"、","")</f>
        <v/>
      </c>
      <c r="O407" s="1704">
        <f t="shared" si="36"/>
        <v>0</v>
      </c>
      <c r="P407" s="1704">
        <f t="shared" si="37"/>
        <v>0</v>
      </c>
      <c r="Q407" s="1704">
        <f t="shared" si="38"/>
        <v>0</v>
      </c>
      <c r="R407" s="1704">
        <f t="shared" si="39"/>
        <v>0</v>
      </c>
      <c r="S407" s="1167">
        <f t="shared" si="40"/>
        <v>0</v>
      </c>
      <c r="Y407" s="1979" t="s">
        <v>237</v>
      </c>
    </row>
    <row r="408" ht="46" spans="2:25">
      <c r="B408" s="1704">
        <f>职业列表!A158</f>
        <v>156</v>
      </c>
      <c r="C408" s="1704" t="str">
        <f>职业列表!B158</f>
        <v>寻宝猎人</v>
      </c>
      <c r="D408" s="2017">
        <f>职业列表!D158</f>
        <v>9</v>
      </c>
      <c r="E408" s="2020">
        <f>职业列表!E158</f>
        <v>30</v>
      </c>
      <c r="F408" s="2020">
        <f>IF(F251=1,IF(E244&gt;=D408,1,0),IF(E244&lt;=D408,1,0))</f>
        <v>0</v>
      </c>
      <c r="G408" s="2020">
        <f>IF(G251=1,IF(C244&gt;=E408,1,0),IF(C244&lt;=E408,1,0))</f>
        <v>0</v>
      </c>
      <c r="H408" s="1723" t="str">
        <f t="shared" si="33"/>
        <v/>
      </c>
      <c r="I408" s="1704" t="str">
        <f t="shared" si="34"/>
        <v/>
      </c>
      <c r="J408" s="1792" t="str">
        <f t="shared" si="35"/>
        <v/>
      </c>
      <c r="K408" s="1723" t="str">
        <f>职业列表!F158</f>
        <v>教育×2＋力量或敏捷×2</v>
      </c>
      <c r="L408" s="1792" t="str">
        <f>IF(ISNUMBER(FIND(B241,K408)),B408&amp;C408&amp;"、","")</f>
        <v>156寻宝猎人、</v>
      </c>
      <c r="M408" s="2042" t="str">
        <f>职业列表!H158</f>
        <v>估价，攀爬，汽车驾驶或驾驶（飞行器或船），电气维修或机械维修，历史，跳跃，一项社交技能（取悦、话术、恐吓、说服），侦察。</v>
      </c>
      <c r="N408" s="1188" t="str">
        <f>IF(ISNUMBER(FIND(B239,M408)),B408&amp;C408&amp;"、","")</f>
        <v/>
      </c>
      <c r="O408" s="1704">
        <f t="shared" si="36"/>
        <v>16</v>
      </c>
      <c r="P408" s="1704">
        <f t="shared" si="37"/>
        <v>0</v>
      </c>
      <c r="Q408" s="1704">
        <f t="shared" si="38"/>
        <v>0</v>
      </c>
      <c r="R408" s="1704">
        <f t="shared" si="39"/>
        <v>0</v>
      </c>
      <c r="S408" s="1167">
        <f t="shared" si="40"/>
        <v>16</v>
      </c>
      <c r="Y408" s="1979" t="s">
        <v>3400</v>
      </c>
    </row>
    <row r="409" ht="16" spans="2:25">
      <c r="B409" s="1704">
        <f>职业列表!A159</f>
        <v>157</v>
      </c>
      <c r="C409" s="1704" t="str">
        <f>职业列表!B159</f>
        <v>西部治安官</v>
      </c>
      <c r="D409" s="2017">
        <f>职业列表!D159</f>
        <v>20</v>
      </c>
      <c r="E409" s="2020">
        <f>职业列表!E159</f>
        <v>50</v>
      </c>
      <c r="F409" s="2020">
        <f>IF(F251=1,IF(E244&gt;=D409,1,0),IF(E244&lt;=D409,1,0))</f>
        <v>0</v>
      </c>
      <c r="G409" s="2020">
        <f>IF(G251=1,IF(C244&gt;=E409,1,0),IF(C244&lt;=E409,1,0))</f>
        <v>0</v>
      </c>
      <c r="H409" s="1723" t="str">
        <f t="shared" si="33"/>
        <v/>
      </c>
      <c r="I409" s="1704" t="str">
        <f t="shared" si="34"/>
        <v/>
      </c>
      <c r="J409" s="1792" t="str">
        <f t="shared" si="35"/>
        <v/>
      </c>
      <c r="K409" s="1723" t="str">
        <f>职业列表!F159</f>
        <v>教育×2＋力量或敏捷×2</v>
      </c>
      <c r="L409" s="1792" t="str">
        <f>IF(ISNUMBER(FIND(B241,K409)),B409&amp;C409&amp;"、","")</f>
        <v>157西部治安官、</v>
      </c>
      <c r="M409" s="2042" t="str">
        <f>职业列表!H159</f>
        <v>汽车驾驶，射击（任一），格斗（斗殴，鞭），法律，说服或心理学，骑术，追踪。</v>
      </c>
      <c r="N409" s="1188" t="str">
        <f>IF(ISNUMBER(FIND(B239,M409)),B409&amp;C409&amp;"、","")</f>
        <v/>
      </c>
      <c r="O409" s="1704">
        <f t="shared" si="36"/>
        <v>16</v>
      </c>
      <c r="P409" s="1704">
        <f t="shared" si="37"/>
        <v>0</v>
      </c>
      <c r="Q409" s="1704">
        <f t="shared" si="38"/>
        <v>0</v>
      </c>
      <c r="R409" s="1704">
        <f t="shared" si="39"/>
        <v>0</v>
      </c>
      <c r="S409" s="1167">
        <f t="shared" si="40"/>
        <v>16</v>
      </c>
      <c r="Y409" s="1979" t="s">
        <v>3401</v>
      </c>
    </row>
    <row r="410" ht="31" spans="2:25">
      <c r="B410" s="1704">
        <f>职业列表!A160</f>
        <v>158</v>
      </c>
      <c r="C410" s="1704" t="str">
        <f>职业列表!B160</f>
        <v>暴走族</v>
      </c>
      <c r="D410" s="2017">
        <f>职业列表!D160</f>
        <v>5</v>
      </c>
      <c r="E410" s="2020">
        <f>职业列表!E160</f>
        <v>10</v>
      </c>
      <c r="F410" s="2020">
        <f>IF(F251=1,IF(E244&gt;=D410,1,0),IF(E244&lt;=D410,1,0))</f>
        <v>0</v>
      </c>
      <c r="G410" s="2020">
        <f>IF(G251=1,IF(C244&gt;=E410,1,0),IF(C244&lt;=E410,1,0))</f>
        <v>0</v>
      </c>
      <c r="H410" s="1723" t="str">
        <f t="shared" si="33"/>
        <v/>
      </c>
      <c r="I410" s="1704" t="str">
        <f t="shared" si="34"/>
        <v/>
      </c>
      <c r="J410" s="1792" t="str">
        <f t="shared" si="35"/>
        <v/>
      </c>
      <c r="K410" s="1723" t="str">
        <f>职业列表!F160</f>
        <v>教育×2＋力量或敏捷×2</v>
      </c>
      <c r="L410" s="1792" t="str">
        <f>IF(ISNUMBER(FIND(B241,K410)),B410&amp;C410&amp;"、","")</f>
        <v>158暴走族、</v>
      </c>
      <c r="M410" s="2042" t="str">
        <f>职业列表!H160</f>
        <v>格斗（斗殴），汽车驾驶，机械维修，话术，恐吓，任意三项其他个人或时代特长。</v>
      </c>
      <c r="N410" s="1188" t="str">
        <f>IF(ISNUMBER(FIND(B239,M410)),B410&amp;C410&amp;"、","")</f>
        <v/>
      </c>
      <c r="O410" s="1704">
        <f t="shared" si="36"/>
        <v>16</v>
      </c>
      <c r="P410" s="1704">
        <f t="shared" si="37"/>
        <v>0</v>
      </c>
      <c r="Q410" s="1704">
        <f t="shared" si="38"/>
        <v>0</v>
      </c>
      <c r="R410" s="1704">
        <f t="shared" si="39"/>
        <v>0</v>
      </c>
      <c r="S410" s="1167">
        <f t="shared" si="40"/>
        <v>16</v>
      </c>
      <c r="Y410" s="1979" t="s">
        <v>3402</v>
      </c>
    </row>
    <row r="411" ht="31" spans="2:25">
      <c r="B411" s="1704">
        <f>职业列表!A161</f>
        <v>159</v>
      </c>
      <c r="C411" s="1704" t="str">
        <f>职业列表!B161</f>
        <v>神职人员(和尚,尼姑)</v>
      </c>
      <c r="D411" s="2017">
        <f>职业列表!D161</f>
        <v>5</v>
      </c>
      <c r="E411" s="2020">
        <f>职业列表!E161</f>
        <v>60</v>
      </c>
      <c r="F411" s="2020">
        <f>IF(F251=1,IF(E244&gt;=D411,1,0),IF(E244&lt;=D411,1,0))</f>
        <v>0</v>
      </c>
      <c r="G411" s="2020">
        <f>IF(G251=1,IF(C244&gt;=E411,1,0),IF(C244&lt;=E411,1,0))</f>
        <v>0</v>
      </c>
      <c r="H411" s="1723" t="str">
        <f t="shared" si="33"/>
        <v/>
      </c>
      <c r="I411" s="1704" t="str">
        <f t="shared" si="34"/>
        <v/>
      </c>
      <c r="J411" s="1792" t="str">
        <f t="shared" si="35"/>
        <v/>
      </c>
      <c r="K411" s="1723" t="str">
        <f>职业列表!F161</f>
        <v>教育×4</v>
      </c>
      <c r="L411" s="1792" t="str">
        <f>IF(ISNUMBER(FIND(B241,K411)),B411&amp;C411&amp;"、","")</f>
        <v/>
      </c>
      <c r="M411" s="2042" t="str">
        <f>职业列表!H161</f>
        <v>艺术（书法），历史或图书馆，外语（汉语或梵语），学问（佛教），一项社交技能（取悦、话术、恐吓、说服），心理学，聆听，任意一项其他个人或时代特长。</v>
      </c>
      <c r="N411" s="1188" t="str">
        <f>IF(ISNUMBER(FIND(B239,M411)),B411&amp;C411&amp;"、","")</f>
        <v/>
      </c>
      <c r="O411" s="1704">
        <f t="shared" si="36"/>
        <v>0</v>
      </c>
      <c r="P411" s="1704">
        <f t="shared" si="37"/>
        <v>0</v>
      </c>
      <c r="Q411" s="1704">
        <f t="shared" si="38"/>
        <v>0</v>
      </c>
      <c r="R411" s="1704">
        <f t="shared" si="39"/>
        <v>0</v>
      </c>
      <c r="S411" s="1167">
        <f t="shared" si="40"/>
        <v>0</v>
      </c>
      <c r="Y411" s="1979" t="s">
        <v>3403</v>
      </c>
    </row>
    <row r="412" ht="31" spans="2:25">
      <c r="B412" s="1704">
        <f>职业列表!A162</f>
        <v>160</v>
      </c>
      <c r="C412" s="1704" t="str">
        <f>职业列表!B162</f>
        <v>神职人员(神官,巫女)</v>
      </c>
      <c r="D412" s="2017">
        <f>职业列表!D162</f>
        <v>20</v>
      </c>
      <c r="E412" s="2020">
        <f>职业列表!E162</f>
        <v>60</v>
      </c>
      <c r="F412" s="2020">
        <f>IF(F251=1,IF(E244&gt;=D412,1,0),IF(E244&lt;=D412,1,0))</f>
        <v>0</v>
      </c>
      <c r="G412" s="2020">
        <f>IF(G251=1,IF(C244&gt;=E412,1,0),IF(C244&lt;=E412,1,0))</f>
        <v>0</v>
      </c>
      <c r="H412" s="1723" t="str">
        <f t="shared" si="33"/>
        <v/>
      </c>
      <c r="I412" s="1704" t="str">
        <f t="shared" si="34"/>
        <v/>
      </c>
      <c r="J412" s="1792" t="str">
        <f t="shared" si="35"/>
        <v/>
      </c>
      <c r="K412" s="1723" t="str">
        <f>职业列表!F162</f>
        <v>教育×4</v>
      </c>
      <c r="L412" s="1792" t="str">
        <f>IF(ISNUMBER(FIND(B241,K412)),B412&amp;C412&amp;"、","")</f>
        <v/>
      </c>
      <c r="M412" s="2042" t="str">
        <f>职业列表!H162</f>
        <v>艺术（书法，另任一），图书馆，神秘学，学问（神道教），一项社交技能（取悦、话术、恐吓、说服），心理学，任意一项其他个人或时代特长。</v>
      </c>
      <c r="N412" s="1188" t="str">
        <f>IF(ISNUMBER(FIND(B239,M412)),B412&amp;C412&amp;"、","")</f>
        <v/>
      </c>
      <c r="O412" s="1704">
        <f t="shared" si="36"/>
        <v>0</v>
      </c>
      <c r="P412" s="1704">
        <f t="shared" si="37"/>
        <v>0</v>
      </c>
      <c r="Q412" s="1704">
        <f t="shared" si="38"/>
        <v>0</v>
      </c>
      <c r="R412" s="1704">
        <f t="shared" si="39"/>
        <v>0</v>
      </c>
      <c r="S412" s="1167">
        <f t="shared" si="40"/>
        <v>0</v>
      </c>
      <c r="Y412" s="1979" t="s">
        <v>3404</v>
      </c>
    </row>
    <row r="413" ht="31" spans="2:25">
      <c r="B413" s="1704">
        <f>职业列表!A163</f>
        <v>161</v>
      </c>
      <c r="C413" s="1704" t="str">
        <f>职业列表!B163</f>
        <v>风水师</v>
      </c>
      <c r="D413" s="2017">
        <f>职业列表!D163</f>
        <v>20</v>
      </c>
      <c r="E413" s="2020">
        <f>职业列表!E163</f>
        <v>50</v>
      </c>
      <c r="F413" s="2020">
        <f>IF(F251=1,IF(E244&gt;=D413,1,0),IF(E244&lt;=D413,1,0))</f>
        <v>0</v>
      </c>
      <c r="G413" s="2020">
        <f>IF(G251=1,IF(C244&gt;=E413,1,0),IF(C244&lt;=E413,1,0))</f>
        <v>0</v>
      </c>
      <c r="H413" s="1723" t="str">
        <f t="shared" si="33"/>
        <v/>
      </c>
      <c r="I413" s="1704" t="str">
        <f t="shared" si="34"/>
        <v/>
      </c>
      <c r="J413" s="1792" t="str">
        <f t="shared" si="35"/>
        <v/>
      </c>
      <c r="K413" s="1723" t="str">
        <f>职业列表!F163</f>
        <v>教育×4</v>
      </c>
      <c r="L413" s="1792" t="str">
        <f>IF(ISNUMBER(FIND(B241,K413)),B413&amp;C413&amp;"、","")</f>
        <v/>
      </c>
      <c r="M413" s="2042" t="str">
        <f>职业列表!H163</f>
        <v>艺术（任一），图书馆，神秘学，学问（道教），一项社交技能（取悦、话术、恐吓、说服），科学（天文，地质），任意一项其他个人或时代特长。</v>
      </c>
      <c r="N413" s="1188" t="str">
        <f>IF(ISNUMBER(FIND(B239,M413)),B413&amp;C413&amp;"、","")</f>
        <v/>
      </c>
      <c r="O413" s="1704">
        <f t="shared" si="36"/>
        <v>0</v>
      </c>
      <c r="P413" s="1704">
        <f t="shared" si="37"/>
        <v>0</v>
      </c>
      <c r="Q413" s="1704">
        <f t="shared" si="38"/>
        <v>0</v>
      </c>
      <c r="R413" s="1704">
        <f t="shared" si="39"/>
        <v>0</v>
      </c>
      <c r="S413" s="1167">
        <f t="shared" si="40"/>
        <v>0</v>
      </c>
      <c r="Y413" s="1979" t="s">
        <v>3405</v>
      </c>
    </row>
    <row r="414" ht="16" spans="2:25">
      <c r="B414" s="1704">
        <f>职业列表!A164</f>
        <v>162</v>
      </c>
      <c r="C414" s="1704" t="str">
        <f>职业列表!B164</f>
        <v>家传降妖人</v>
      </c>
      <c r="D414" s="2017">
        <f>职业列表!D164</f>
        <v>9</v>
      </c>
      <c r="E414" s="2020">
        <f>职业列表!E164</f>
        <v>20</v>
      </c>
      <c r="F414" s="2020">
        <f>IF(F251=1,IF(E244&gt;=D414,1,0),IF(E244&lt;=D414,1,0))</f>
        <v>0</v>
      </c>
      <c r="G414" s="2020">
        <f>IF(G251=1,IF(C244&gt;=E414,1,0),IF(C244&lt;=E414,1,0))</f>
        <v>0</v>
      </c>
      <c r="H414" s="1723" t="str">
        <f t="shared" si="33"/>
        <v/>
      </c>
      <c r="I414" s="1704" t="str">
        <f t="shared" si="34"/>
        <v/>
      </c>
      <c r="J414" s="1792" t="str">
        <f t="shared" si="35"/>
        <v/>
      </c>
      <c r="K414" s="1723" t="str">
        <f>职业列表!F164</f>
        <v>教育×2＋力量或敏捷×2</v>
      </c>
      <c r="L414" s="1792" t="str">
        <f>IF(ISNUMBER(FIND(B241,K414)),B414&amp;C414&amp;"、","")</f>
        <v>162家传降妖人、</v>
      </c>
      <c r="M414" s="2042" t="str">
        <f>职业列表!H164</f>
        <v>格斗（斗殴），博物学，神秘学，学问（佛教或神道教），心理学，潜行，任意两项其他个人或时代特长。</v>
      </c>
      <c r="N414" s="1188" t="str">
        <f>IF(ISNUMBER(FIND(B239,M414)),B414&amp;C414&amp;"、","")</f>
        <v/>
      </c>
      <c r="O414" s="1704">
        <f t="shared" si="36"/>
        <v>16</v>
      </c>
      <c r="P414" s="1704">
        <f t="shared" si="37"/>
        <v>0</v>
      </c>
      <c r="Q414" s="1704">
        <f t="shared" si="38"/>
        <v>0</v>
      </c>
      <c r="R414" s="1704">
        <f t="shared" si="39"/>
        <v>0</v>
      </c>
      <c r="S414" s="1167">
        <f t="shared" si="40"/>
        <v>16</v>
      </c>
      <c r="Y414" s="1979" t="s">
        <v>237</v>
      </c>
    </row>
    <row r="415" ht="31" spans="2:25">
      <c r="B415" s="1704">
        <f>职业列表!A165</f>
        <v>163</v>
      </c>
      <c r="C415" s="1704" t="str">
        <f>职业列表!B165</f>
        <v>高中生(教育60以下)</v>
      </c>
      <c r="D415" s="2017">
        <f>职业列表!D165</f>
        <v>5</v>
      </c>
      <c r="E415" s="2020">
        <f>职业列表!E165</f>
        <v>10</v>
      </c>
      <c r="F415" s="2020">
        <f>IF(F251=1,IF(E244&gt;=D415,1,0),IF(E244&lt;=D415,1,0))</f>
        <v>0</v>
      </c>
      <c r="G415" s="2020">
        <f>IF(G251=1,IF(C244&gt;=E415,1,0),IF(C244&lt;=E415,1,0))</f>
        <v>0</v>
      </c>
      <c r="H415" s="1723" t="str">
        <f t="shared" si="33"/>
        <v/>
      </c>
      <c r="I415" s="1704" t="str">
        <f t="shared" si="34"/>
        <v/>
      </c>
      <c r="J415" s="1792" t="str">
        <f t="shared" si="35"/>
        <v/>
      </c>
      <c r="K415" s="1723" t="str">
        <f>职业列表!F165</f>
        <v>教育×4</v>
      </c>
      <c r="L415" s="1792" t="str">
        <f>IF(ISNUMBER(FIND(B241,K415)),B415&amp;C415&amp;"、","")</f>
        <v/>
      </c>
      <c r="M415" s="2042" t="str">
        <f>职业列表!H165</f>
        <v>攀爬、潜行、跳跃、图书馆、格斗（任一）、母语、科学（任一）或历史、外语（英语或其他）。</v>
      </c>
      <c r="N415" s="1188" t="str">
        <f>IF(ISNUMBER(FIND(B239,M415)),B415&amp;C415&amp;"、","")</f>
        <v/>
      </c>
      <c r="O415" s="1704">
        <f t="shared" si="36"/>
        <v>0</v>
      </c>
      <c r="P415" s="1704">
        <f t="shared" si="37"/>
        <v>0</v>
      </c>
      <c r="Q415" s="1704">
        <f t="shared" si="38"/>
        <v>0</v>
      </c>
      <c r="R415" s="1704">
        <f t="shared" si="39"/>
        <v>0</v>
      </c>
      <c r="S415" s="1167">
        <f t="shared" si="40"/>
        <v>0</v>
      </c>
      <c r="Y415" s="1979" t="s">
        <v>3406</v>
      </c>
    </row>
    <row r="416" ht="16" spans="2:25">
      <c r="B416" s="1704">
        <f>职业列表!A166</f>
        <v>164</v>
      </c>
      <c r="C416" s="1704" t="str">
        <f>职业列表!B166</f>
        <v>市子（盲人）</v>
      </c>
      <c r="D416" s="2017">
        <f>职业列表!D166</f>
        <v>5</v>
      </c>
      <c r="E416" s="2020">
        <f>职业列表!E166</f>
        <v>30</v>
      </c>
      <c r="F416" s="2020">
        <f>IF(F251=1,IF(E244&gt;=D416,1,0),IF(E244&lt;=D416,1,0))</f>
        <v>0</v>
      </c>
      <c r="G416" s="2020">
        <f>IF(G251=1,IF(C244&gt;=E416,1,0),IF(C244&lt;=E416,1,0))</f>
        <v>0</v>
      </c>
      <c r="H416" s="1723" t="str">
        <f t="shared" si="33"/>
        <v/>
      </c>
      <c r="I416" s="1704" t="str">
        <f t="shared" si="34"/>
        <v/>
      </c>
      <c r="J416" s="1792" t="str">
        <f t="shared" si="35"/>
        <v/>
      </c>
      <c r="K416" s="1723" t="str">
        <f>职业列表!F166</f>
        <v>教育×4</v>
      </c>
      <c r="L416" s="1792" t="str">
        <f>IF(ISNUMBER(FIND(B241,K416)),B416&amp;C416&amp;"、","")</f>
        <v/>
      </c>
      <c r="M416" s="2042" t="str">
        <f>职业列表!H166</f>
        <v>艺术（表演），聆听，学问（神道教），神秘学，历史，话术或说服，心理学，任意一项特长。※经KP同意，可以用「灵媒」技能代替一项自选技能。</v>
      </c>
      <c r="N416" s="1188" t="str">
        <f>IF(ISNUMBER(FIND(B239,M416)),B416&amp;C416&amp;"、","")</f>
        <v/>
      </c>
      <c r="O416" s="1704">
        <f t="shared" si="36"/>
        <v>0</v>
      </c>
      <c r="P416" s="1704">
        <f t="shared" si="37"/>
        <v>0</v>
      </c>
      <c r="Q416" s="1704">
        <f t="shared" si="38"/>
        <v>0</v>
      </c>
      <c r="R416" s="1704">
        <f t="shared" si="39"/>
        <v>0</v>
      </c>
      <c r="S416" s="1167">
        <f t="shared" si="40"/>
        <v>0</v>
      </c>
      <c r="Y416" s="1979" t="s">
        <v>3407</v>
      </c>
    </row>
    <row r="417" ht="16" spans="2:25">
      <c r="B417" s="1704">
        <f>职业列表!A167</f>
        <v>165</v>
      </c>
      <c r="C417" s="1704" t="str">
        <f>职业列表!B167</f>
        <v>言灵师/阴阳师</v>
      </c>
      <c r="D417" s="2017">
        <f>职业列表!D167</f>
        <v>9</v>
      </c>
      <c r="E417" s="2020">
        <f>职业列表!E167</f>
        <v>20</v>
      </c>
      <c r="F417" s="2020">
        <f>IF(F251=1,IF(E244&gt;=D417,1,0),IF(E244&lt;=D417,1,0))</f>
        <v>0</v>
      </c>
      <c r="G417" s="2020">
        <f>IF(G251=1,IF(C244&gt;=E417,1,0),IF(C244&lt;=E417,1,0))</f>
        <v>0</v>
      </c>
      <c r="H417" s="1723" t="str">
        <f t="shared" si="33"/>
        <v/>
      </c>
      <c r="I417" s="1704" t="str">
        <f t="shared" si="34"/>
        <v/>
      </c>
      <c r="J417" s="1792" t="str">
        <f t="shared" si="35"/>
        <v/>
      </c>
      <c r="K417" s="1723" t="str">
        <f>职业列表!F167</f>
        <v>教育×4</v>
      </c>
      <c r="L417" s="1792" t="str">
        <f>IF(ISNUMBER(FIND(B241,K417)),B417&amp;C417&amp;"、","")</f>
        <v/>
      </c>
      <c r="M417" s="2042" t="str">
        <f>职业列表!H167</f>
        <v>艺术（书法，另任一），历史或图书馆，母语，学问（阴阳道），科学（天文），神秘学，任意一项其他个人或时代特长。</v>
      </c>
      <c r="N417" s="1188" t="str">
        <f>IF(ISNUMBER(FIND(B239,M417)),B417&amp;C417&amp;"、","")</f>
        <v/>
      </c>
      <c r="O417" s="1704">
        <f t="shared" si="36"/>
        <v>0</v>
      </c>
      <c r="P417" s="1704">
        <f t="shared" si="37"/>
        <v>0</v>
      </c>
      <c r="Q417" s="1704">
        <f t="shared" si="38"/>
        <v>0</v>
      </c>
      <c r="R417" s="1704">
        <f t="shared" si="39"/>
        <v>0</v>
      </c>
      <c r="S417" s="1167">
        <f t="shared" si="40"/>
        <v>0</v>
      </c>
      <c r="Y417" s="1979" t="s">
        <v>237</v>
      </c>
    </row>
    <row r="418" ht="31" spans="2:25">
      <c r="B418" s="1704">
        <f>职业列表!A168</f>
        <v>166</v>
      </c>
      <c r="C418" s="1704" t="str">
        <f>职业列表!B168</f>
        <v>炼丹师</v>
      </c>
      <c r="D418" s="2017">
        <f>职业列表!D168</f>
        <v>30</v>
      </c>
      <c r="E418" s="2020">
        <f>职业列表!E168</f>
        <v>50</v>
      </c>
      <c r="F418" s="2020">
        <f>IF(F251=1,IF(E244&gt;=D418,1,0),IF(E244&lt;=D418,1,0))</f>
        <v>0</v>
      </c>
      <c r="G418" s="2020">
        <f>IF(G251=1,IF(C244&gt;=E418,1,0),IF(C244&lt;=E418,1,0))</f>
        <v>0</v>
      </c>
      <c r="H418" s="1723" t="str">
        <f t="shared" si="33"/>
        <v/>
      </c>
      <c r="I418" s="1704" t="str">
        <f t="shared" si="34"/>
        <v/>
      </c>
      <c r="J418" s="1792" t="str">
        <f t="shared" si="35"/>
        <v/>
      </c>
      <c r="K418" s="1723" t="str">
        <f>职业列表!F168</f>
        <v>教育×4</v>
      </c>
      <c r="L418" s="1792" t="str">
        <f>IF(ISNUMBER(FIND(B241,K418)),B418&amp;C418&amp;"、","")</f>
        <v/>
      </c>
      <c r="M418" s="2042" t="str">
        <f>职业列表!H168</f>
        <v>图书馆，医学，神秘学，科学（化学），博物学，学问（道教），外语（汉语），急救或精神分析。</v>
      </c>
      <c r="N418" s="1188" t="str">
        <f>IF(ISNUMBER(FIND(B239,M418)),B418&amp;C418&amp;"、","")</f>
        <v/>
      </c>
      <c r="O418" s="1704">
        <f t="shared" si="36"/>
        <v>0</v>
      </c>
      <c r="P418" s="1704">
        <f t="shared" si="37"/>
        <v>0</v>
      </c>
      <c r="Q418" s="1704">
        <f t="shared" si="38"/>
        <v>0</v>
      </c>
      <c r="R418" s="1704">
        <f t="shared" si="39"/>
        <v>0</v>
      </c>
      <c r="S418" s="1167">
        <f t="shared" si="40"/>
        <v>0</v>
      </c>
      <c r="Y418" s="1979" t="s">
        <v>3408</v>
      </c>
    </row>
    <row r="419" ht="46" spans="2:25">
      <c r="B419" s="1704">
        <f>职业列表!A169</f>
        <v>167</v>
      </c>
      <c r="C419" s="1704" t="str">
        <f>职业列表!B169</f>
        <v>外语教师</v>
      </c>
      <c r="D419" s="2017">
        <f>职业列表!D169</f>
        <v>30</v>
      </c>
      <c r="E419" s="2020">
        <f>职业列表!E169</f>
        <v>60</v>
      </c>
      <c r="F419" s="2020">
        <f>IF(F251=1,IF(E244&gt;=D419,1,0),IF(E244&lt;=D419,1,0))</f>
        <v>0</v>
      </c>
      <c r="G419" s="2020">
        <f>IF(G251=1,IF(C244&gt;=E419,1,0),IF(C244&lt;=E419,1,0))</f>
        <v>0</v>
      </c>
      <c r="H419" s="1723" t="str">
        <f t="shared" si="33"/>
        <v/>
      </c>
      <c r="I419" s="1704" t="str">
        <f t="shared" si="34"/>
        <v/>
      </c>
      <c r="J419" s="1792" t="str">
        <f t="shared" si="35"/>
        <v/>
      </c>
      <c r="K419" s="1723" t="str">
        <f>职业列表!F169</f>
        <v>教育×4</v>
      </c>
      <c r="L419" s="1792" t="str">
        <f>IF(ISNUMBER(FIND(B241,K419)),B419&amp;C419&amp;"、","")</f>
        <v/>
      </c>
      <c r="M419" s="2042" t="str">
        <f>职业列表!H169</f>
        <v>历史，聆听，母语，心理学，两项社交技能（取悦、话术、恐吓、说服），任意两项其他个人或时代特长。</v>
      </c>
      <c r="N419" s="1188" t="str">
        <f>IF(ISNUMBER(FIND(B239,M419)),B419&amp;C419&amp;"、","")</f>
        <v/>
      </c>
      <c r="O419" s="1704">
        <f t="shared" si="36"/>
        <v>0</v>
      </c>
      <c r="P419" s="1704">
        <f t="shared" si="37"/>
        <v>0</v>
      </c>
      <c r="Q419" s="1704">
        <f t="shared" si="38"/>
        <v>0</v>
      </c>
      <c r="R419" s="1704">
        <f t="shared" si="39"/>
        <v>0</v>
      </c>
      <c r="S419" s="1167">
        <f t="shared" si="40"/>
        <v>0</v>
      </c>
      <c r="Y419" s="1979" t="s">
        <v>3409</v>
      </c>
    </row>
    <row r="420" ht="16" spans="2:25">
      <c r="B420" s="1704">
        <f>职业列表!A170</f>
        <v>168</v>
      </c>
      <c r="C420" s="1704" t="str">
        <f>职业列表!B170</f>
        <v>非法移民</v>
      </c>
      <c r="D420" s="2017">
        <f>职业列表!D170</f>
        <v>0</v>
      </c>
      <c r="E420" s="2020">
        <f>职业列表!E170</f>
        <v>5</v>
      </c>
      <c r="F420" s="2020">
        <f>IF(F251=1,IF(E244&gt;=D420,1,0),IF(E244&lt;=D420,1,0))</f>
        <v>0</v>
      </c>
      <c r="G420" s="2020">
        <f>IF(G251=1,IF(C244&gt;=E420,1,0),IF(C244&lt;=E420,1,0))</f>
        <v>0</v>
      </c>
      <c r="H420" s="1723" t="str">
        <f t="shared" si="33"/>
        <v/>
      </c>
      <c r="I420" s="1704" t="str">
        <f t="shared" si="34"/>
        <v/>
      </c>
      <c r="J420" s="1792" t="str">
        <f t="shared" si="35"/>
        <v/>
      </c>
      <c r="K420" s="1723" t="str">
        <f>职业列表!F170</f>
        <v>教育×2＋力量或敏捷×2</v>
      </c>
      <c r="L420" s="1792" t="str">
        <f>IF(ISNUMBER(FIND(B241,K420)),B420&amp;C420&amp;"、","")</f>
        <v>168非法移民、</v>
      </c>
      <c r="M420" s="2042" t="str">
        <f>职业列表!H170</f>
        <v>乔装，话术，聆听，侦察，潜行，妙手，心理学，任意一项其他个人或时代特长。</v>
      </c>
      <c r="N420" s="1188" t="str">
        <f>IF(ISNUMBER(FIND(B239,M420)),B420&amp;C420&amp;"、","")</f>
        <v/>
      </c>
      <c r="O420" s="1704">
        <f t="shared" si="36"/>
        <v>16</v>
      </c>
      <c r="P420" s="1704">
        <f t="shared" si="37"/>
        <v>0</v>
      </c>
      <c r="Q420" s="1704">
        <f t="shared" si="38"/>
        <v>0</v>
      </c>
      <c r="R420" s="1704">
        <f t="shared" si="39"/>
        <v>0</v>
      </c>
      <c r="S420" s="1167">
        <f t="shared" si="40"/>
        <v>16</v>
      </c>
      <c r="Y420" s="1979" t="s">
        <v>237</v>
      </c>
    </row>
    <row r="421" ht="46" spans="2:25">
      <c r="B421" s="1704">
        <f>职业列表!A171</f>
        <v>169</v>
      </c>
      <c r="C421" s="1704" t="str">
        <f>职业列表!B171</f>
        <v>相扑力士</v>
      </c>
      <c r="D421" s="2017">
        <f>职业列表!D171</f>
        <v>9</v>
      </c>
      <c r="E421" s="2020">
        <f>职业列表!E171</f>
        <v>60</v>
      </c>
      <c r="F421" s="2020">
        <f>IF(F251=1,IF(E244&gt;=D421,1,0),IF(E244&lt;=D421,1,0))</f>
        <v>0</v>
      </c>
      <c r="G421" s="2020">
        <f>IF(G251=1,IF(C244&gt;=E421,1,0),IF(C244&lt;=E421,1,0))</f>
        <v>0</v>
      </c>
      <c r="H421" s="1723" t="str">
        <f t="shared" si="33"/>
        <v/>
      </c>
      <c r="I421" s="1704" t="str">
        <f t="shared" si="34"/>
        <v/>
      </c>
      <c r="J421" s="1792" t="str">
        <f t="shared" si="35"/>
        <v/>
      </c>
      <c r="K421" s="1723" t="str">
        <f>职业列表!F171</f>
        <v>教育×2＋力量×2</v>
      </c>
      <c r="L421" s="1792" t="str">
        <f>IF(ISNUMBER(FIND(B241,K421)),B421&amp;C421&amp;"、","")</f>
        <v>169相扑力士、</v>
      </c>
      <c r="M421" s="2042" t="str">
        <f>职业列表!H171</f>
        <v>闪避，格斗（斗殴），恐吓，跳跃，心理学，侦察，任意两项其他个人或时代特长。</v>
      </c>
      <c r="N421" s="1188" t="str">
        <f>IF(ISNUMBER(FIND(B239,M421)),B421&amp;C421&amp;"、","")</f>
        <v/>
      </c>
      <c r="O421" s="1704">
        <f t="shared" si="36"/>
        <v>16</v>
      </c>
      <c r="P421" s="1704">
        <f t="shared" si="37"/>
        <v>0</v>
      </c>
      <c r="Q421" s="1704">
        <f t="shared" si="38"/>
        <v>0</v>
      </c>
      <c r="R421" s="1704">
        <f t="shared" si="39"/>
        <v>0</v>
      </c>
      <c r="S421" s="1167">
        <f t="shared" si="40"/>
        <v>16</v>
      </c>
      <c r="Y421" s="1979" t="s">
        <v>3410</v>
      </c>
    </row>
    <row r="422" ht="46" spans="2:25">
      <c r="B422" s="1704">
        <f>职业列表!A172</f>
        <v>170</v>
      </c>
      <c r="C422" s="1704" t="str">
        <f>职业列表!B172</f>
        <v>渔民</v>
      </c>
      <c r="D422" s="2017">
        <f>职业列表!D172</f>
        <v>9</v>
      </c>
      <c r="E422" s="2020">
        <f>职业列表!E172</f>
        <v>30</v>
      </c>
      <c r="F422" s="2020">
        <f>IF(F251=1,IF(E244&gt;=D422,1,0),IF(E244&lt;=D422,1,0))</f>
        <v>0</v>
      </c>
      <c r="G422" s="2020">
        <f>IF(G251=1,IF(C244&gt;=E422,1,0),IF(C244&lt;=E422,1,0))</f>
        <v>0</v>
      </c>
      <c r="H422" s="1723" t="str">
        <f t="shared" si="33"/>
        <v/>
      </c>
      <c r="I422" s="1704" t="str">
        <f t="shared" si="34"/>
        <v/>
      </c>
      <c r="J422" s="1792" t="str">
        <f t="shared" si="35"/>
        <v/>
      </c>
      <c r="K422" s="1723" t="str">
        <f>职业列表!F172</f>
        <v>教育×2＋力量或敏捷×2</v>
      </c>
      <c r="L422" s="1792" t="str">
        <f>IF(ISNUMBER(FIND(B241,K422)),B422&amp;C422&amp;"、","")</f>
        <v>170渔民、</v>
      </c>
      <c r="M422" s="2042" t="str">
        <f>职业列表!H172</f>
        <v>机械维修，操作重型机械，游泳，驾驶（船），科学（天文），领航，博物学，侦察。</v>
      </c>
      <c r="N422" s="1188" t="str">
        <f>IF(ISNUMBER(FIND(B239,M422)),B422&amp;C422&amp;"、","")</f>
        <v/>
      </c>
      <c r="O422" s="1704">
        <f t="shared" si="36"/>
        <v>16</v>
      </c>
      <c r="P422" s="1704">
        <f t="shared" si="37"/>
        <v>0</v>
      </c>
      <c r="Q422" s="1704">
        <f t="shared" si="38"/>
        <v>0</v>
      </c>
      <c r="R422" s="1704">
        <f t="shared" si="39"/>
        <v>0</v>
      </c>
      <c r="S422" s="1167">
        <f t="shared" si="40"/>
        <v>16</v>
      </c>
      <c r="Y422" s="1979" t="s">
        <v>3411</v>
      </c>
    </row>
    <row r="423" ht="61" spans="2:25">
      <c r="B423" s="1704">
        <f>职业列表!A173</f>
        <v>171</v>
      </c>
      <c r="C423" s="1704" t="str">
        <f>职业列表!B173</f>
        <v>心理治疗师</v>
      </c>
      <c r="D423" s="2017">
        <f>职业列表!D173</f>
        <v>30</v>
      </c>
      <c r="E423" s="2020">
        <f>职业列表!E173</f>
        <v>50</v>
      </c>
      <c r="F423" s="2020">
        <f>IF(F251=1,IF(E244&gt;=D423,1,0),IF(E244&lt;=D423,1,0))</f>
        <v>0</v>
      </c>
      <c r="G423" s="2020">
        <f>IF(G251=1,IF(C244&gt;=E423,1,0),IF(C244&lt;=E423,1,0))</f>
        <v>0</v>
      </c>
      <c r="H423" s="1723" t="str">
        <f t="shared" si="33"/>
        <v/>
      </c>
      <c r="I423" s="1704" t="str">
        <f t="shared" si="34"/>
        <v/>
      </c>
      <c r="J423" s="1792" t="str">
        <f t="shared" si="35"/>
        <v/>
      </c>
      <c r="K423" s="1723" t="str">
        <f>职业列表!F173</f>
        <v>教育×4</v>
      </c>
      <c r="L423" s="1792" t="str">
        <f>IF(ISNUMBER(FIND(B241,K423)),B423&amp;C423&amp;"、","")</f>
        <v/>
      </c>
      <c r="M423" s="2042" t="str">
        <f>职业列表!H173</f>
        <v>艺术（任一），两项社交技能（取悦、话术、恐吓、说服），法律，外语，心理学，精神分析，任意一项其他个人或时代特长。</v>
      </c>
      <c r="N423" s="1188" t="str">
        <f>IF(ISNUMBER(FIND(B239,M423)),B423&amp;C423&amp;"、","")</f>
        <v/>
      </c>
      <c r="O423" s="1704">
        <f t="shared" si="36"/>
        <v>0</v>
      </c>
      <c r="P423" s="1704">
        <f t="shared" si="37"/>
        <v>0</v>
      </c>
      <c r="Q423" s="1704">
        <f t="shared" si="38"/>
        <v>0</v>
      </c>
      <c r="R423" s="1704">
        <f t="shared" si="39"/>
        <v>0</v>
      </c>
      <c r="S423" s="1167">
        <f t="shared" si="40"/>
        <v>0</v>
      </c>
      <c r="Y423" s="1979" t="s">
        <v>3412</v>
      </c>
    </row>
    <row r="424" ht="31" spans="2:25">
      <c r="B424" s="1704">
        <f>职业列表!A174</f>
        <v>172</v>
      </c>
      <c r="C424" s="1704" t="str">
        <f>职业列表!B174</f>
        <v>女学生</v>
      </c>
      <c r="D424" s="2017">
        <f>职业列表!D174</f>
        <v>5</v>
      </c>
      <c r="E424" s="2020">
        <f>职业列表!E174</f>
        <v>10</v>
      </c>
      <c r="F424" s="2020">
        <f>IF(F251=1,IF(E244&gt;=D424,1,0),IF(E244&lt;=D424,1,0))</f>
        <v>0</v>
      </c>
      <c r="G424" s="2020">
        <f>IF(G251=1,IF(C244&gt;=E424,1,0),IF(C244&lt;=E424,1,0))</f>
        <v>0</v>
      </c>
      <c r="H424" s="1723" t="str">
        <f t="shared" si="33"/>
        <v/>
      </c>
      <c r="I424" s="1704" t="str">
        <f t="shared" si="34"/>
        <v/>
      </c>
      <c r="J424" s="1792" t="str">
        <f t="shared" si="35"/>
        <v/>
      </c>
      <c r="K424" s="1723" t="str">
        <f>职业列表!F174</f>
        <v>教育×4</v>
      </c>
      <c r="L424" s="1792" t="str">
        <f>IF(ISNUMBER(FIND(B241,K424)),B424&amp;C424&amp;"、","")</f>
        <v/>
      </c>
      <c r="M424" s="2042" t="str">
        <f>职业列表!H174</f>
        <v>一项社交技能（取悦、话术、恐吓、说服），自行车驾驶，急救，聆听，艺术/ 工艺（任一），图书馆，格斗（矛）或射击（弓），外语（任一）。</v>
      </c>
      <c r="N424" s="1188" t="str">
        <f>IF(ISNUMBER(FIND(B239,M424)),B424&amp;C424&amp;"、","")</f>
        <v/>
      </c>
      <c r="O424" s="1704">
        <f t="shared" si="36"/>
        <v>0</v>
      </c>
      <c r="P424" s="1704">
        <f t="shared" si="37"/>
        <v>0</v>
      </c>
      <c r="Q424" s="1704">
        <f t="shared" si="38"/>
        <v>0</v>
      </c>
      <c r="R424" s="1704">
        <f t="shared" si="39"/>
        <v>0</v>
      </c>
      <c r="S424" s="1167">
        <f t="shared" si="40"/>
        <v>0</v>
      </c>
      <c r="Y424" s="1979" t="s">
        <v>3413</v>
      </c>
    </row>
    <row r="425" ht="31.75" spans="2:25">
      <c r="B425" s="1704">
        <f>职业列表!A175</f>
        <v>173</v>
      </c>
      <c r="C425" s="1704" t="str">
        <f>职业列表!B175</f>
        <v>寄居学生</v>
      </c>
      <c r="D425" s="2017">
        <f>职业列表!D175</f>
        <v>5</v>
      </c>
      <c r="E425" s="2020">
        <f>职业列表!E175</f>
        <v>10</v>
      </c>
      <c r="F425" s="2020">
        <f>IF(F251=1,IF(E244&gt;=D425,1,0),IF(E244&lt;=D425,1,0))</f>
        <v>0</v>
      </c>
      <c r="G425" s="2020">
        <f>IF(G251=1,IF(C244&gt;=E425,1,0),IF(C244&lt;=E425,1,0))</f>
        <v>0</v>
      </c>
      <c r="H425" s="1723" t="str">
        <f t="shared" si="33"/>
        <v/>
      </c>
      <c r="I425" s="1704" t="str">
        <f t="shared" si="34"/>
        <v/>
      </c>
      <c r="J425" s="1792" t="str">
        <f t="shared" si="35"/>
        <v/>
      </c>
      <c r="K425" s="1723" t="str">
        <f>职业列表!F175</f>
        <v>教育×4</v>
      </c>
      <c r="L425" s="1792" t="str">
        <f>IF(ISNUMBER(FIND(B241,K425)),B425&amp;C425&amp;"、","")</f>
        <v/>
      </c>
      <c r="M425" s="2042" t="str">
        <f>职业列表!H175</f>
        <v>急救，会计，手艺（木匠），说服，图书馆，外语（任一），任意两项其他个人或时代特长。</v>
      </c>
      <c r="N425" s="1188" t="str">
        <f>IF(ISNUMBER(FIND(B239,M425)),B425&amp;C425&amp;"、","")</f>
        <v/>
      </c>
      <c r="O425" s="1704">
        <f t="shared" si="36"/>
        <v>0</v>
      </c>
      <c r="P425" s="1704">
        <f t="shared" si="37"/>
        <v>0</v>
      </c>
      <c r="Q425" s="1704">
        <f t="shared" si="38"/>
        <v>0</v>
      </c>
      <c r="R425" s="1704">
        <f t="shared" si="39"/>
        <v>0</v>
      </c>
      <c r="S425" s="1167">
        <f t="shared" si="40"/>
        <v>0</v>
      </c>
      <c r="Y425" s="2102" t="s">
        <v>3414</v>
      </c>
    </row>
    <row r="426" spans="2:25">
      <c r="B426" s="1704">
        <f>职业列表!A176</f>
        <v>174</v>
      </c>
      <c r="C426" s="1704" t="str">
        <f>职业列表!B176</f>
        <v>动物辅助治疗师</v>
      </c>
      <c r="D426" s="2017">
        <f>职业列表!D176</f>
        <v>30</v>
      </c>
      <c r="E426" s="2020">
        <f>职业列表!E176</f>
        <v>50</v>
      </c>
      <c r="F426" s="2020">
        <f>IF(F251=1,IF(E244&gt;=D426,1,0),IF(E244&lt;=D426,1,0))</f>
        <v>0</v>
      </c>
      <c r="G426" s="2020">
        <f>IF(G251=1,IF(C244&gt;=E426,1,0),IF(C244&lt;=E426,1,0))</f>
        <v>0</v>
      </c>
      <c r="H426" s="1723" t="str">
        <f t="shared" si="33"/>
        <v/>
      </c>
      <c r="I426" s="1704" t="str">
        <f t="shared" si="34"/>
        <v/>
      </c>
      <c r="J426" s="1792" t="str">
        <f t="shared" si="35"/>
        <v/>
      </c>
      <c r="K426" s="1723" t="str">
        <f>职业列表!F176</f>
        <v>教育×2＋外貌或意志×2</v>
      </c>
      <c r="L426" s="1792" t="str">
        <f>IF(ISNUMBER(FIND(B241,K426)),B426&amp;C426&amp;"、","")</f>
        <v/>
      </c>
      <c r="M426" s="2042" t="str">
        <f>职业列表!H176</f>
        <v>聆听，心理学，精神分析，科学（动物学），跳跃，追踪，博物学，任意一项其他个人或时代特长。
跳跃，追踪，博物学，任意一项其他个人或时代特长。</v>
      </c>
      <c r="N426" s="1188" t="str">
        <f>IF(ISNUMBER(FIND(B239,M426)),B426&amp;C426&amp;"、","")</f>
        <v/>
      </c>
      <c r="O426" s="1704">
        <f t="shared" si="36"/>
        <v>0</v>
      </c>
      <c r="P426" s="1704">
        <f t="shared" si="37"/>
        <v>0</v>
      </c>
      <c r="Q426" s="1704">
        <f t="shared" si="38"/>
        <v>0</v>
      </c>
      <c r="R426" s="1704">
        <f t="shared" si="39"/>
        <v>0</v>
      </c>
      <c r="S426" s="1167">
        <f t="shared" si="40"/>
        <v>0</v>
      </c>
      <c r="Y426" s="1704" t="s">
        <v>338</v>
      </c>
    </row>
    <row r="427" spans="2:19">
      <c r="B427" s="1704">
        <f>职业列表!A177</f>
        <v>175</v>
      </c>
      <c r="C427" s="1704" t="str">
        <f>职业列表!B177</f>
        <v>急诊医生/救援队员</v>
      </c>
      <c r="D427" s="2017">
        <f>职业列表!D177</f>
        <v>10</v>
      </c>
      <c r="E427" s="2020">
        <f>职业列表!E177</f>
        <v>50</v>
      </c>
      <c r="F427" s="2020">
        <f>IF(F251=1,IF(E244&gt;=D427,1,0),IF(E244&lt;=D427,1,0))</f>
        <v>0</v>
      </c>
      <c r="G427" s="2020">
        <f>IF(G251=1,IF(C244&gt;=E427,1,0),IF(C244&lt;=E427,1,0))</f>
        <v>0</v>
      </c>
      <c r="H427" s="1723" t="str">
        <f t="shared" si="33"/>
        <v/>
      </c>
      <c r="I427" s="1704" t="str">
        <f t="shared" si="34"/>
        <v/>
      </c>
      <c r="J427" s="1792" t="str">
        <f t="shared" si="35"/>
        <v/>
      </c>
      <c r="K427" s="1723" t="str">
        <f>职业列表!F177</f>
        <v>教育×4</v>
      </c>
      <c r="L427" s="1792" t="str">
        <f>IF(ISNUMBER(FIND(B241,K427)),B427&amp;C427&amp;"、","")</f>
        <v/>
      </c>
      <c r="M427" s="2042" t="str">
        <f>职业列表!H177</f>
        <v>医学，急救，科学（化学），锁匠，机械维修，电气维修，攀爬，跳跃。</v>
      </c>
      <c r="N427" s="1188" t="str">
        <f>IF(ISNUMBER(FIND(B239,M427)),B427&amp;C427&amp;"、","")</f>
        <v/>
      </c>
      <c r="O427" s="1704">
        <f t="shared" si="36"/>
        <v>0</v>
      </c>
      <c r="P427" s="1704">
        <f t="shared" si="37"/>
        <v>0</v>
      </c>
      <c r="Q427" s="1704">
        <f t="shared" si="38"/>
        <v>0</v>
      </c>
      <c r="R427" s="1704">
        <f t="shared" si="39"/>
        <v>0</v>
      </c>
      <c r="S427" s="1167">
        <f t="shared" si="40"/>
        <v>0</v>
      </c>
    </row>
    <row r="428" spans="2:19">
      <c r="B428" s="1704">
        <f>职业列表!A178</f>
        <v>176</v>
      </c>
      <c r="C428" s="1704" t="str">
        <f>职业列表!B178</f>
        <v>密医</v>
      </c>
      <c r="D428" s="2017">
        <f>职业列表!D178</f>
        <v>10</v>
      </c>
      <c r="E428" s="2020">
        <f>职业列表!E178</f>
        <v>70</v>
      </c>
      <c r="F428" s="2020">
        <f>IF(F251=1,IF(E244&gt;=D428,1,0),IF(E244&lt;=D428,1,0))</f>
        <v>0</v>
      </c>
      <c r="G428" s="2020">
        <f>IF(G251=1,IF(C244&gt;=E428,1,0),IF(C244&lt;=E428,1,0))</f>
        <v>0</v>
      </c>
      <c r="H428" s="1723" t="str">
        <f t="shared" si="33"/>
        <v/>
      </c>
      <c r="I428" s="1704" t="str">
        <f t="shared" si="34"/>
        <v/>
      </c>
      <c r="J428" s="1792" t="str">
        <f t="shared" si="35"/>
        <v/>
      </c>
      <c r="K428" s="1723" t="str">
        <f>职业列表!F178</f>
        <v>教育×4</v>
      </c>
      <c r="L428" s="1792" t="str">
        <f>IF(ISNUMBER(FIND(B241,K428)),B428&amp;C428&amp;"、","")</f>
        <v/>
      </c>
      <c r="M428" s="2042" t="str">
        <f>职业列表!H178</f>
        <v>医学，急救，会计，一项社交技能（取悦、话术、恐吓、说服），法律，科学（药学），外语，任意一项其他个人或时代特长。</v>
      </c>
      <c r="N428" s="1188" t="str">
        <f>IF(ISNUMBER(FIND(B239,M428)),B428&amp;C428&amp;"、","")</f>
        <v/>
      </c>
      <c r="O428" s="1704">
        <f t="shared" si="36"/>
        <v>0</v>
      </c>
      <c r="P428" s="1704">
        <f t="shared" si="37"/>
        <v>0</v>
      </c>
      <c r="Q428" s="1704">
        <f t="shared" si="38"/>
        <v>0</v>
      </c>
      <c r="R428" s="1704">
        <f t="shared" si="39"/>
        <v>0</v>
      </c>
      <c r="S428" s="1167">
        <f t="shared" si="40"/>
        <v>0</v>
      </c>
    </row>
    <row r="429" spans="2:19">
      <c r="B429" s="1704">
        <f>职业列表!A179</f>
        <v>177</v>
      </c>
      <c r="C429" s="1704" t="str">
        <f>职业列表!B179</f>
        <v>科学搜查研究员</v>
      </c>
      <c r="D429" s="2017">
        <f>职业列表!D179</f>
        <v>30</v>
      </c>
      <c r="E429" s="2020">
        <f>职业列表!E179</f>
        <v>50</v>
      </c>
      <c r="F429" s="2020">
        <f>IF(F251=1,IF(E244&gt;=D429,1,0),IF(E244&lt;=D429,1,0))</f>
        <v>0</v>
      </c>
      <c r="G429" s="2020">
        <f>IF(G251=1,IF(C244&gt;=E429,1,0),IF(C244&lt;=E429,1,0))</f>
        <v>0</v>
      </c>
      <c r="H429" s="1723" t="str">
        <f t="shared" si="33"/>
        <v/>
      </c>
      <c r="I429" s="1704" t="str">
        <f t="shared" si="34"/>
        <v/>
      </c>
      <c r="J429" s="1792" t="str">
        <f t="shared" si="35"/>
        <v/>
      </c>
      <c r="K429" s="1723" t="str">
        <f>职业列表!F179</f>
        <v>教育×4</v>
      </c>
      <c r="L429" s="1792" t="str">
        <f>IF(ISNUMBER(FIND(B241,K429)),B429&amp;C429&amp;"、","")</f>
        <v/>
      </c>
      <c r="M429" s="2042" t="str">
        <f>职业列表!H179</f>
        <v>艺术（摄影），医学，法律，科学（化学，司法科学，药学），侦察，任意一项其他个人或时代特长。</v>
      </c>
      <c r="N429" s="1188" t="str">
        <f>IF(ISNUMBER(FIND(B239,M429)),B429&amp;C429&amp;"、","")</f>
        <v/>
      </c>
      <c r="O429" s="1704">
        <f t="shared" si="36"/>
        <v>0</v>
      </c>
      <c r="P429" s="1704">
        <f t="shared" si="37"/>
        <v>0</v>
      </c>
      <c r="Q429" s="1704">
        <f t="shared" si="38"/>
        <v>0</v>
      </c>
      <c r="R429" s="1704">
        <f t="shared" si="39"/>
        <v>0</v>
      </c>
      <c r="S429" s="1167">
        <f t="shared" si="40"/>
        <v>0</v>
      </c>
    </row>
    <row r="430" spans="2:19">
      <c r="B430" s="1704">
        <f>职业列表!A180</f>
        <v>178</v>
      </c>
      <c r="C430" s="1704" t="str">
        <f>职业列表!B180</f>
        <v>山岳救援队员</v>
      </c>
      <c r="D430" s="2017">
        <f>职业列表!D180</f>
        <v>10</v>
      </c>
      <c r="E430" s="2020">
        <f>职业列表!E180</f>
        <v>50</v>
      </c>
      <c r="F430" s="2020">
        <f>IF(F251=1,IF(E244&gt;=D430,1,0),IF(E244&lt;=D430,1,0))</f>
        <v>0</v>
      </c>
      <c r="G430" s="2020">
        <f>IF(G251=1,IF(C244&gt;=E430,1,0),IF(C244&lt;=E430,1,0))</f>
        <v>0</v>
      </c>
      <c r="H430" s="1723" t="str">
        <f t="shared" si="33"/>
        <v/>
      </c>
      <c r="I430" s="1704" t="str">
        <f t="shared" si="34"/>
        <v/>
      </c>
      <c r="J430" s="1792" t="str">
        <f t="shared" si="35"/>
        <v/>
      </c>
      <c r="K430" s="1723" t="str">
        <f>职业列表!F180</f>
        <v>教育×2＋力量或敏捷×2</v>
      </c>
      <c r="L430" s="1792" t="str">
        <f>IF(ISNUMBER(FIND(B241,K430)),B430&amp;C430&amp;"、","")</f>
        <v>178山岳救援队员、</v>
      </c>
      <c r="M430" s="2042" t="str">
        <f>职业列表!H180</f>
        <v>急救，聆听，跳跃，追踪，攀爬，领航，生存（山地），外语。</v>
      </c>
      <c r="N430" s="1188" t="str">
        <f>IF(ISNUMBER(FIND(B239,M430)),B430&amp;C430&amp;"、","")</f>
        <v/>
      </c>
      <c r="O430" s="1704">
        <f t="shared" si="36"/>
        <v>16</v>
      </c>
      <c r="P430" s="1704">
        <f t="shared" si="37"/>
        <v>0</v>
      </c>
      <c r="Q430" s="1704">
        <f t="shared" si="38"/>
        <v>0</v>
      </c>
      <c r="R430" s="1704">
        <f t="shared" si="39"/>
        <v>0</v>
      </c>
      <c r="S430" s="1167">
        <f t="shared" si="40"/>
        <v>16</v>
      </c>
    </row>
    <row r="431" spans="2:19">
      <c r="B431" s="1704">
        <f>职业列表!A181</f>
        <v>179</v>
      </c>
      <c r="C431" s="1704" t="str">
        <f>职业列表!B181</f>
        <v>舞者</v>
      </c>
      <c r="D431" s="2017">
        <f>职业列表!D181</f>
        <v>9</v>
      </c>
      <c r="E431" s="2020">
        <f>职业列表!E181</f>
        <v>70</v>
      </c>
      <c r="F431" s="2020">
        <f>IF(F251=1,IF(E244&gt;=D431,1,0),IF(E244&lt;=D431,1,0))</f>
        <v>0</v>
      </c>
      <c r="G431" s="2020">
        <f>IF(G251=1,IF(C244&gt;=E431,1,0),IF(C244&lt;=E431,1,0))</f>
        <v>0</v>
      </c>
      <c r="H431" s="1723" t="str">
        <f t="shared" si="33"/>
        <v/>
      </c>
      <c r="I431" s="1704" t="str">
        <f t="shared" si="34"/>
        <v/>
      </c>
      <c r="J431" s="1792" t="str">
        <f t="shared" si="35"/>
        <v/>
      </c>
      <c r="K431" s="1723" t="str">
        <f>职业列表!F181</f>
        <v>教育×2＋外貌×2</v>
      </c>
      <c r="L431" s="1792" t="str">
        <f>IF(ISNUMBER(FIND(B241,K431)),B431&amp;C431&amp;"、","")</f>
        <v/>
      </c>
      <c r="M431" s="2042" t="str">
        <f>职业列表!H181</f>
        <v>技艺（表演类，如表演、演唱、喜剧等），乔装，两项社交技能（取悦、话术、恐吓、说服），聆听，心理学，任意两项其他个人或时代特长。</v>
      </c>
      <c r="N431" s="1188" t="str">
        <f>IF(ISNUMBER(FIND(B239,M431)),B431&amp;C431&amp;"、","")</f>
        <v/>
      </c>
      <c r="O431" s="1704">
        <f t="shared" si="36"/>
        <v>0</v>
      </c>
      <c r="P431" s="1704">
        <f t="shared" si="37"/>
        <v>0</v>
      </c>
      <c r="Q431" s="1704">
        <f t="shared" si="38"/>
        <v>0</v>
      </c>
      <c r="R431" s="1704">
        <f t="shared" si="39"/>
        <v>0</v>
      </c>
      <c r="S431" s="1167">
        <f t="shared" si="40"/>
        <v>0</v>
      </c>
    </row>
    <row r="432" spans="2:19">
      <c r="B432" s="1704">
        <f>职业列表!A182</f>
        <v>180</v>
      </c>
      <c r="C432" s="1704" t="str">
        <f>职业列表!B182</f>
        <v>服装设计师</v>
      </c>
      <c r="D432" s="2017">
        <f>职业列表!D182</f>
        <v>20</v>
      </c>
      <c r="E432" s="2020">
        <f>职业列表!E182</f>
        <v>60</v>
      </c>
      <c r="F432" s="2020">
        <f>IF(F251=1,IF(E244&gt;=D432,1,0),IF(E244&lt;=D432,1,0))</f>
        <v>0</v>
      </c>
      <c r="G432" s="2020">
        <f>IF(G251=1,IF(C244&gt;=E432,1,0),IF(C244&lt;=E432,1,0))</f>
        <v>0</v>
      </c>
      <c r="H432" s="1723" t="str">
        <f t="shared" si="33"/>
        <v/>
      </c>
      <c r="I432" s="1704" t="str">
        <f t="shared" si="34"/>
        <v/>
      </c>
      <c r="J432" s="1792" t="str">
        <f t="shared" si="35"/>
        <v/>
      </c>
      <c r="K432" s="1723" t="str">
        <f>职业列表!F182</f>
        <v>教育×4</v>
      </c>
      <c r="L432" s="1792" t="str">
        <f>IF(ISNUMBER(FIND(B241,K432)),B432&amp;C432&amp;"、","")</f>
        <v/>
      </c>
      <c r="M432" s="2042" t="str">
        <f>职业列表!H182</f>
        <v>会计，技艺（摄影），技艺（任一），计算机或图书馆，乔装，心理学，侦察，任意一项其他个人特长。※可以通过成功的「侦察」检定，从对方的服饰判定其地位和收入等。
</v>
      </c>
      <c r="N432" s="1188" t="str">
        <f>IF(ISNUMBER(FIND(B239,M432)),B432&amp;C432&amp;"、","")</f>
        <v/>
      </c>
      <c r="O432" s="1704">
        <f t="shared" si="36"/>
        <v>0</v>
      </c>
      <c r="P432" s="1704">
        <f t="shared" si="37"/>
        <v>0</v>
      </c>
      <c r="Q432" s="1704">
        <f t="shared" si="38"/>
        <v>0</v>
      </c>
      <c r="R432" s="1704">
        <f t="shared" si="39"/>
        <v>0</v>
      </c>
      <c r="S432" s="1167">
        <f t="shared" si="40"/>
        <v>0</v>
      </c>
    </row>
    <row r="433" spans="2:19">
      <c r="B433" s="1704">
        <f>职业列表!A183</f>
        <v>181</v>
      </c>
      <c r="C433" s="1704" t="str">
        <f>职业列表!B183</f>
        <v>海上自卫队员</v>
      </c>
      <c r="D433" s="2017">
        <f>职业列表!D183</f>
        <v>9</v>
      </c>
      <c r="E433" s="2020">
        <f>职业列表!E183</f>
        <v>30</v>
      </c>
      <c r="F433" s="2020">
        <f>IF(F251=1,IF(E244&gt;=D433,1,0),IF(E244&lt;=D433,1,0))</f>
        <v>0</v>
      </c>
      <c r="G433" s="2020">
        <f>IF(G251=1,IF(C244&gt;=E433,1,0),IF(C244&lt;=E433,1,0))</f>
        <v>0</v>
      </c>
      <c r="H433" s="1723" t="str">
        <f t="shared" si="33"/>
        <v/>
      </c>
      <c r="I433" s="1704" t="str">
        <f t="shared" si="34"/>
        <v/>
      </c>
      <c r="J433" s="1792" t="str">
        <f t="shared" si="35"/>
        <v/>
      </c>
      <c r="K433" s="1723" t="str">
        <f>职业列表!F183</f>
        <v>教育×4</v>
      </c>
      <c r="L433" s="1792" t="str">
        <f>IF(ISNUMBER(FIND(B241,K433)),B433&amp;C433&amp;"、","")</f>
        <v/>
      </c>
      <c r="M433" s="2042" t="str">
        <f>职业列表!H183</f>
        <v>电气维修或机械维修，格斗，射击，急救，领航，驾驶（船），生存（海上），游泳。</v>
      </c>
      <c r="N433" s="1188" t="str">
        <f>IF(ISNUMBER(FIND(B239,M433)),B433&amp;C433&amp;"、","")</f>
        <v/>
      </c>
      <c r="O433" s="1704">
        <f t="shared" si="36"/>
        <v>0</v>
      </c>
      <c r="P433" s="1704">
        <f t="shared" si="37"/>
        <v>0</v>
      </c>
      <c r="Q433" s="1704">
        <f t="shared" si="38"/>
        <v>0</v>
      </c>
      <c r="R433" s="1704">
        <f t="shared" si="39"/>
        <v>0</v>
      </c>
      <c r="S433" s="1167">
        <f t="shared" si="40"/>
        <v>0</v>
      </c>
    </row>
    <row r="434" spans="2:19">
      <c r="B434" s="1704">
        <f>职业列表!A184</f>
        <v>182</v>
      </c>
      <c r="C434" s="1704" t="str">
        <f>职业列表!B184</f>
        <v>海警</v>
      </c>
      <c r="D434" s="2017">
        <f>职业列表!D184</f>
        <v>20</v>
      </c>
      <c r="E434" s="2020">
        <f>职业列表!E184</f>
        <v>40</v>
      </c>
      <c r="F434" s="2020">
        <f>IF(F251=1,IF(E244&gt;=D434,1,0),IF(E244&lt;=D434,1,0))</f>
        <v>0</v>
      </c>
      <c r="G434" s="2020">
        <f>IF(G251=1,IF(C244&gt;=E434,1,0),IF(C244&lt;=E434,1,0))</f>
        <v>0</v>
      </c>
      <c r="H434" s="1723" t="str">
        <f t="shared" si="33"/>
        <v/>
      </c>
      <c r="I434" s="1704" t="str">
        <f t="shared" si="34"/>
        <v/>
      </c>
      <c r="J434" s="1792" t="str">
        <f t="shared" si="35"/>
        <v/>
      </c>
      <c r="K434" s="1723" t="str">
        <f>职业列表!F184</f>
        <v>教育×4</v>
      </c>
      <c r="L434" s="1792" t="str">
        <f>IF(ISNUMBER(FIND(B241,K434)),B434&amp;C434&amp;"、","")</f>
        <v/>
      </c>
      <c r="M434" s="2042" t="str">
        <f>职业列表!H184</f>
        <v>急救，机械维修，博物学，领航，一项社交技能（取悦、话术、恐吓、说服），驾驶（船），侦察，游泳。</v>
      </c>
      <c r="N434" s="1188" t="str">
        <f>IF(ISNUMBER(FIND(B239,M434)),B434&amp;C434&amp;"、","")</f>
        <v/>
      </c>
      <c r="O434" s="1704">
        <f t="shared" si="36"/>
        <v>0</v>
      </c>
      <c r="P434" s="1704">
        <f t="shared" si="37"/>
        <v>0</v>
      </c>
      <c r="Q434" s="1704">
        <f t="shared" si="38"/>
        <v>0</v>
      </c>
      <c r="R434" s="1704">
        <f t="shared" si="39"/>
        <v>0</v>
      </c>
      <c r="S434" s="1167">
        <f t="shared" si="40"/>
        <v>0</v>
      </c>
    </row>
    <row r="435" spans="2:19">
      <c r="B435" s="1704">
        <f>职业列表!A185</f>
        <v>183</v>
      </c>
      <c r="C435" s="1704" t="str">
        <f>职业列表!B185</f>
        <v>陆上自卫队员</v>
      </c>
      <c r="D435" s="2017">
        <f>职业列表!D185</f>
        <v>9</v>
      </c>
      <c r="E435" s="2020">
        <f>职业列表!E185</f>
        <v>60</v>
      </c>
      <c r="F435" s="2020">
        <f>IF(F251=1,IF(E244&gt;=D435,1,0),IF(E244&lt;=D435,1,0))</f>
        <v>0</v>
      </c>
      <c r="G435" s="2020">
        <f>IF(G251=1,IF(C244&gt;=E435,1,0),IF(C244&lt;=E435,1,0))</f>
        <v>0</v>
      </c>
      <c r="H435" s="1723" t="str">
        <f t="shared" si="33"/>
        <v/>
      </c>
      <c r="I435" s="1704" t="str">
        <f t="shared" si="34"/>
        <v/>
      </c>
      <c r="J435" s="1792" t="str">
        <f t="shared" si="35"/>
        <v/>
      </c>
      <c r="K435" s="1723" t="str">
        <f>职业列表!F185</f>
        <v>教育×2＋力量或敏捷×2</v>
      </c>
      <c r="L435" s="1792" t="str">
        <f>IF(ISNUMBER(FIND(B241,K435)),B435&amp;C435&amp;"、","")</f>
        <v>183陆上自卫队员、</v>
      </c>
      <c r="M435" s="2042" t="str">
        <f>职业列表!H185</f>
        <v>攀爬或游泳，闪避，格斗，射击，潜行，生存，下面任选两项：急救、机械维修、外语。</v>
      </c>
      <c r="N435" s="1188" t="str">
        <f>IF(ISNUMBER(FIND(B239,M435)),B435&amp;C435&amp;"、","")</f>
        <v/>
      </c>
      <c r="O435" s="1704">
        <f t="shared" si="36"/>
        <v>16</v>
      </c>
      <c r="P435" s="1704">
        <f t="shared" si="37"/>
        <v>0</v>
      </c>
      <c r="Q435" s="1704">
        <f t="shared" si="38"/>
        <v>0</v>
      </c>
      <c r="R435" s="1704">
        <f t="shared" si="39"/>
        <v>0</v>
      </c>
      <c r="S435" s="1167">
        <f t="shared" si="40"/>
        <v>16</v>
      </c>
    </row>
    <row r="436" spans="2:19">
      <c r="B436" s="1704">
        <f>职业列表!A186</f>
        <v>184</v>
      </c>
      <c r="C436" s="1704" t="str">
        <f>职业列表!B186</f>
        <v>私人军事公司成员</v>
      </c>
      <c r="D436" s="2017">
        <f>职业列表!D186</f>
        <v>9</v>
      </c>
      <c r="E436" s="2020">
        <f>职业列表!E186</f>
        <v>60</v>
      </c>
      <c r="F436" s="2020">
        <f>IF(F251=1,IF(E244&gt;=D436,1,0),IF(E244&lt;=D436,1,0))</f>
        <v>0</v>
      </c>
      <c r="G436" s="2020">
        <f>IF(G251=1,IF(C244&gt;=E436,1,0),IF(C244&lt;=E436,1,0))</f>
        <v>0</v>
      </c>
      <c r="H436" s="1723" t="str">
        <f t="shared" si="33"/>
        <v/>
      </c>
      <c r="I436" s="1704" t="str">
        <f t="shared" si="34"/>
        <v/>
      </c>
      <c r="J436" s="1792" t="str">
        <f t="shared" si="35"/>
        <v/>
      </c>
      <c r="K436" s="1723" t="str">
        <f>职业列表!F186</f>
        <v>教育×2＋力量或敏捷×2</v>
      </c>
      <c r="L436" s="1792" t="str">
        <f>IF(ISNUMBER(FIND(B241,K436)),B436&amp;C436&amp;"、","")</f>
        <v>184私人军事公司成员、</v>
      </c>
      <c r="M436" s="2042" t="str">
        <f>职业列表!H186</f>
        <v>攀爬或游泳，闪避，格斗，射击，潜行，生存，下面任选两项：急救、机械维修、外语。</v>
      </c>
      <c r="N436" s="1188" t="str">
        <f>IF(ISNUMBER(FIND(B239,M436)),B436&amp;C436&amp;"、","")</f>
        <v/>
      </c>
      <c r="O436" s="1704">
        <f t="shared" si="36"/>
        <v>16</v>
      </c>
      <c r="P436" s="1704">
        <f t="shared" si="37"/>
        <v>0</v>
      </c>
      <c r="Q436" s="1704">
        <f t="shared" si="38"/>
        <v>0</v>
      </c>
      <c r="R436" s="1704">
        <f t="shared" si="39"/>
        <v>0</v>
      </c>
      <c r="S436" s="1167">
        <f t="shared" si="40"/>
        <v>16</v>
      </c>
    </row>
    <row r="437" spans="2:19">
      <c r="B437" s="1704">
        <f>职业列表!A187</f>
        <v>185</v>
      </c>
      <c r="C437" s="1704" t="str">
        <f>职业列表!B187</f>
        <v>冒险家教授</v>
      </c>
      <c r="D437" s="2017">
        <f>职业列表!D187</f>
        <v>55</v>
      </c>
      <c r="E437" s="2020">
        <f>职业列表!E187</f>
        <v>80</v>
      </c>
      <c r="F437" s="2020">
        <f>IF(F251=1,IF(E244&gt;=D437,1,0),IF(E244&lt;=D437,1,0))</f>
        <v>1</v>
      </c>
      <c r="G437" s="2020">
        <f>IF(G251=1,IF(C244&gt;=E437,1,0),IF(C244&lt;=E437,1,0))</f>
        <v>0</v>
      </c>
      <c r="H437" s="1723" t="str">
        <f t="shared" si="33"/>
        <v>185冒险家教授、</v>
      </c>
      <c r="I437" s="1704" t="str">
        <f t="shared" si="34"/>
        <v/>
      </c>
      <c r="J437" s="1792" t="str">
        <f t="shared" si="35"/>
        <v/>
      </c>
      <c r="K437" s="1723" t="str">
        <f>职业列表!F187</f>
        <v>教育×2＋外貌或敏捷或力量×2</v>
      </c>
      <c r="L437" s="1792" t="str">
        <f>IF(ISNUMBER(FIND(B241,K437)),B437&amp;C437&amp;"、","")</f>
        <v>185冒险家教授、</v>
      </c>
      <c r="M437" s="2042" t="str">
        <f>职业列表!H187</f>
        <v>攀爬或游泳，射击，历史，跳跃，博物学，领航，外语，生存。</v>
      </c>
      <c r="N437" s="1188" t="str">
        <f>IF(ISNUMBER(FIND(B239,M437)),B437&amp;C437&amp;"、","")</f>
        <v/>
      </c>
      <c r="O437" s="1704">
        <f t="shared" si="36"/>
        <v>16</v>
      </c>
      <c r="P437" s="1704">
        <f t="shared" si="37"/>
        <v>0</v>
      </c>
      <c r="Q437" s="1704">
        <f t="shared" si="38"/>
        <v>49</v>
      </c>
      <c r="R437" s="1704">
        <f t="shared" si="39"/>
        <v>0</v>
      </c>
      <c r="S437" s="1167">
        <f t="shared" si="40"/>
        <v>65</v>
      </c>
    </row>
    <row r="438" spans="2:19">
      <c r="B438" s="1704">
        <f>职业列表!A188</f>
        <v>186</v>
      </c>
      <c r="C438" s="1704" t="str">
        <f>职业列表!B188</f>
        <v>评论家</v>
      </c>
      <c r="D438" s="2017">
        <f>职业列表!D188</f>
        <v>30</v>
      </c>
      <c r="E438" s="2020">
        <f>职业列表!E188</f>
        <v>70</v>
      </c>
      <c r="F438" s="2020">
        <f>IF(F251=1,IF(E244&gt;=D438,1,0),IF(E244&lt;=D438,1,0))</f>
        <v>0</v>
      </c>
      <c r="G438" s="2020">
        <f>IF(G251=1,IF(C244&gt;=E438,1,0),IF(C244&lt;=E438,1,0))</f>
        <v>0</v>
      </c>
      <c r="H438" s="1723" t="str">
        <f t="shared" si="33"/>
        <v/>
      </c>
      <c r="I438" s="1704" t="str">
        <f t="shared" si="34"/>
        <v/>
      </c>
      <c r="J438" s="1792" t="str">
        <f t="shared" si="35"/>
        <v/>
      </c>
      <c r="K438" s="1723" t="str">
        <f>职业列表!F188</f>
        <v>教育×4</v>
      </c>
      <c r="L438" s="1792" t="str">
        <f>IF(ISNUMBER(FIND(B241,K438)),B438&amp;C438&amp;"、","")</f>
        <v/>
      </c>
      <c r="M438" s="2042" t="str">
        <f>职业列表!H188</f>
        <v>乔装，一项社交技能（取悦、话术、恐吓、说服），历史或图书馆，母语，外语，心理学，潜行。</v>
      </c>
      <c r="N438" s="1188" t="str">
        <f>IF(ISNUMBER(FIND(B239,M438)),B438&amp;C438&amp;"、","")</f>
        <v/>
      </c>
      <c r="O438" s="1704">
        <f t="shared" si="36"/>
        <v>0</v>
      </c>
      <c r="P438" s="1704">
        <f t="shared" si="37"/>
        <v>0</v>
      </c>
      <c r="Q438" s="1704">
        <f t="shared" si="38"/>
        <v>0</v>
      </c>
      <c r="R438" s="1704">
        <f t="shared" si="39"/>
        <v>0</v>
      </c>
      <c r="S438" s="1167">
        <f t="shared" si="40"/>
        <v>0</v>
      </c>
    </row>
    <row r="439" spans="2:19">
      <c r="B439" s="1704">
        <f>职业列表!A189</f>
        <v>187</v>
      </c>
      <c r="C439" s="1704" t="str">
        <f>职业列表!B189</f>
        <v>偶像</v>
      </c>
      <c r="D439" s="2017">
        <f>职业列表!D189</f>
        <v>9</v>
      </c>
      <c r="E439" s="2020">
        <f>职业列表!E189</f>
        <v>70</v>
      </c>
      <c r="F439" s="2020">
        <f>IF(F251=1,IF(E244&gt;=D439,1,0),IF(E244&lt;=D439,1,0))</f>
        <v>0</v>
      </c>
      <c r="G439" s="2020">
        <f>IF(G251=1,IF(C244&gt;=E439,1,0),IF(C244&lt;=E439,1,0))</f>
        <v>0</v>
      </c>
      <c r="H439" s="1723" t="str">
        <f t="shared" si="33"/>
        <v/>
      </c>
      <c r="I439" s="1704" t="str">
        <f t="shared" si="34"/>
        <v/>
      </c>
      <c r="J439" s="1792" t="str">
        <f t="shared" si="35"/>
        <v/>
      </c>
      <c r="K439" s="1723" t="str">
        <f>职业列表!F189</f>
        <v>教育×2＋外貌×2</v>
      </c>
      <c r="L439" s="1792" t="str">
        <f>IF(ISNUMBER(FIND(B241,K439)),B439&amp;C439&amp;"、","")</f>
        <v/>
      </c>
      <c r="M439" s="2042" t="str">
        <f>职业列表!H189</f>
        <v>技艺（表演,歌唱,舞蹈），乔装，两项社交技能（取悦、话术、恐吓、说服），聆听，心理学，任意两项其他个人或时代特长。</v>
      </c>
      <c r="N439" s="1188" t="str">
        <f>IF(ISNUMBER(FIND(B239,M439)),B439&amp;C439&amp;"、","")</f>
        <v/>
      </c>
      <c r="O439" s="1704">
        <f t="shared" si="36"/>
        <v>0</v>
      </c>
      <c r="P439" s="1704">
        <f t="shared" si="37"/>
        <v>0</v>
      </c>
      <c r="Q439" s="1704">
        <f t="shared" si="38"/>
        <v>0</v>
      </c>
      <c r="R439" s="1704">
        <f t="shared" si="39"/>
        <v>0</v>
      </c>
      <c r="S439" s="1167">
        <f t="shared" si="40"/>
        <v>0</v>
      </c>
    </row>
    <row r="440" spans="2:19">
      <c r="B440" s="1704">
        <f>职业列表!A190</f>
        <v>188</v>
      </c>
      <c r="C440" s="1704" t="str">
        <f>职业列表!B190</f>
        <v>歌手</v>
      </c>
      <c r="D440" s="2017">
        <f>职业列表!D190</f>
        <v>9</v>
      </c>
      <c r="E440" s="2020">
        <f>职业列表!E190</f>
        <v>70</v>
      </c>
      <c r="F440" s="2020">
        <f>IF(F251=1,IF(E244&gt;=D440,1,0),IF(E244&lt;=D440,1,0))</f>
        <v>0</v>
      </c>
      <c r="G440" s="2020">
        <f>IF(G251=1,IF(C244&gt;=E440,1,0),IF(C244&lt;=E440,1,0))</f>
        <v>0</v>
      </c>
      <c r="H440" s="1723" t="str">
        <f t="shared" si="33"/>
        <v/>
      </c>
      <c r="I440" s="1704" t="str">
        <f t="shared" si="34"/>
        <v/>
      </c>
      <c r="J440" s="1792" t="str">
        <f t="shared" si="35"/>
        <v/>
      </c>
      <c r="K440" s="1723" t="str">
        <f>职业列表!F190</f>
        <v>教育×2＋外貌×2</v>
      </c>
      <c r="L440" s="1792" t="str">
        <f>IF(ISNUMBER(FIND(B241,K440)),B440&amp;C440&amp;"、","")</f>
        <v/>
      </c>
      <c r="M440" s="2042" t="str">
        <f>职业列表!H190</f>
        <v>技艺（歌唱,舞蹈,乐器），乔装，两项社交技能（取悦、话术、恐吓、说服），聆听，心理学，任意两项其他个人或时代特长。</v>
      </c>
      <c r="N440" s="1188" t="str">
        <f>IF(ISNUMBER(FIND(B239,M440)),B440&amp;C440&amp;"、","")</f>
        <v/>
      </c>
      <c r="O440" s="1704">
        <f t="shared" si="36"/>
        <v>0</v>
      </c>
      <c r="P440" s="1704">
        <f t="shared" si="37"/>
        <v>0</v>
      </c>
      <c r="Q440" s="1704">
        <f t="shared" si="38"/>
        <v>0</v>
      </c>
      <c r="R440" s="1704">
        <f t="shared" si="39"/>
        <v>0</v>
      </c>
      <c r="S440" s="1167">
        <f t="shared" si="40"/>
        <v>0</v>
      </c>
    </row>
    <row r="441" spans="2:19">
      <c r="B441" s="1704">
        <f>职业列表!A191</f>
        <v>189</v>
      </c>
      <c r="C441" s="1704" t="str">
        <f>职业列表!B191</f>
        <v>搞笑艺人</v>
      </c>
      <c r="D441" s="2017">
        <f>职业列表!D191</f>
        <v>9</v>
      </c>
      <c r="E441" s="2020">
        <f>职业列表!E191</f>
        <v>70</v>
      </c>
      <c r="F441" s="2020">
        <f>IF(F251=1,IF(E244&gt;=D441,1,0),IF(E244&lt;=D441,1,0))</f>
        <v>0</v>
      </c>
      <c r="G441" s="2020">
        <f>IF(G251=1,IF(C244&gt;=E441,1,0),IF(C244&lt;=E441,1,0))</f>
        <v>0</v>
      </c>
      <c r="H441" s="1723" t="str">
        <f t="shared" si="33"/>
        <v/>
      </c>
      <c r="I441" s="1704" t="str">
        <f t="shared" si="34"/>
        <v/>
      </c>
      <c r="J441" s="1792" t="str">
        <f t="shared" si="35"/>
        <v/>
      </c>
      <c r="K441" s="1723" t="str">
        <f>职业列表!F191</f>
        <v>教育×2＋外貌×2</v>
      </c>
      <c r="L441" s="1792" t="str">
        <f>IF(ISNUMBER(FIND(B241,K441)),B441&amp;C441&amp;"、","")</f>
        <v/>
      </c>
      <c r="M441" s="2042" t="str">
        <f>职业列表!H191</f>
        <v>技艺（表演,杂技,喜剧），乔装，两项社交技能（取悦、话术、恐吓、说服），聆听，心理学，任意两项其他个人或时代特长。</v>
      </c>
      <c r="N441" s="1188" t="str">
        <f>IF(ISNUMBER(FIND(B239,M441)),B441&amp;C441&amp;"、","")</f>
        <v/>
      </c>
      <c r="O441" s="1704">
        <f t="shared" si="36"/>
        <v>0</v>
      </c>
      <c r="P441" s="1704">
        <f t="shared" si="37"/>
        <v>0</v>
      </c>
      <c r="Q441" s="1704">
        <f t="shared" si="38"/>
        <v>0</v>
      </c>
      <c r="R441" s="1704">
        <f t="shared" si="39"/>
        <v>0</v>
      </c>
      <c r="S441" s="1167">
        <f t="shared" si="40"/>
        <v>0</v>
      </c>
    </row>
    <row r="442" spans="2:19">
      <c r="B442" s="1704">
        <f>职业列表!A192</f>
        <v>190</v>
      </c>
      <c r="C442" s="1704" t="str">
        <f>职业列表!B192</f>
        <v>运动员艺人</v>
      </c>
      <c r="D442" s="2017">
        <f>职业列表!D192</f>
        <v>9</v>
      </c>
      <c r="E442" s="2020">
        <f>职业列表!E192</f>
        <v>20</v>
      </c>
      <c r="F442" s="2020">
        <f>IF(F251=1,IF(E244&gt;=D442,1,0),IF(E244&lt;=D442,1,0))</f>
        <v>0</v>
      </c>
      <c r="G442" s="2020">
        <f>IF(G251=1,IF(C244&gt;=E442,1,0),IF(C244&lt;=E442,1,0))</f>
        <v>0</v>
      </c>
      <c r="H442" s="1723" t="str">
        <f t="shared" si="33"/>
        <v/>
      </c>
      <c r="I442" s="1704" t="str">
        <f t="shared" si="34"/>
        <v/>
      </c>
      <c r="J442" s="1792" t="str">
        <f t="shared" si="35"/>
        <v/>
      </c>
      <c r="K442" s="1723" t="str">
        <f>职业列表!F192</f>
        <v>教育×2＋敏捷×2</v>
      </c>
      <c r="L442" s="1792" t="str">
        <f>IF(ISNUMBER(FIND(B241,K442)),B442&amp;C442&amp;"、","")</f>
        <v/>
      </c>
      <c r="M442" s="2042" t="str">
        <f>职业列表!H192</f>
        <v>攀爬，闪避，跳跃，投掷，侦察，游泳，任意两项其他个人或时代特长。</v>
      </c>
      <c r="N442" s="1188" t="str">
        <f>IF(ISNUMBER(FIND(B239,M442)),B442&amp;C442&amp;"、","")</f>
        <v/>
      </c>
      <c r="O442" s="1704">
        <f t="shared" si="36"/>
        <v>0</v>
      </c>
      <c r="P442" s="1704">
        <f t="shared" si="37"/>
        <v>0</v>
      </c>
      <c r="Q442" s="1704">
        <f t="shared" si="38"/>
        <v>0</v>
      </c>
      <c r="R442" s="1704">
        <f t="shared" si="39"/>
        <v>0</v>
      </c>
      <c r="S442" s="1167">
        <f t="shared" si="40"/>
        <v>0</v>
      </c>
    </row>
    <row r="443" spans="2:19">
      <c r="B443" s="1704">
        <f>职业列表!A193</f>
        <v>191</v>
      </c>
      <c r="C443" s="1704" t="str">
        <f>职业列表!B193</f>
        <v>播音员</v>
      </c>
      <c r="D443" s="2017">
        <f>职业列表!D193</f>
        <v>50</v>
      </c>
      <c r="E443" s="2020">
        <f>职业列表!E193</f>
        <v>80</v>
      </c>
      <c r="F443" s="2020">
        <f>IF(F251=1,IF(E244&gt;=D443,1,0),IF(E244&lt;=D443,1,0))</f>
        <v>1</v>
      </c>
      <c r="G443" s="2020">
        <f>IF(G251=1,IF(C244&gt;=E443,1,0),IF(C244&lt;=E443,1,0))</f>
        <v>0</v>
      </c>
      <c r="H443" s="1723" t="str">
        <f t="shared" si="33"/>
        <v>191播音员、</v>
      </c>
      <c r="I443" s="1704" t="str">
        <f t="shared" si="34"/>
        <v/>
      </c>
      <c r="J443" s="1792" t="str">
        <f t="shared" si="35"/>
        <v/>
      </c>
      <c r="K443" s="1723" t="str">
        <f>职业列表!F193</f>
        <v>教育×4</v>
      </c>
      <c r="L443" s="1792" t="str">
        <f>IF(ISNUMBER(FIND(B241,K443)),B443&amp;C443&amp;"、","")</f>
        <v/>
      </c>
      <c r="M443" s="2042" t="str">
        <f>职业列表!H193</f>
        <v>艺术（表演），母语，取悦，话术，说服，心理学，任意两项其他个人或时代特长。</v>
      </c>
      <c r="N443" s="1188" t="str">
        <f>IF(ISNUMBER(FIND(B239,M443)),B443&amp;C443&amp;"、","")</f>
        <v/>
      </c>
      <c r="O443" s="1704">
        <f t="shared" si="36"/>
        <v>0</v>
      </c>
      <c r="P443" s="1704">
        <f t="shared" si="37"/>
        <v>0</v>
      </c>
      <c r="Q443" s="1704">
        <f t="shared" si="38"/>
        <v>49</v>
      </c>
      <c r="R443" s="1704">
        <f t="shared" si="39"/>
        <v>0</v>
      </c>
      <c r="S443" s="1167">
        <f t="shared" si="40"/>
        <v>49</v>
      </c>
    </row>
    <row r="444" spans="2:19">
      <c r="B444" s="1704">
        <f>职业列表!A194</f>
        <v>192</v>
      </c>
      <c r="C444" s="1704" t="str">
        <f>职业列表!B194</f>
        <v>主持人</v>
      </c>
      <c r="D444" s="2017">
        <f>职业列表!D194</f>
        <v>50</v>
      </c>
      <c r="E444" s="2020">
        <f>职业列表!E194</f>
        <v>80</v>
      </c>
      <c r="F444" s="2020">
        <f>IF(F251=1,IF(E244&gt;=D444,1,0),IF(E244&lt;=D444,1,0))</f>
        <v>1</v>
      </c>
      <c r="G444" s="2020">
        <f>IF(G251=1,IF(C244&gt;=E444,1,0),IF(C244&lt;=E444,1,0))</f>
        <v>0</v>
      </c>
      <c r="H444" s="1723" t="str">
        <f t="shared" si="33"/>
        <v>192主持人、</v>
      </c>
      <c r="I444" s="1704" t="str">
        <f t="shared" si="34"/>
        <v/>
      </c>
      <c r="J444" s="1792" t="str">
        <f t="shared" si="35"/>
        <v/>
      </c>
      <c r="K444" s="1723" t="str">
        <f>职业列表!F194</f>
        <v>教育×4</v>
      </c>
      <c r="L444" s="1792" t="str">
        <f>IF(ISNUMBER(FIND(B241,K444)),B444&amp;C444&amp;"、","")</f>
        <v/>
      </c>
      <c r="M444" s="2042" t="str">
        <f>职业列表!H194</f>
        <v>艺术（表演），母语，取悦，话术，说服，心理学，任意两项其他个人或时代特长。</v>
      </c>
      <c r="N444" s="1188" t="str">
        <f>IF(ISNUMBER(FIND(B239,M444)),B444&amp;C444&amp;"、","")</f>
        <v/>
      </c>
      <c r="O444" s="1704">
        <f t="shared" si="36"/>
        <v>0</v>
      </c>
      <c r="P444" s="1704">
        <f t="shared" si="37"/>
        <v>0</v>
      </c>
      <c r="Q444" s="1704">
        <f t="shared" si="38"/>
        <v>49</v>
      </c>
      <c r="R444" s="1704">
        <f t="shared" si="39"/>
        <v>0</v>
      </c>
      <c r="S444" s="1167">
        <f t="shared" si="40"/>
        <v>49</v>
      </c>
    </row>
    <row r="445" spans="2:19">
      <c r="B445" s="1704">
        <f>职业列表!A195</f>
        <v>193</v>
      </c>
      <c r="C445" s="1704" t="str">
        <f>职业列表!B195</f>
        <v>电视解说员</v>
      </c>
      <c r="D445" s="2017">
        <f>职业列表!D195</f>
        <v>50</v>
      </c>
      <c r="E445" s="2020">
        <f>职业列表!E195</f>
        <v>80</v>
      </c>
      <c r="F445" s="2020">
        <f>IF(F251=1,IF(E244&gt;=D445,1,0),IF(E244&lt;=D445,1,0))</f>
        <v>1</v>
      </c>
      <c r="G445" s="2020">
        <f>IF(G251=1,IF(C244&gt;=E445,1,0),IF(C244&lt;=E445,1,0))</f>
        <v>0</v>
      </c>
      <c r="H445" s="1723" t="str">
        <f t="shared" ref="H445:H482" si="41">IF(F445=1,B445&amp;C445&amp;"、","")</f>
        <v>193电视解说员、</v>
      </c>
      <c r="I445" s="1704" t="str">
        <f t="shared" ref="I445:I482" si="42">IF(G445=1,B445&amp;C445&amp;"、","")</f>
        <v/>
      </c>
      <c r="J445" s="1792" t="str">
        <f t="shared" ref="J445:J482" si="43">IF(F445+G445=2,B445&amp;C445,"")</f>
        <v/>
      </c>
      <c r="K445" s="1723" t="str">
        <f>职业列表!F195</f>
        <v>教育×4</v>
      </c>
      <c r="L445" s="1792" t="str">
        <f>IF(ISNUMBER(FIND(B241,K445)),B445&amp;C445&amp;"、","")</f>
        <v/>
      </c>
      <c r="M445" s="2042" t="str">
        <f>职业列表!H195</f>
        <v>艺术（表演），母语，取悦，话术，说服，心理学，任意两项其他个人或时代特长。</v>
      </c>
      <c r="N445" s="1188" t="str">
        <f>IF(ISNUMBER(FIND(B239,M445)),B445&amp;C445&amp;"、","")</f>
        <v/>
      </c>
      <c r="O445" s="1704">
        <f t="shared" ref="O445:O482" si="44">IF(L445="",0,16)</f>
        <v>0</v>
      </c>
      <c r="P445" s="1704">
        <f t="shared" ref="P445:P482" si="45">IF(N445="",0,37)</f>
        <v>0</v>
      </c>
      <c r="Q445" s="1704">
        <f t="shared" ref="Q445:Q482" si="46">IF(F445=1,49,0)</f>
        <v>49</v>
      </c>
      <c r="R445" s="1704">
        <f t="shared" ref="R445:R482" si="47">IF(G445=1,69,0)</f>
        <v>0</v>
      </c>
      <c r="S445" s="1167">
        <f t="shared" ref="S445:S482" si="48">SUM(O445:R445)</f>
        <v>49</v>
      </c>
    </row>
    <row r="446" spans="2:19">
      <c r="B446" s="1704">
        <f>职业列表!A196</f>
        <v>194</v>
      </c>
      <c r="C446" s="1704" t="str">
        <f>职业列表!B196</f>
        <v>网络明星</v>
      </c>
      <c r="D446" s="2017">
        <f>职业列表!D196</f>
        <v>9</v>
      </c>
      <c r="E446" s="2020">
        <f>职业列表!E196</f>
        <v>70</v>
      </c>
      <c r="F446" s="2020">
        <f>IF(F251=1,IF(E244&gt;=D446,1,0),IF(E244&lt;=D446,1,0))</f>
        <v>0</v>
      </c>
      <c r="G446" s="2020">
        <f>IF(G251=1,IF(C244&gt;=E446,1,0),IF(C244&lt;=E446,1,0))</f>
        <v>0</v>
      </c>
      <c r="H446" s="1723" t="str">
        <f t="shared" si="41"/>
        <v/>
      </c>
      <c r="I446" s="1704" t="str">
        <f t="shared" si="42"/>
        <v/>
      </c>
      <c r="J446" s="1792" t="str">
        <f t="shared" si="43"/>
        <v/>
      </c>
      <c r="K446" s="1723" t="str">
        <f>职业列表!F196</f>
        <v>教育×2＋外貌×2</v>
      </c>
      <c r="L446" s="1792" t="str">
        <f>IF(ISNUMBER(FIND(B241,K446)),B446&amp;C446&amp;"、","")</f>
        <v/>
      </c>
      <c r="M446" s="2042" t="str">
        <f>职业列表!H196</f>
        <v>技艺（表演，歌唱，喜剧），乔装，两项社交技能（取悦、话术、恐吓、说服），聆听，心理学，计算机，电气维修。</v>
      </c>
      <c r="N446" s="1188" t="str">
        <f>IF(ISNUMBER(FIND(B239,M446)),B446&amp;C446&amp;"、","")</f>
        <v/>
      </c>
      <c r="O446" s="1704">
        <f t="shared" si="44"/>
        <v>0</v>
      </c>
      <c r="P446" s="1704">
        <f t="shared" si="45"/>
        <v>0</v>
      </c>
      <c r="Q446" s="1704">
        <f t="shared" si="46"/>
        <v>0</v>
      </c>
      <c r="R446" s="1704">
        <f t="shared" si="47"/>
        <v>0</v>
      </c>
      <c r="S446" s="1167">
        <f t="shared" si="48"/>
        <v>0</v>
      </c>
    </row>
    <row r="447" spans="2:19">
      <c r="B447" s="1704">
        <f>职业列表!A197</f>
        <v>195</v>
      </c>
      <c r="C447" s="1704" t="str">
        <f>职业列表!B197</f>
        <v>经纪人</v>
      </c>
      <c r="D447" s="2017">
        <f>职业列表!D197</f>
        <v>30</v>
      </c>
      <c r="E447" s="2020">
        <f>职业列表!E197</f>
        <v>70</v>
      </c>
      <c r="F447" s="2020">
        <f>IF(F251=1,IF(E244&gt;=D447,1,0),IF(E244&lt;=D447,1,0))</f>
        <v>0</v>
      </c>
      <c r="G447" s="2020">
        <f>IF(G251=1,IF(C244&gt;=E447,1,0),IF(C244&lt;=E447,1,0))</f>
        <v>0</v>
      </c>
      <c r="H447" s="1723" t="str">
        <f t="shared" si="41"/>
        <v/>
      </c>
      <c r="I447" s="1704" t="str">
        <f t="shared" si="42"/>
        <v/>
      </c>
      <c r="J447" s="1792" t="str">
        <f t="shared" si="43"/>
        <v/>
      </c>
      <c r="K447" s="1723" t="str">
        <f>职业列表!F197</f>
        <v>教育×4</v>
      </c>
      <c r="L447" s="1792" t="str">
        <f>IF(ISNUMBER(FIND(B241,K447)),B447&amp;C447&amp;"、","")</f>
        <v/>
      </c>
      <c r="M447" s="2042" t="str">
        <f>职业列表!H197</f>
        <v>汽车驾驶、两项社交技能（取悦、话术、恐吓、说服），潜行，聆听，法律，任意两项其他个人或时代特长。</v>
      </c>
      <c r="N447" s="1188" t="str">
        <f>IF(ISNUMBER(FIND(B239,M447)),B447&amp;C447&amp;"、","")</f>
        <v/>
      </c>
      <c r="O447" s="1704">
        <f t="shared" si="44"/>
        <v>0</v>
      </c>
      <c r="P447" s="1704">
        <f t="shared" si="45"/>
        <v>0</v>
      </c>
      <c r="Q447" s="1704">
        <f t="shared" si="46"/>
        <v>0</v>
      </c>
      <c r="R447" s="1704">
        <f t="shared" si="47"/>
        <v>0</v>
      </c>
      <c r="S447" s="1167">
        <f t="shared" si="48"/>
        <v>0</v>
      </c>
    </row>
    <row r="448" spans="2:19">
      <c r="B448" s="1704">
        <f>职业列表!A198</f>
        <v>196</v>
      </c>
      <c r="C448" s="1704" t="str">
        <f>职业列表!B198</f>
        <v>捉鬼人</v>
      </c>
      <c r="D448" s="2017">
        <f>职业列表!D198</f>
        <v>9</v>
      </c>
      <c r="E448" s="2020">
        <f>职业列表!E198</f>
        <v>30</v>
      </c>
      <c r="F448" s="2020">
        <f>IF(F251=1,IF(E244&gt;=D448,1,0),IF(E244&lt;=D448,1,0))</f>
        <v>0</v>
      </c>
      <c r="G448" s="2020">
        <f>IF(G251=1,IF(C244&gt;=E448,1,0),IF(C244&lt;=E448,1,0))</f>
        <v>0</v>
      </c>
      <c r="H448" s="1723" t="str">
        <f t="shared" si="41"/>
        <v/>
      </c>
      <c r="I448" s="1704" t="str">
        <f t="shared" si="42"/>
        <v/>
      </c>
      <c r="J448" s="1792" t="str">
        <f t="shared" si="43"/>
        <v/>
      </c>
      <c r="K448" s="1723" t="str">
        <f>职业列表!F198</f>
        <v>教育×2＋敏捷×2</v>
      </c>
      <c r="L448" s="1792" t="str">
        <f>IF(ISNUMBER(FIND(B241,K448)),B448&amp;C448&amp;"、","")</f>
        <v/>
      </c>
      <c r="M448" s="2042" t="str">
        <f>职业列表!H198</f>
        <v>神秘学，科学（物理，化学，生物），机械维修，艺术（摄影），电气维修，一项社交技能（取悦、话术、恐吓、说服）。</v>
      </c>
      <c r="N448" s="1188" t="str">
        <f>IF(ISNUMBER(FIND(B239,M448)),B448&amp;C448&amp;"、","")</f>
        <v/>
      </c>
      <c r="O448" s="1704">
        <f t="shared" si="44"/>
        <v>0</v>
      </c>
      <c r="P448" s="1704">
        <f t="shared" si="45"/>
        <v>0</v>
      </c>
      <c r="Q448" s="1704">
        <f t="shared" si="46"/>
        <v>0</v>
      </c>
      <c r="R448" s="1704">
        <f t="shared" si="47"/>
        <v>0</v>
      </c>
      <c r="S448" s="1167">
        <f t="shared" si="48"/>
        <v>0</v>
      </c>
    </row>
    <row r="449" spans="2:19">
      <c r="B449" s="1704">
        <f>职业列表!A199</f>
        <v>197</v>
      </c>
      <c r="C449" s="1704" t="str">
        <f>职业列表!B199</f>
        <v>占卜师/灵媒师</v>
      </c>
      <c r="D449" s="2017">
        <f>职业列表!D199</f>
        <v>9</v>
      </c>
      <c r="E449" s="2020">
        <f>职业列表!E199</f>
        <v>30</v>
      </c>
      <c r="F449" s="2020">
        <f>IF(F251=1,IF(E244&gt;=D449,1,0),IF(E244&lt;=D449,1,0))</f>
        <v>0</v>
      </c>
      <c r="G449" s="2020">
        <f>IF(G251=1,IF(C244&gt;=E449,1,0),IF(C244&lt;=E449,1,0))</f>
        <v>0</v>
      </c>
      <c r="H449" s="1723" t="str">
        <f t="shared" si="41"/>
        <v/>
      </c>
      <c r="I449" s="1704" t="str">
        <f t="shared" si="42"/>
        <v/>
      </c>
      <c r="J449" s="1792" t="str">
        <f t="shared" si="43"/>
        <v/>
      </c>
      <c r="K449" s="1723" t="str">
        <f>职业列表!F199</f>
        <v>教育×2＋教育或外貌×2</v>
      </c>
      <c r="L449" s="1792" t="str">
        <f>IF(ISNUMBER(FIND(B241,K449)),B449&amp;C449&amp;"、","")</f>
        <v/>
      </c>
      <c r="M449" s="2042" t="str">
        <f>职业列表!H199</f>
        <v>艺术（表演），历史，图书馆，两项社交技能（取悦、话术、恐吓、说服），神秘学，心理学，任意一项其他个人或时代特长。</v>
      </c>
      <c r="N449" s="1188" t="str">
        <f>IF(ISNUMBER(FIND(B239,M449)),B449&amp;C449&amp;"、","")</f>
        <v/>
      </c>
      <c r="O449" s="1704">
        <f t="shared" si="44"/>
        <v>0</v>
      </c>
      <c r="P449" s="1704">
        <f t="shared" si="45"/>
        <v>0</v>
      </c>
      <c r="Q449" s="1704">
        <f t="shared" si="46"/>
        <v>0</v>
      </c>
      <c r="R449" s="1704">
        <f t="shared" si="47"/>
        <v>0</v>
      </c>
      <c r="S449" s="1167">
        <f t="shared" si="48"/>
        <v>0</v>
      </c>
    </row>
    <row r="450" spans="2:19">
      <c r="B450" s="1704">
        <f>职业列表!A200</f>
        <v>198</v>
      </c>
      <c r="C450" s="1704" t="str">
        <f>职业列表!B200</f>
        <v>机械师</v>
      </c>
      <c r="D450" s="2017">
        <f>职业列表!D200</f>
        <v>9</v>
      </c>
      <c r="E450" s="2020">
        <f>职业列表!E200</f>
        <v>40</v>
      </c>
      <c r="F450" s="2020">
        <f>IF(F251=1,IF(E244&gt;=D450,1,0),IF(E244&lt;=D450,1,0))</f>
        <v>0</v>
      </c>
      <c r="G450" s="2020">
        <f>IF(G251=1,IF(C244&gt;=E450,1,0),IF(C244&lt;=E450,1,0))</f>
        <v>0</v>
      </c>
      <c r="H450" s="1723" t="str">
        <f t="shared" si="41"/>
        <v/>
      </c>
      <c r="I450" s="1704" t="str">
        <f t="shared" si="42"/>
        <v/>
      </c>
      <c r="J450" s="1792" t="str">
        <f t="shared" si="43"/>
        <v/>
      </c>
      <c r="K450" s="1723" t="str">
        <f>职业列表!F200</f>
        <v>教育×4</v>
      </c>
      <c r="L450" s="1792" t="str">
        <f>IF(ISNUMBER(FIND(B241,K450)),B450&amp;C450&amp;"、","")</f>
        <v/>
      </c>
      <c r="M450" s="2042" t="str">
        <f>职业列表!H200</f>
        <v>技艺（木工、焊接、管道工等），攀爬，汽车驾驶，电气维修，机械维修，操作重型机械，任意两项其他个人或时代或技术特长。</v>
      </c>
      <c r="N450" s="1188" t="str">
        <f>IF(ISNUMBER(FIND(B239,M450)),B450&amp;C450&amp;"、","")</f>
        <v/>
      </c>
      <c r="O450" s="1704">
        <f t="shared" si="44"/>
        <v>0</v>
      </c>
      <c r="P450" s="1704">
        <f t="shared" si="45"/>
        <v>0</v>
      </c>
      <c r="Q450" s="1704">
        <f t="shared" si="46"/>
        <v>0</v>
      </c>
      <c r="R450" s="1704">
        <f t="shared" si="47"/>
        <v>0</v>
      </c>
      <c r="S450" s="1167">
        <f t="shared" si="48"/>
        <v>0</v>
      </c>
    </row>
    <row r="451" spans="2:19">
      <c r="B451" s="1704">
        <f>职业列表!A201</f>
        <v>199</v>
      </c>
      <c r="C451" s="1704" t="str">
        <f>职业列表!B201</f>
        <v>厨师</v>
      </c>
      <c r="D451" s="2017">
        <f>职业列表!D201</f>
        <v>9</v>
      </c>
      <c r="E451" s="2020">
        <f>职业列表!E201</f>
        <v>30</v>
      </c>
      <c r="F451" s="2020">
        <f>IF(F251=1,IF(E244&gt;=D451,1,0),IF(E244&lt;=D451,1,0))</f>
        <v>0</v>
      </c>
      <c r="G451" s="2020">
        <f>IF(G251=1,IF(C244&gt;=E451,1,0),IF(C244&lt;=E451,1,0))</f>
        <v>0</v>
      </c>
      <c r="H451" s="1723" t="str">
        <f t="shared" si="41"/>
        <v/>
      </c>
      <c r="I451" s="1704" t="str">
        <f t="shared" si="42"/>
        <v/>
      </c>
      <c r="J451" s="1792" t="str">
        <f t="shared" si="43"/>
        <v/>
      </c>
      <c r="K451" s="1723" t="str">
        <f>职业列表!F201</f>
        <v>教育×2＋敏捷×2</v>
      </c>
      <c r="L451" s="1792" t="str">
        <f>IF(ISNUMBER(FIND(B241,K451)),B451&amp;C451&amp;"、","")</f>
        <v/>
      </c>
      <c r="M451" s="2042" t="str">
        <f>职业列表!H201</f>
        <v>手艺（烹饪），科学（生物，化学），格斗（斗殴），博物学，侦察，外语，任意一项其他个人或时代特长。</v>
      </c>
      <c r="N451" s="1188" t="str">
        <f>IF(ISNUMBER(FIND(B239,M451)),B451&amp;C451&amp;"、","")</f>
        <v/>
      </c>
      <c r="O451" s="1704">
        <f t="shared" si="44"/>
        <v>0</v>
      </c>
      <c r="P451" s="1704">
        <f t="shared" si="45"/>
        <v>0</v>
      </c>
      <c r="Q451" s="1704">
        <f t="shared" si="46"/>
        <v>0</v>
      </c>
      <c r="R451" s="1704">
        <f t="shared" si="47"/>
        <v>0</v>
      </c>
      <c r="S451" s="1167">
        <f t="shared" si="48"/>
        <v>0</v>
      </c>
    </row>
    <row r="452" spans="2:19">
      <c r="B452" s="1704">
        <f>职业列表!A202</f>
        <v>200</v>
      </c>
      <c r="C452" s="1704" t="str">
        <f>职业列表!B202</f>
        <v>网络犯罪者</v>
      </c>
      <c r="D452" s="2017">
        <f>职业列表!D202</f>
        <v>10</v>
      </c>
      <c r="E452" s="2020">
        <f>职业列表!E202</f>
        <v>70</v>
      </c>
      <c r="F452" s="2020">
        <f>IF(F251=1,IF(E244&gt;=D452,1,0),IF(E244&lt;=D452,1,0))</f>
        <v>0</v>
      </c>
      <c r="G452" s="2020">
        <f>IF(G251=1,IF(C244&gt;=E452,1,0),IF(C244&lt;=E452,1,0))</f>
        <v>0</v>
      </c>
      <c r="H452" s="1723" t="str">
        <f t="shared" si="41"/>
        <v/>
      </c>
      <c r="I452" s="1704" t="str">
        <f t="shared" si="42"/>
        <v/>
      </c>
      <c r="J452" s="1792" t="str">
        <f t="shared" si="43"/>
        <v/>
      </c>
      <c r="K452" s="1723" t="str">
        <f>职业列表!F202</f>
        <v>教育×4</v>
      </c>
      <c r="L452" s="1792" t="str">
        <f>IF(ISNUMBER(FIND(B241,K452)),B452&amp;C452&amp;"、","")</f>
        <v/>
      </c>
      <c r="M452" s="2042" t="str">
        <f>职业列表!H202</f>
        <v>计算机，电气维修，电子学，图书馆，侦察，一项社交技能（取悦、话术、恐吓、说服），任意两项其他技能。</v>
      </c>
      <c r="N452" s="1188" t="str">
        <f>IF(ISNUMBER(FIND(B239,M452)),B452&amp;C452&amp;"、","")</f>
        <v/>
      </c>
      <c r="O452" s="1704">
        <f t="shared" si="44"/>
        <v>0</v>
      </c>
      <c r="P452" s="1704">
        <f t="shared" si="45"/>
        <v>0</v>
      </c>
      <c r="Q452" s="1704">
        <f t="shared" si="46"/>
        <v>0</v>
      </c>
      <c r="R452" s="1704">
        <f t="shared" si="47"/>
        <v>0</v>
      </c>
      <c r="S452" s="1167">
        <f t="shared" si="48"/>
        <v>0</v>
      </c>
    </row>
    <row r="453" spans="2:19">
      <c r="B453" s="1704">
        <f>职业列表!A203</f>
        <v>201</v>
      </c>
      <c r="C453" s="1704" t="str">
        <f>职业列表!B203</f>
        <v>佣兵</v>
      </c>
      <c r="D453" s="2017">
        <f>职业列表!D203</f>
        <v>9</v>
      </c>
      <c r="E453" s="2020">
        <f>职业列表!E203</f>
        <v>30</v>
      </c>
      <c r="F453" s="2020">
        <f>IF(F251=1,IF(E244&gt;=D453,1,0),IF(E244&lt;=D453,1,0))</f>
        <v>0</v>
      </c>
      <c r="G453" s="2020">
        <f>IF(G251=1,IF(C244&gt;=E453,1,0),IF(C244&lt;=E453,1,0))</f>
        <v>0</v>
      </c>
      <c r="H453" s="1723" t="str">
        <f t="shared" si="41"/>
        <v/>
      </c>
      <c r="I453" s="1704" t="str">
        <f t="shared" si="42"/>
        <v/>
      </c>
      <c r="J453" s="1792" t="str">
        <f t="shared" si="43"/>
        <v/>
      </c>
      <c r="K453" s="1723" t="str">
        <f>职业列表!F203</f>
        <v>教育×2＋力量或敏捷×2</v>
      </c>
      <c r="L453" s="1792" t="str">
        <f>IF(ISNUMBER(FIND(B241,K453)),B453&amp;C453&amp;"、","")</f>
        <v>201佣兵、</v>
      </c>
      <c r="M453" s="2042" t="str">
        <f>职业列表!H203</f>
        <v>攀爬或游泳，闪避，格斗，射击，潜行，生存，下面任选两项：急救、机械维修、外语。</v>
      </c>
      <c r="N453" s="1188" t="str">
        <f>IF(ISNUMBER(FIND(B239,M453)),B453&amp;C453&amp;"、","")</f>
        <v/>
      </c>
      <c r="O453" s="1704">
        <f t="shared" si="44"/>
        <v>16</v>
      </c>
      <c r="P453" s="1704">
        <f t="shared" si="45"/>
        <v>0</v>
      </c>
      <c r="Q453" s="1704">
        <f t="shared" si="46"/>
        <v>0</v>
      </c>
      <c r="R453" s="1704">
        <f t="shared" si="47"/>
        <v>0</v>
      </c>
      <c r="S453" s="1167">
        <f t="shared" si="48"/>
        <v>16</v>
      </c>
    </row>
    <row r="454" spans="2:19">
      <c r="B454" s="1704">
        <f>职业列表!A204</f>
        <v>202</v>
      </c>
      <c r="C454" s="1704" t="str">
        <f>职业列表!B204</f>
        <v>自宅警备员</v>
      </c>
      <c r="D454" s="2017">
        <f>职业列表!D204</f>
        <v>1</v>
      </c>
      <c r="E454" s="2020">
        <f>职业列表!E204</f>
        <v>10</v>
      </c>
      <c r="F454" s="2020">
        <f>IF(F251=1,IF(E244&gt;=D454,1,0),IF(E244&lt;=D454,1,0))</f>
        <v>0</v>
      </c>
      <c r="G454" s="2020">
        <f>IF(G251=1,IF(C244&gt;=E454,1,0),IF(C244&lt;=E454,1,0))</f>
        <v>0</v>
      </c>
      <c r="H454" s="1723" t="str">
        <f t="shared" si="41"/>
        <v/>
      </c>
      <c r="I454" s="1704" t="str">
        <f t="shared" si="42"/>
        <v/>
      </c>
      <c r="J454" s="1792" t="str">
        <f t="shared" si="43"/>
        <v/>
      </c>
      <c r="K454" s="1723" t="str">
        <f>职业列表!F204</f>
        <v>教育×4</v>
      </c>
      <c r="L454" s="1792" t="str">
        <f>IF(ISNUMBER(FIND(B241,K454)),B454&amp;C454&amp;"、","")</f>
        <v/>
      </c>
      <c r="M454" s="2042" t="str">
        <f>职业列表!H204</f>
        <v>计算机，聆听，潜行，图书馆，母语，任意三项符合尼特族形象的特长。
</v>
      </c>
      <c r="N454" s="1188" t="str">
        <f>IF(ISNUMBER(FIND(B239,M454)),B454&amp;C454&amp;"、","")</f>
        <v/>
      </c>
      <c r="O454" s="1704">
        <f t="shared" si="44"/>
        <v>0</v>
      </c>
      <c r="P454" s="1704">
        <f t="shared" si="45"/>
        <v>0</v>
      </c>
      <c r="Q454" s="1704">
        <f t="shared" si="46"/>
        <v>0</v>
      </c>
      <c r="R454" s="1704">
        <f t="shared" si="47"/>
        <v>0</v>
      </c>
      <c r="S454" s="1167">
        <f t="shared" si="48"/>
        <v>0</v>
      </c>
    </row>
    <row r="455" spans="2:19">
      <c r="B455" s="1704">
        <f>职业列表!A205</f>
        <v>203</v>
      </c>
      <c r="C455" s="1704" t="str">
        <f>职业列表!B205</f>
        <v>壮汉保镖</v>
      </c>
      <c r="D455" s="2017">
        <f>职业列表!D205</f>
        <v>9</v>
      </c>
      <c r="E455" s="2020">
        <f>职业列表!E205</f>
        <v>30</v>
      </c>
      <c r="F455" s="2020">
        <f>IF(F251=1,IF(E244&gt;=D455,1,0),IF(E244&lt;=D455,1,0))</f>
        <v>0</v>
      </c>
      <c r="G455" s="2020">
        <f>IF(G251=1,IF(C244&gt;=E455,1,0),IF(C244&lt;=E455,1,0))</f>
        <v>0</v>
      </c>
      <c r="H455" s="1723" t="str">
        <f t="shared" si="41"/>
        <v/>
      </c>
      <c r="I455" s="1704" t="str">
        <f t="shared" si="42"/>
        <v/>
      </c>
      <c r="J455" s="1792" t="str">
        <f t="shared" si="43"/>
        <v/>
      </c>
      <c r="K455" s="1723" t="str">
        <f>职业列表!F205</f>
        <v>教育×2＋力量或敏捷×2</v>
      </c>
      <c r="L455" s="1792" t="str">
        <f>IF(ISNUMBER(FIND(B241,K455)),B455&amp;C455&amp;"、","")</f>
        <v>203壮汉保镖、</v>
      </c>
      <c r="M455" s="2042" t="str">
        <f>职业列表!H205</f>
        <v>格斗（斗殴），射击，急救，一项社交技能（取悦、话术、恐吓、说服），法律，心理学，侦察和下面的一种个人特长：汽车驾驶或骑术。</v>
      </c>
      <c r="N455" s="1188" t="str">
        <f>IF(ISNUMBER(FIND(B239,M455)),B455&amp;C455&amp;"、","")</f>
        <v/>
      </c>
      <c r="O455" s="1704">
        <f t="shared" si="44"/>
        <v>16</v>
      </c>
      <c r="P455" s="1704">
        <f t="shared" si="45"/>
        <v>0</v>
      </c>
      <c r="Q455" s="1704">
        <f t="shared" si="46"/>
        <v>0</v>
      </c>
      <c r="R455" s="1704">
        <f t="shared" si="47"/>
        <v>0</v>
      </c>
      <c r="S455" s="1167">
        <f t="shared" si="48"/>
        <v>16</v>
      </c>
    </row>
    <row r="456" spans="2:19">
      <c r="B456" s="1704">
        <f>职业列表!A206</f>
        <v>204</v>
      </c>
      <c r="C456" s="1704" t="str">
        <f>职业列表!B206</f>
        <v>游戏测试员</v>
      </c>
      <c r="D456" s="2017">
        <f>职业列表!D206</f>
        <v>9</v>
      </c>
      <c r="E456" s="2020">
        <f>职业列表!E206</f>
        <v>20</v>
      </c>
      <c r="F456" s="2020">
        <f>IF(F251=1,IF(E244&gt;=D456,1,0),IF(E244&lt;=D456,1,0))</f>
        <v>0</v>
      </c>
      <c r="G456" s="2020">
        <f>IF(G251=1,IF(C244&gt;=E456,1,0),IF(C244&lt;=E456,1,0))</f>
        <v>0</v>
      </c>
      <c r="H456" s="1723" t="str">
        <f t="shared" si="41"/>
        <v/>
      </c>
      <c r="I456" s="1704" t="str">
        <f t="shared" si="42"/>
        <v/>
      </c>
      <c r="J456" s="1792" t="str">
        <f t="shared" si="43"/>
        <v/>
      </c>
      <c r="K456" s="1723" t="str">
        <f>职业列表!F206</f>
        <v>教育×4</v>
      </c>
      <c r="L456" s="1792" t="str">
        <f>IF(ISNUMBER(FIND(B241,K456)),B456&amp;C456&amp;"、","")</f>
        <v/>
      </c>
      <c r="M456" s="2042" t="str">
        <f>职业列表!H206</f>
        <v>手艺（游戏），计算机，电气维修，电子学，聆听，一项社交技能（取悦、话术、恐吓、说服），任意两项其他个人或时代特长。</v>
      </c>
      <c r="N456" s="1188" t="str">
        <f>IF(ISNUMBER(FIND(B239,M456)),B456&amp;C456&amp;"、","")</f>
        <v/>
      </c>
      <c r="O456" s="1704">
        <f t="shared" si="44"/>
        <v>0</v>
      </c>
      <c r="P456" s="1704">
        <f t="shared" si="45"/>
        <v>0</v>
      </c>
      <c r="Q456" s="1704">
        <f t="shared" si="46"/>
        <v>0</v>
      </c>
      <c r="R456" s="1704">
        <f t="shared" si="47"/>
        <v>0</v>
      </c>
      <c r="S456" s="1167">
        <f t="shared" si="48"/>
        <v>0</v>
      </c>
    </row>
    <row r="457" spans="2:19">
      <c r="B457" s="1704">
        <f>职业列表!A207</f>
        <v>205</v>
      </c>
      <c r="C457" s="1704" t="str">
        <f>职业列表!B207</f>
        <v>交际花</v>
      </c>
      <c r="D457" s="2017">
        <f>职业列表!D207</f>
        <v>9</v>
      </c>
      <c r="E457" s="2020">
        <f>职业列表!E207</f>
        <v>30</v>
      </c>
      <c r="F457" s="2020">
        <f>IF(F251=1,IF(E244&gt;=D457,1,0),IF(E244&lt;=D457,1,0))</f>
        <v>0</v>
      </c>
      <c r="G457" s="2020">
        <f>IF(G251=1,IF(C244&gt;=E457,1,0),IF(C244&lt;=E457,1,0))</f>
        <v>0</v>
      </c>
      <c r="H457" s="1723" t="str">
        <f t="shared" si="41"/>
        <v/>
      </c>
      <c r="I457" s="1704" t="str">
        <f t="shared" si="42"/>
        <v/>
      </c>
      <c r="J457" s="1792" t="str">
        <f t="shared" si="43"/>
        <v/>
      </c>
      <c r="K457" s="1723" t="str">
        <f>职业列表!F207</f>
        <v>教育×2＋外貌×2</v>
      </c>
      <c r="L457" s="1792" t="str">
        <f>IF(ISNUMBER(FIND(B241,K457)),B457&amp;C457&amp;"、","")</f>
        <v/>
      </c>
      <c r="M457" s="2042" t="str">
        <f>职业列表!H207</f>
        <v>艺术（任意），估价，潜行，一项社交技能（取悦、话术、恐吓、说服），急救，其他语言（欧洲），心理学，骑术，（乔装、钳工）中的一种，任意一项其他个人或时代特长</v>
      </c>
      <c r="N457" s="1188" t="str">
        <f>IF(ISNUMBER(FIND(B239,M457)),B457&amp;C457&amp;"、","")</f>
        <v/>
      </c>
      <c r="O457" s="1704">
        <f t="shared" si="44"/>
        <v>0</v>
      </c>
      <c r="P457" s="1704">
        <f t="shared" si="45"/>
        <v>0</v>
      </c>
      <c r="Q457" s="1704">
        <f t="shared" si="46"/>
        <v>0</v>
      </c>
      <c r="R457" s="1704">
        <f t="shared" si="47"/>
        <v>0</v>
      </c>
      <c r="S457" s="1167">
        <f t="shared" si="48"/>
        <v>0</v>
      </c>
    </row>
    <row r="458" spans="2:19">
      <c r="B458" s="1704">
        <f>职业列表!A208</f>
        <v>206</v>
      </c>
      <c r="C458" s="1704" t="str">
        <f>职业列表!B208</f>
        <v>考古学家</v>
      </c>
      <c r="D458" s="2017">
        <f>职业列表!D208</f>
        <v>30</v>
      </c>
      <c r="E458" s="2020">
        <f>职业列表!E208</f>
        <v>60</v>
      </c>
      <c r="F458" s="2020">
        <f>IF(F251=1,IF(E244&gt;=D458,1,0),IF(E244&lt;=D458,1,0))</f>
        <v>0</v>
      </c>
      <c r="G458" s="2020">
        <f>IF(G251=1,IF(C244&gt;=E458,1,0),IF(C244&lt;=E458,1,0))</f>
        <v>0</v>
      </c>
      <c r="H458" s="1723" t="str">
        <f t="shared" si="41"/>
        <v/>
      </c>
      <c r="I458" s="1704" t="str">
        <f t="shared" si="42"/>
        <v/>
      </c>
      <c r="J458" s="1792" t="str">
        <f t="shared" si="43"/>
        <v/>
      </c>
      <c r="K458" s="1723" t="str">
        <f>职业列表!F208</f>
        <v>教育×4</v>
      </c>
      <c r="L458" s="1792" t="str">
        <f>IF(ISNUMBER(FIND(B241,K458)),B458&amp;C458&amp;"、","")</f>
        <v/>
      </c>
      <c r="M458" s="2042" t="str">
        <f>职业列表!H208</f>
        <v>会计，艺术（任意），估价，历史，图书馆，其他语言（欧洲），一项社交技能（取悦、话术、恐吓、说服），心理学，侦查，任意两项其他个人或时代特长</v>
      </c>
      <c r="N458" s="1188" t="str">
        <f>IF(ISNUMBER(FIND(B239,M458)),B458&amp;C458&amp;"、","")</f>
        <v/>
      </c>
      <c r="O458" s="1704">
        <f t="shared" si="44"/>
        <v>0</v>
      </c>
      <c r="P458" s="1704">
        <f t="shared" si="45"/>
        <v>0</v>
      </c>
      <c r="Q458" s="1704">
        <f t="shared" si="46"/>
        <v>0</v>
      </c>
      <c r="R458" s="1704">
        <f t="shared" si="47"/>
        <v>0</v>
      </c>
      <c r="S458" s="1167">
        <f t="shared" si="48"/>
        <v>0</v>
      </c>
    </row>
    <row r="459" spans="2:19">
      <c r="B459" s="1704">
        <f>职业列表!A209</f>
        <v>207</v>
      </c>
      <c r="C459" s="1704" t="str">
        <f>职业列表!B209</f>
        <v>贵族</v>
      </c>
      <c r="D459" s="2017">
        <f>职业列表!D209</f>
        <v>70</v>
      </c>
      <c r="E459" s="2020">
        <f>职业列表!E209</f>
        <v>99</v>
      </c>
      <c r="F459" s="2020">
        <f>IF(F251=1,IF(E244&gt;=D459,1,0),IF(E244&lt;=D459,1,0))</f>
        <v>1</v>
      </c>
      <c r="G459" s="2020">
        <f>IF(G251=1,IF(C244&gt;=E459,1,0),IF(C244&lt;=E459,1,0))</f>
        <v>1</v>
      </c>
      <c r="H459" s="1723" t="str">
        <f t="shared" si="41"/>
        <v>207贵族、</v>
      </c>
      <c r="I459" s="1704" t="str">
        <f t="shared" si="42"/>
        <v>207贵族、</v>
      </c>
      <c r="J459" s="1792" t="str">
        <f t="shared" si="43"/>
        <v>207贵族</v>
      </c>
      <c r="K459" s="1723" t="str">
        <f>职业列表!F209</f>
        <v>教育×2＋教育或外貌×2</v>
      </c>
      <c r="L459" s="1792" t="str">
        <f>IF(ISNUMBER(FIND(B241,K459)),B459&amp;C459&amp;"、","")</f>
        <v/>
      </c>
      <c r="M459" s="2042" t="str">
        <f>职业列表!H209</f>
        <v>拉丁语，法律，其他语言（欧洲），一项社交技能（取悦、话术、恐吓、说服），骑术，射击（霰弹枪），任意三项其他个人或时代特长</v>
      </c>
      <c r="N459" s="1188" t="str">
        <f>IF(ISNUMBER(FIND(B239,M459)),B459&amp;C459&amp;"、","")</f>
        <v/>
      </c>
      <c r="O459" s="1704">
        <f t="shared" si="44"/>
        <v>0</v>
      </c>
      <c r="P459" s="1704">
        <f t="shared" si="45"/>
        <v>0</v>
      </c>
      <c r="Q459" s="1704">
        <f t="shared" si="46"/>
        <v>49</v>
      </c>
      <c r="R459" s="1704">
        <f t="shared" si="47"/>
        <v>69</v>
      </c>
      <c r="S459" s="1167">
        <f t="shared" si="48"/>
        <v>118</v>
      </c>
    </row>
    <row r="460" spans="2:19">
      <c r="B460" s="1704">
        <f>职业列表!A210</f>
        <v>208</v>
      </c>
      <c r="C460" s="1704" t="str">
        <f>职业列表!B210</f>
        <v>艺术家</v>
      </c>
      <c r="D460" s="2017">
        <f>职业列表!D210</f>
        <v>10</v>
      </c>
      <c r="E460" s="2020">
        <f>职业列表!E210</f>
        <v>40</v>
      </c>
      <c r="F460" s="2020">
        <f>IF(F251=1,IF(E244&gt;=D460,1,0),IF(E244&lt;=D460,1,0))</f>
        <v>0</v>
      </c>
      <c r="G460" s="2020">
        <f>IF(G251=1,IF(C244&gt;=E460,1,0),IF(C244&lt;=E460,1,0))</f>
        <v>0</v>
      </c>
      <c r="H460" s="1723" t="str">
        <f t="shared" si="41"/>
        <v/>
      </c>
      <c r="I460" s="1704" t="str">
        <f t="shared" si="42"/>
        <v/>
      </c>
      <c r="J460" s="1792" t="str">
        <f t="shared" si="43"/>
        <v/>
      </c>
      <c r="K460" s="1723" t="str">
        <f>职业列表!F210</f>
        <v>教育×2＋敏捷或意志×2</v>
      </c>
      <c r="L460" s="1792" t="str">
        <f>IF(ISNUMBER(FIND(B241,K460)),B460&amp;C460&amp;"、","")</f>
        <v/>
      </c>
      <c r="M460" s="2042" t="str">
        <f>职业列表!H210</f>
        <v>艺术及手艺（任意多种），估价，历史，图书馆，其他语言（欧洲），侦查，任意两项其他个人或时代特长</v>
      </c>
      <c r="N460" s="1188" t="str">
        <f>IF(ISNUMBER(FIND(B239,M460)),B460&amp;C460&amp;"、","")</f>
        <v/>
      </c>
      <c r="O460" s="1704">
        <f t="shared" si="44"/>
        <v>0</v>
      </c>
      <c r="P460" s="1704">
        <f t="shared" si="45"/>
        <v>0</v>
      </c>
      <c r="Q460" s="1704">
        <f t="shared" si="46"/>
        <v>0</v>
      </c>
      <c r="R460" s="1704">
        <f t="shared" si="47"/>
        <v>0</v>
      </c>
      <c r="S460" s="1167">
        <f t="shared" si="48"/>
        <v>0</v>
      </c>
    </row>
    <row r="461" spans="2:19">
      <c r="B461" s="1704">
        <f>职业列表!A211</f>
        <v>209</v>
      </c>
      <c r="C461" s="1704" t="str">
        <f>职业列表!B211</f>
        <v>作家</v>
      </c>
      <c r="D461" s="2017">
        <f>职业列表!D211</f>
        <v>10</v>
      </c>
      <c r="E461" s="2020">
        <f>职业列表!E211</f>
        <v>40</v>
      </c>
      <c r="F461" s="2020">
        <f>IF(F251=1,IF(E244&gt;=D461,1,0),IF(E244&lt;=D461,1,0))</f>
        <v>0</v>
      </c>
      <c r="G461" s="2020">
        <f>IF(G251=1,IF(C244&gt;=E461,1,0),IF(C244&lt;=E461,1,0))</f>
        <v>0</v>
      </c>
      <c r="H461" s="1723" t="str">
        <f t="shared" si="41"/>
        <v/>
      </c>
      <c r="I461" s="1704" t="str">
        <f t="shared" si="42"/>
        <v/>
      </c>
      <c r="J461" s="1792" t="str">
        <f t="shared" si="43"/>
        <v/>
      </c>
      <c r="K461" s="1723" t="str">
        <f>职业列表!F211</f>
        <v>教育×4</v>
      </c>
      <c r="L461" s="1792" t="str">
        <f>IF(ISNUMBER(FIND(B241,K461)),B461&amp;C461&amp;"、","")</f>
        <v/>
      </c>
      <c r="M461" s="2042" t="str">
        <f>职业列表!H211</f>
        <v>艺术（写作），历史，图书馆，其他语言（欧洲），母语，一项社交技能（取悦、话术、恐吓、说服），心理学，任意两项其他个人或时代特长</v>
      </c>
      <c r="N461" s="1188" t="str">
        <f>IF(ISNUMBER(FIND(B239,M461)),B461&amp;C461&amp;"、","")</f>
        <v/>
      </c>
      <c r="O461" s="1704">
        <f t="shared" si="44"/>
        <v>0</v>
      </c>
      <c r="P461" s="1704">
        <f t="shared" si="45"/>
        <v>0</v>
      </c>
      <c r="Q461" s="1704">
        <f t="shared" si="46"/>
        <v>0</v>
      </c>
      <c r="R461" s="1704">
        <f t="shared" si="47"/>
        <v>0</v>
      </c>
      <c r="S461" s="1167">
        <f t="shared" si="48"/>
        <v>0</v>
      </c>
    </row>
    <row r="462" spans="2:19">
      <c r="B462" s="1704">
        <f>职业列表!A212</f>
        <v>210</v>
      </c>
      <c r="C462" s="1704" t="str">
        <f>职业列表!B212</f>
        <v>马车夫</v>
      </c>
      <c r="D462" s="2017">
        <f>职业列表!D212</f>
        <v>3</v>
      </c>
      <c r="E462" s="2020">
        <f>职业列表!E212</f>
        <v>10</v>
      </c>
      <c r="F462" s="2020">
        <f>IF(F251=1,IF(E244&gt;=D462,1,0),IF(E244&lt;=D462,1,0))</f>
        <v>0</v>
      </c>
      <c r="G462" s="2020">
        <f>IF(G251=1,IF(C244&gt;=E462,1,0),IF(C244&lt;=E462,1,0))</f>
        <v>0</v>
      </c>
      <c r="H462" s="1723" t="str">
        <f t="shared" si="41"/>
        <v/>
      </c>
      <c r="I462" s="1704" t="str">
        <f t="shared" si="42"/>
        <v/>
      </c>
      <c r="J462" s="1792" t="str">
        <f t="shared" si="43"/>
        <v/>
      </c>
      <c r="K462" s="1723" t="str">
        <f>职业列表!F212</f>
        <v>教育×2＋敏捷×2</v>
      </c>
      <c r="L462" s="1792" t="str">
        <f>IF(ISNUMBER(FIND(B241,K462)),B462&amp;C462&amp;"、","")</f>
        <v/>
      </c>
      <c r="M462" s="2042" t="str">
        <f>职业列表!H212</f>
        <v>闪避，马车驾驶，跳跃，聆听，机械维修，博物学，导航，一项社交技能（取悦、话术、恐吓、说服），侦查，格斗（鞭），任意一项其他个人或时代特长</v>
      </c>
      <c r="N462" s="1188" t="str">
        <f>IF(ISNUMBER(FIND(B239,M462)),B462&amp;C462&amp;"、","")</f>
        <v/>
      </c>
      <c r="O462" s="1704">
        <f t="shared" si="44"/>
        <v>0</v>
      </c>
      <c r="P462" s="1704">
        <f t="shared" si="45"/>
        <v>0</v>
      </c>
      <c r="Q462" s="1704">
        <f t="shared" si="46"/>
        <v>0</v>
      </c>
      <c r="R462" s="1704">
        <f t="shared" si="47"/>
        <v>0</v>
      </c>
      <c r="S462" s="1167">
        <f t="shared" si="48"/>
        <v>0</v>
      </c>
    </row>
    <row r="463" spans="2:19">
      <c r="B463" s="1704">
        <f>职业列表!A213</f>
        <v>211</v>
      </c>
      <c r="C463" s="1704" t="str">
        <f>职业列表!B213</f>
        <v>牧师</v>
      </c>
      <c r="D463" s="2017">
        <f>职业列表!D213</f>
        <v>20</v>
      </c>
      <c r="E463" s="2020">
        <f>职业列表!E213</f>
        <v>65</v>
      </c>
      <c r="F463" s="2020">
        <f>IF(F251=1,IF(E244&gt;=D463,1,0),IF(E244&lt;=D463,1,0))</f>
        <v>0</v>
      </c>
      <c r="G463" s="2020">
        <f>IF(G251=1,IF(C244&gt;=E463,1,0),IF(C244&lt;=E463,1,0))</f>
        <v>0</v>
      </c>
      <c r="H463" s="1723" t="str">
        <f t="shared" si="41"/>
        <v/>
      </c>
      <c r="I463" s="1704" t="str">
        <f t="shared" si="42"/>
        <v/>
      </c>
      <c r="J463" s="1792" t="str">
        <f t="shared" si="43"/>
        <v/>
      </c>
      <c r="K463" s="1723" t="str">
        <f>职业列表!F213</f>
        <v>教育×2＋外貌或意志×2</v>
      </c>
      <c r="L463" s="1792" t="str">
        <f>IF(ISNUMBER(FIND(B241,K463)),B463&amp;C463&amp;"、","")</f>
        <v/>
      </c>
      <c r="M463" s="2042" t="str">
        <f>职业列表!H213</f>
        <v>历史，拉丁语，图书馆，一项社交技能（取悦、话术、恐吓、说服），心理学，任意两项其他个人或时代特长</v>
      </c>
      <c r="N463" s="1188" t="str">
        <f>IF(ISNUMBER(FIND(B239,M463)),B463&amp;C463&amp;"、","")</f>
        <v/>
      </c>
      <c r="O463" s="1704">
        <f t="shared" si="44"/>
        <v>0</v>
      </c>
      <c r="P463" s="1704">
        <f t="shared" si="45"/>
        <v>0</v>
      </c>
      <c r="Q463" s="1704">
        <f t="shared" si="46"/>
        <v>0</v>
      </c>
      <c r="R463" s="1704">
        <f t="shared" si="47"/>
        <v>0</v>
      </c>
      <c r="S463" s="1167">
        <f t="shared" si="48"/>
        <v>0</v>
      </c>
    </row>
    <row r="464" spans="2:19">
      <c r="B464" s="1704">
        <f>职业列表!A214</f>
        <v>212</v>
      </c>
      <c r="C464" s="1704" t="str">
        <f>职业列表!B214</f>
        <v>咨询侦探</v>
      </c>
      <c r="D464" s="2017">
        <f>职业列表!D214</f>
        <v>10</v>
      </c>
      <c r="E464" s="2020">
        <f>职业列表!E214</f>
        <v>60</v>
      </c>
      <c r="F464" s="2020">
        <f>IF(F251=1,IF(E244&gt;=D464,1,0),IF(E244&lt;=D464,1,0))</f>
        <v>0</v>
      </c>
      <c r="G464" s="2020">
        <f>IF(G251=1,IF(C244&gt;=E464,1,0),IF(C244&lt;=E464,1,0))</f>
        <v>0</v>
      </c>
      <c r="H464" s="1723" t="str">
        <f t="shared" si="41"/>
        <v/>
      </c>
      <c r="I464" s="1704" t="str">
        <f t="shared" si="42"/>
        <v/>
      </c>
      <c r="J464" s="1792" t="str">
        <f t="shared" si="43"/>
        <v/>
      </c>
      <c r="K464" s="1723" t="str">
        <f>职业列表!F214</f>
        <v>教育×4</v>
      </c>
      <c r="L464" s="1792" t="str">
        <f>IF(ISNUMBER(FIND(B241,K464)),B464&amp;C464&amp;"、","")</f>
        <v/>
      </c>
      <c r="M464" s="2042" t="str">
        <f>职业列表!H214</f>
        <v>人类学，估价，科学（化学），急救，历史，法律，图书馆，聆听，心理学，其他语言（任意），侦查，追踪，任意两项其他个人或时代特长</v>
      </c>
      <c r="N464" s="1188" t="str">
        <f>IF(ISNUMBER(FIND(B239,M464)),B464&amp;C464&amp;"、","")</f>
        <v>212咨询侦探、</v>
      </c>
      <c r="O464" s="1704">
        <f t="shared" si="44"/>
        <v>0</v>
      </c>
      <c r="P464" s="1704">
        <f t="shared" si="45"/>
        <v>37</v>
      </c>
      <c r="Q464" s="1704">
        <f t="shared" si="46"/>
        <v>0</v>
      </c>
      <c r="R464" s="1704">
        <f t="shared" si="47"/>
        <v>0</v>
      </c>
      <c r="S464" s="1167">
        <f t="shared" si="48"/>
        <v>37</v>
      </c>
    </row>
    <row r="465" spans="2:19">
      <c r="B465" s="1704">
        <f>职业列表!A215</f>
        <v>213</v>
      </c>
      <c r="C465" s="1704" t="str">
        <f>职业列表!B215</f>
        <v>工匠</v>
      </c>
      <c r="D465" s="2017">
        <f>职业列表!D215</f>
        <v>9</v>
      </c>
      <c r="E465" s="2020">
        <f>职业列表!E215</f>
        <v>35</v>
      </c>
      <c r="F465" s="2020">
        <f>IF(F251=1,IF(E244&gt;=D465,1,0),IF(E244&lt;=D465,1,0))</f>
        <v>0</v>
      </c>
      <c r="G465" s="2020">
        <f>IF(G251=1,IF(C244&gt;=E465,1,0),IF(C244&lt;=E465,1,0))</f>
        <v>0</v>
      </c>
      <c r="H465" s="1723" t="str">
        <f t="shared" si="41"/>
        <v/>
      </c>
      <c r="I465" s="1704" t="str">
        <f t="shared" si="42"/>
        <v/>
      </c>
      <c r="J465" s="1792" t="str">
        <f t="shared" si="43"/>
        <v/>
      </c>
      <c r="K465" s="1723" t="str">
        <f>职业列表!F215</f>
        <v>教育×2＋力量或敏捷×2</v>
      </c>
      <c r="L465" s="1792" t="str">
        <f>IF(ISNUMBER(FIND(B241,K465)),B465&amp;C465&amp;"、","")</f>
        <v>213工匠、</v>
      </c>
      <c r="M465" s="2042" t="str">
        <f>职业列表!H215</f>
        <v>会计，估价，手艺（任意多种），机械维修，一项社交技能（取悦、话术、恐吓、说服），侦查，任意一项其他个人或时代特长</v>
      </c>
      <c r="N465" s="1188" t="str">
        <f>IF(ISNUMBER(FIND(B239,M465)),B465&amp;C465&amp;"、","")</f>
        <v/>
      </c>
      <c r="O465" s="1704">
        <f t="shared" si="44"/>
        <v>16</v>
      </c>
      <c r="P465" s="1704">
        <f t="shared" si="45"/>
        <v>0</v>
      </c>
      <c r="Q465" s="1704">
        <f t="shared" si="46"/>
        <v>0</v>
      </c>
      <c r="R465" s="1704">
        <f t="shared" si="47"/>
        <v>0</v>
      </c>
      <c r="S465" s="1167">
        <f t="shared" si="48"/>
        <v>16</v>
      </c>
    </row>
    <row r="466" spans="2:19">
      <c r="B466" s="1704">
        <f>职业列表!A216</f>
        <v>214</v>
      </c>
      <c r="C466" s="1704" t="str">
        <f>职业列表!B216</f>
        <v>罪犯</v>
      </c>
      <c r="D466" s="2017">
        <f>职业列表!D216</f>
        <v>9</v>
      </c>
      <c r="E466" s="2020">
        <f>职业列表!E216</f>
        <v>30</v>
      </c>
      <c r="F466" s="2020">
        <f>IF(F251=1,IF(E244&gt;=D466,1,0),IF(E244&lt;=D466,1,0))</f>
        <v>0</v>
      </c>
      <c r="G466" s="2020">
        <f>IF(G251=1,IF(C244&gt;=E466,1,0),IF(C244&lt;=E466,1,0))</f>
        <v>0</v>
      </c>
      <c r="H466" s="1723" t="str">
        <f t="shared" si="41"/>
        <v/>
      </c>
      <c r="I466" s="1704" t="str">
        <f t="shared" si="42"/>
        <v/>
      </c>
      <c r="J466" s="1792" t="str">
        <f t="shared" si="43"/>
        <v/>
      </c>
      <c r="K466" s="1723" t="str">
        <f>职业列表!F216</f>
        <v>教育×2＋外貌或敏捷或力量×2</v>
      </c>
      <c r="L466" s="1792" t="str">
        <f>IF(ISNUMBER(FIND(B241,K466)),B466&amp;C466&amp;"、","")</f>
        <v>214罪犯、</v>
      </c>
      <c r="M466" s="2042" t="str">
        <f>职业列表!H216</f>
        <v>估价，乔装，一项社交技能（取悦、话术、恐吓、说服），潜行，锁匠，格斗（任意两项），任意一项其他个人或时代特长</v>
      </c>
      <c r="N466" s="1188" t="str">
        <f>IF(ISNUMBER(FIND(B239,M466)),B466&amp;C466&amp;"、","")</f>
        <v/>
      </c>
      <c r="O466" s="1704">
        <f t="shared" si="44"/>
        <v>16</v>
      </c>
      <c r="P466" s="1704">
        <f t="shared" si="45"/>
        <v>0</v>
      </c>
      <c r="Q466" s="1704">
        <f t="shared" si="46"/>
        <v>0</v>
      </c>
      <c r="R466" s="1704">
        <f t="shared" si="47"/>
        <v>0</v>
      </c>
      <c r="S466" s="1167">
        <f t="shared" si="48"/>
        <v>16</v>
      </c>
    </row>
    <row r="467" spans="2:19">
      <c r="B467" s="1704">
        <f>职业列表!A217</f>
        <v>215</v>
      </c>
      <c r="C467" s="1704" t="str">
        <f>职业列表!B217</f>
        <v>业余艺术爱好者</v>
      </c>
      <c r="D467" s="2017">
        <f>职业列表!D217</f>
        <v>10</v>
      </c>
      <c r="E467" s="2020">
        <f>职业列表!E217</f>
        <v>70</v>
      </c>
      <c r="F467" s="2020">
        <f>IF(F251=1,IF(E244&gt;=D467,1,0),IF(E244&lt;=D467,1,0))</f>
        <v>0</v>
      </c>
      <c r="G467" s="2020">
        <f>IF(G251=1,IF(C244&gt;=E467,1,0),IF(C244&lt;=E467,1,0))</f>
        <v>0</v>
      </c>
      <c r="H467" s="1723" t="str">
        <f t="shared" si="41"/>
        <v/>
      </c>
      <c r="I467" s="1704" t="str">
        <f t="shared" si="42"/>
        <v/>
      </c>
      <c r="J467" s="1792" t="str">
        <f t="shared" si="43"/>
        <v/>
      </c>
      <c r="K467" s="1723" t="str">
        <f>职业列表!F217</f>
        <v>教育×2＋外貌×2</v>
      </c>
      <c r="L467" s="1792" t="str">
        <f>IF(ISNUMBER(FIND(B241,K467)),B467&amp;C467&amp;"、","")</f>
        <v/>
      </c>
      <c r="M467" s="2042" t="str">
        <f>职业列表!H217</f>
        <v>任意六项个人或时代特长</v>
      </c>
      <c r="N467" s="1188" t="str">
        <f>IF(ISNUMBER(FIND(B239,M467)),B467&amp;C467&amp;"、","")</f>
        <v/>
      </c>
      <c r="O467" s="1704">
        <f t="shared" si="44"/>
        <v>0</v>
      </c>
      <c r="P467" s="1704">
        <f t="shared" si="45"/>
        <v>0</v>
      </c>
      <c r="Q467" s="1704">
        <f t="shared" si="46"/>
        <v>0</v>
      </c>
      <c r="R467" s="1704">
        <f t="shared" si="47"/>
        <v>0</v>
      </c>
      <c r="S467" s="1167">
        <f t="shared" si="48"/>
        <v>0</v>
      </c>
    </row>
    <row r="468" spans="2:19">
      <c r="B468" s="1704">
        <f>职业列表!A218</f>
        <v>216</v>
      </c>
      <c r="C468" s="1704" t="str">
        <f>职业列表!B218</f>
        <v>艺人</v>
      </c>
      <c r="D468" s="2017">
        <f>职业列表!D218</f>
        <v>10</v>
      </c>
      <c r="E468" s="2020">
        <f>职业列表!E218</f>
        <v>40</v>
      </c>
      <c r="F468" s="2020">
        <f>IF(F251=1,IF(E244&gt;=D468,1,0),IF(E244&lt;=D468,1,0))</f>
        <v>0</v>
      </c>
      <c r="G468" s="2020">
        <f>IF(G251=1,IF(C244&gt;=E468,1,0),IF(C244&lt;=E468,1,0))</f>
        <v>0</v>
      </c>
      <c r="H468" s="1723" t="str">
        <f t="shared" si="41"/>
        <v/>
      </c>
      <c r="I468" s="1704" t="str">
        <f t="shared" si="42"/>
        <v/>
      </c>
      <c r="J468" s="1792" t="str">
        <f t="shared" si="43"/>
        <v/>
      </c>
      <c r="K468" s="1723" t="str">
        <f>职业列表!F218</f>
        <v>教育×2＋外貌或意志×2</v>
      </c>
      <c r="L468" s="1792" t="str">
        <f>IF(ISNUMBER(FIND(B241,K468)),B468&amp;C468&amp;"、","")</f>
        <v/>
      </c>
      <c r="M468" s="2042" t="str">
        <f>职业列表!H218</f>
        <v>艺术（任意多种），乔装，闪避，两项社交技能（取悦、话术、恐吓、说服），聆听，母语，心理学，任意三项其他个人或时代特长</v>
      </c>
      <c r="N468" s="1188" t="str">
        <f>IF(ISNUMBER(FIND(B239,M468)),B468&amp;C468&amp;"、","")</f>
        <v/>
      </c>
      <c r="O468" s="1704">
        <f t="shared" si="44"/>
        <v>0</v>
      </c>
      <c r="P468" s="1704">
        <f t="shared" si="45"/>
        <v>0</v>
      </c>
      <c r="Q468" s="1704">
        <f t="shared" si="46"/>
        <v>0</v>
      </c>
      <c r="R468" s="1704">
        <f t="shared" si="47"/>
        <v>0</v>
      </c>
      <c r="S468" s="1167">
        <f t="shared" si="48"/>
        <v>0</v>
      </c>
    </row>
    <row r="469" spans="2:19">
      <c r="B469" s="1704">
        <f>职业列表!A219</f>
        <v>217</v>
      </c>
      <c r="C469" s="1704" t="str">
        <f>职业列表!B219</f>
        <v>退役军官</v>
      </c>
      <c r="D469" s="2017">
        <f>职业列表!D219</f>
        <v>40</v>
      </c>
      <c r="E469" s="2020">
        <f>职业列表!E219</f>
        <v>75</v>
      </c>
      <c r="F469" s="2020">
        <f>IF(F251=1,IF(E244&gt;=D469,1,0),IF(E244&lt;=D469,1,0))</f>
        <v>0</v>
      </c>
      <c r="G469" s="2020">
        <f>IF(G251=1,IF(C244&gt;=E469,1,0),IF(C244&lt;=E469,1,0))</f>
        <v>0</v>
      </c>
      <c r="H469" s="1723" t="str">
        <f t="shared" si="41"/>
        <v/>
      </c>
      <c r="I469" s="1704" t="str">
        <f t="shared" si="42"/>
        <v/>
      </c>
      <c r="J469" s="1792" t="str">
        <f t="shared" si="43"/>
        <v/>
      </c>
      <c r="K469" s="1723" t="str">
        <f>职业列表!F219</f>
        <v>教育×4</v>
      </c>
      <c r="L469" s="1792" t="str">
        <f>IF(ISNUMBER(FIND(B241,K469)),B469&amp;C469&amp;"、","")</f>
        <v/>
      </c>
      <c r="M469" s="2042" t="str">
        <f>职业列表!H219</f>
        <v>潜行，急救，射击（手枪、来复枪）,导航，其他语言（任意）,一项社交技能（取悦、话术、恐吓、说服）,心理学，骑术,格斗（剑），侦查，（攀爬、游泳）中的一种</v>
      </c>
      <c r="N469" s="1188" t="str">
        <f>IF(ISNUMBER(FIND(B239,M469)),B469&amp;C469&amp;"、","")</f>
        <v/>
      </c>
      <c r="O469" s="1704">
        <f t="shared" si="44"/>
        <v>0</v>
      </c>
      <c r="P469" s="1704">
        <f t="shared" si="45"/>
        <v>0</v>
      </c>
      <c r="Q469" s="1704">
        <f t="shared" si="46"/>
        <v>0</v>
      </c>
      <c r="R469" s="1704">
        <f t="shared" si="47"/>
        <v>0</v>
      </c>
      <c r="S469" s="1167">
        <f t="shared" si="48"/>
        <v>0</v>
      </c>
    </row>
    <row r="470" spans="2:19">
      <c r="B470" s="1704">
        <f>职业列表!A220</f>
        <v>218</v>
      </c>
      <c r="C470" s="1704" t="str">
        <f>职业列表!B220</f>
        <v>探险家</v>
      </c>
      <c r="D470" s="2017">
        <f>职业列表!D220</f>
        <v>45</v>
      </c>
      <c r="E470" s="2020">
        <f>职业列表!E220</f>
        <v>70</v>
      </c>
      <c r="F470" s="2020">
        <f>IF(F251=1,IF(E244&gt;=D470,1,0),IF(E244&lt;=D470,1,0))</f>
        <v>0</v>
      </c>
      <c r="G470" s="2020">
        <f>IF(G251=1,IF(C244&gt;=E470,1,0),IF(C244&lt;=E470,1,0))</f>
        <v>0</v>
      </c>
      <c r="H470" s="1723" t="str">
        <f t="shared" si="41"/>
        <v/>
      </c>
      <c r="I470" s="1704" t="str">
        <f t="shared" si="42"/>
        <v/>
      </c>
      <c r="J470" s="1792" t="str">
        <f t="shared" si="43"/>
        <v/>
      </c>
      <c r="K470" s="1723" t="str">
        <f>职业列表!F220</f>
        <v>教育×2＋外貌或敏捷或力量×2</v>
      </c>
      <c r="L470" s="1792" t="str">
        <f>IF(ISNUMBER(FIND(B241,K470)),B470&amp;C470&amp;"、","")</f>
        <v>218探险家、</v>
      </c>
      <c r="M470" s="2042" t="str">
        <f>职业列表!H220</f>
        <v>人类学，考古学，估价，科学（生物学），攀爬，急救，射击（手枪、来复枪），格斗（斗殴），博物学，导航，其他语言（任意），驾驶（小艇，船，热气球），骑术，潜行，侦查，游泳，追踪</v>
      </c>
      <c r="N470" s="1188" t="str">
        <f>IF(ISNUMBER(FIND(B239,M470)),B470&amp;C470&amp;"、","")</f>
        <v>218探险家、</v>
      </c>
      <c r="O470" s="1704">
        <f t="shared" si="44"/>
        <v>16</v>
      </c>
      <c r="P470" s="1704">
        <f t="shared" si="45"/>
        <v>37</v>
      </c>
      <c r="Q470" s="1704">
        <f t="shared" si="46"/>
        <v>0</v>
      </c>
      <c r="R470" s="1704">
        <f t="shared" si="47"/>
        <v>0</v>
      </c>
      <c r="S470" s="1167">
        <f t="shared" si="48"/>
        <v>53</v>
      </c>
    </row>
    <row r="471" spans="2:19">
      <c r="B471" s="1704">
        <f>职业列表!A221</f>
        <v>219</v>
      </c>
      <c r="C471" s="1704" t="str">
        <f>职业列表!B221</f>
        <v>私家侦探</v>
      </c>
      <c r="D471" s="2017">
        <f>职业列表!D221</f>
        <v>9</v>
      </c>
      <c r="E471" s="2020">
        <f>职业列表!E221</f>
        <v>40</v>
      </c>
      <c r="F471" s="2020">
        <f>IF(F251=1,IF(E244&gt;=D471,1,0),IF(E244&lt;=D471,1,0))</f>
        <v>0</v>
      </c>
      <c r="G471" s="2020">
        <f>IF(G251=1,IF(C244&gt;=E471,1,0),IF(C244&lt;=E471,1,0))</f>
        <v>0</v>
      </c>
      <c r="H471" s="1723" t="str">
        <f t="shared" si="41"/>
        <v/>
      </c>
      <c r="I471" s="1704" t="str">
        <f t="shared" si="42"/>
        <v/>
      </c>
      <c r="J471" s="1792" t="str">
        <f t="shared" si="43"/>
        <v/>
      </c>
      <c r="K471" s="1723" t="str">
        <f>职业列表!F221</f>
        <v>教育×2＋外貌或敏捷×2</v>
      </c>
      <c r="L471" s="1792" t="str">
        <f>IF(ISNUMBER(FIND(B241,K471)),B471&amp;C471&amp;"、","")</f>
        <v/>
      </c>
      <c r="M471" s="2042" t="str">
        <f>职业列表!H221</f>
        <v>会计，两项社交技能（取悦、话术、恐吓、说服），法律，图书馆，聆听，锁匠，艺术及手艺（摄影），侦查，任意一项其他个人或时代特长</v>
      </c>
      <c r="N471" s="1188" t="str">
        <f>IF(ISNUMBER(FIND(B239,M471)),B471&amp;C471&amp;"、","")</f>
        <v/>
      </c>
      <c r="O471" s="1704">
        <f t="shared" si="44"/>
        <v>0</v>
      </c>
      <c r="P471" s="1704">
        <f t="shared" si="45"/>
        <v>0</v>
      </c>
      <c r="Q471" s="1704">
        <f t="shared" si="46"/>
        <v>0</v>
      </c>
      <c r="R471" s="1704">
        <f t="shared" si="47"/>
        <v>0</v>
      </c>
      <c r="S471" s="1167">
        <f t="shared" si="48"/>
        <v>0</v>
      </c>
    </row>
    <row r="472" spans="2:19">
      <c r="B472" s="1704">
        <f>职业列表!A222</f>
        <v>220</v>
      </c>
      <c r="C472" s="1704" t="str">
        <f>职业列表!B222</f>
        <v>记者</v>
      </c>
      <c r="D472" s="2017">
        <f>职业列表!D222</f>
        <v>9</v>
      </c>
      <c r="E472" s="2020">
        <f>职业列表!E222</f>
        <v>30</v>
      </c>
      <c r="F472" s="2020">
        <f>IF(F251=1,IF(E244&gt;=D472,1,0),IF(E244&lt;=D472,1,0))</f>
        <v>0</v>
      </c>
      <c r="G472" s="2020">
        <f>IF(G251=1,IF(C244&gt;=E472,1,0),IF(C244&lt;=E472,1,0))</f>
        <v>0</v>
      </c>
      <c r="H472" s="1723" t="str">
        <f t="shared" si="41"/>
        <v/>
      </c>
      <c r="I472" s="1704" t="str">
        <f t="shared" si="42"/>
        <v/>
      </c>
      <c r="J472" s="1792" t="str">
        <f t="shared" si="43"/>
        <v/>
      </c>
      <c r="K472" s="1723" t="str">
        <f>职业列表!F222</f>
        <v>教育×2＋外貌或敏捷×2</v>
      </c>
      <c r="L472" s="1792" t="str">
        <f>IF(ISNUMBER(FIND(B241,K472)),B472&amp;C472&amp;"、","")</f>
        <v/>
      </c>
      <c r="M472" s="2042" t="str">
        <f>职业列表!H222</f>
        <v>估价，闪避，两项社交技能（取悦、话术、恐吓、说服），图书馆，聆听，其他语言（欧洲），母语，艺术及手艺（摄影），心理学，侦查。</v>
      </c>
      <c r="N472" s="1188" t="str">
        <f>IF(ISNUMBER(FIND(B239,M472)),B472&amp;C472&amp;"、","")</f>
        <v/>
      </c>
      <c r="O472" s="1704">
        <f t="shared" si="44"/>
        <v>0</v>
      </c>
      <c r="P472" s="1704">
        <f t="shared" si="45"/>
        <v>0</v>
      </c>
      <c r="Q472" s="1704">
        <f t="shared" si="46"/>
        <v>0</v>
      </c>
      <c r="R472" s="1704">
        <f t="shared" si="47"/>
        <v>0</v>
      </c>
      <c r="S472" s="1167">
        <f t="shared" si="48"/>
        <v>0</v>
      </c>
    </row>
    <row r="473" spans="2:19">
      <c r="B473" s="1704">
        <f>职业列表!A223</f>
        <v>221</v>
      </c>
      <c r="C473" s="1704" t="str">
        <f>职业列表!B223</f>
        <v>劳工</v>
      </c>
      <c r="D473" s="2017">
        <f>职业列表!D223</f>
        <v>0</v>
      </c>
      <c r="E473" s="2020">
        <f>职业列表!E223</f>
        <v>10</v>
      </c>
      <c r="F473" s="2020">
        <f>IF(F251=1,IF(E244&gt;=D473,1,0),IF(E244&lt;=D473,1,0))</f>
        <v>0</v>
      </c>
      <c r="G473" s="2020">
        <f>IF(G251=1,IF(C244&gt;=E473,1,0),IF(C244&lt;=E473,1,0))</f>
        <v>0</v>
      </c>
      <c r="H473" s="1723" t="str">
        <f t="shared" si="41"/>
        <v/>
      </c>
      <c r="I473" s="1704" t="str">
        <f t="shared" si="42"/>
        <v/>
      </c>
      <c r="J473" s="1792" t="str">
        <f t="shared" si="43"/>
        <v/>
      </c>
      <c r="K473" s="1723" t="str">
        <f>职业列表!F223</f>
        <v>教育×2＋力量×2</v>
      </c>
      <c r="L473" s="1792" t="str">
        <f>IF(ISNUMBER(FIND(B241,K473)),B473&amp;C473&amp;"、","")</f>
        <v>221劳工、</v>
      </c>
      <c r="M473" s="2042" t="str">
        <f>职业列表!H223</f>
        <v>估价，一项社交技能（取悦、话术、恐吓、说服），闪避，急救，机械维修，重型机械操作，任意一项其他个人或时代特长，以及从以下任选两种：（攀爬，斗殴，手艺（任意），马车驾驶，驾驶：船）</v>
      </c>
      <c r="N473" s="1188" t="str">
        <f>IF(ISNUMBER(FIND(B239,M473)),B473&amp;C473&amp;"、","")</f>
        <v/>
      </c>
      <c r="O473" s="1704">
        <f t="shared" si="44"/>
        <v>16</v>
      </c>
      <c r="P473" s="1704">
        <f t="shared" si="45"/>
        <v>0</v>
      </c>
      <c r="Q473" s="1704">
        <f t="shared" si="46"/>
        <v>0</v>
      </c>
      <c r="R473" s="1704">
        <f t="shared" si="47"/>
        <v>0</v>
      </c>
      <c r="S473" s="1167">
        <f t="shared" si="48"/>
        <v>16</v>
      </c>
    </row>
    <row r="474" spans="2:19">
      <c r="B474" s="1704">
        <f>职业列表!A224</f>
        <v>222</v>
      </c>
      <c r="C474" s="1704" t="str">
        <f>职业列表!B224</f>
        <v>律师</v>
      </c>
      <c r="D474" s="2017">
        <f>职业列表!D224</f>
        <v>20</v>
      </c>
      <c r="E474" s="2020">
        <f>职业列表!E224</f>
        <v>80</v>
      </c>
      <c r="F474" s="2020">
        <f>IF(F251=1,IF(E244&gt;=D474,1,0),IF(E244&lt;=D474,1,0))</f>
        <v>0</v>
      </c>
      <c r="G474" s="2020">
        <f>IF(G251=1,IF(C244&gt;=E474,1,0),IF(C244&lt;=E474,1,0))</f>
        <v>0</v>
      </c>
      <c r="H474" s="1723" t="str">
        <f t="shared" si="41"/>
        <v/>
      </c>
      <c r="I474" s="1704" t="str">
        <f t="shared" si="42"/>
        <v/>
      </c>
      <c r="J474" s="1792" t="str">
        <f t="shared" si="43"/>
        <v/>
      </c>
      <c r="K474" s="1723" t="str">
        <f>职业列表!F224</f>
        <v>教育×4</v>
      </c>
      <c r="L474" s="1792" t="str">
        <f>IF(ISNUMBER(FIND(B241,K474)),B474&amp;C474&amp;"、","")</f>
        <v/>
      </c>
      <c r="M474" s="2042" t="str">
        <f>职业列表!H224</f>
        <v>会计，估价，两项社交技能（取悦、话术、恐吓、说服），历史，拉丁语，法律，图书馆，聆听，心理学，任意两项其他个人或时代特长</v>
      </c>
      <c r="N474" s="1188" t="str">
        <f>IF(ISNUMBER(FIND(B239,M474)),B474&amp;C474&amp;"、","")</f>
        <v/>
      </c>
      <c r="O474" s="1704">
        <f t="shared" si="44"/>
        <v>0</v>
      </c>
      <c r="P474" s="1704">
        <f t="shared" si="45"/>
        <v>0</v>
      </c>
      <c r="Q474" s="1704">
        <f t="shared" si="46"/>
        <v>0</v>
      </c>
      <c r="R474" s="1704">
        <f t="shared" si="47"/>
        <v>0</v>
      </c>
      <c r="S474" s="1167">
        <f t="shared" si="48"/>
        <v>0</v>
      </c>
    </row>
    <row r="475" spans="2:19">
      <c r="B475" s="1704">
        <f>职业列表!A225</f>
        <v>223</v>
      </c>
      <c r="C475" s="1704" t="str">
        <f>职业列表!B225</f>
        <v>医生</v>
      </c>
      <c r="D475" s="2017">
        <f>职业列表!D225</f>
        <v>30</v>
      </c>
      <c r="E475" s="2020">
        <f>职业列表!E225</f>
        <v>70</v>
      </c>
      <c r="F475" s="2020">
        <f>IF(F251=1,IF(E244&gt;=D475,1,0),IF(E244&lt;=D475,1,0))</f>
        <v>0</v>
      </c>
      <c r="G475" s="2020">
        <f>IF(G251=1,IF(C244&gt;=E475,1,0),IF(C244&lt;=E475,1,0))</f>
        <v>0</v>
      </c>
      <c r="H475" s="1723" t="str">
        <f t="shared" si="41"/>
        <v/>
      </c>
      <c r="I475" s="1704" t="str">
        <f t="shared" si="42"/>
        <v/>
      </c>
      <c r="J475" s="1792" t="str">
        <f t="shared" si="43"/>
        <v/>
      </c>
      <c r="K475" s="1723" t="str">
        <f>职业列表!F225</f>
        <v>教育×4</v>
      </c>
      <c r="L475" s="1792" t="str">
        <f>IF(ISNUMBER(FIND(B241,K475)),B475&amp;C475&amp;"、","")</f>
        <v/>
      </c>
      <c r="M475" s="2042" t="str">
        <f>职业列表!H225</f>
        <v>科学（生物学、药剂学），急救，拉丁语，图书馆，医学，心理学，任意两项其他个人或时代特长</v>
      </c>
      <c r="N475" s="1188" t="str">
        <f>IF(ISNUMBER(FIND(B239,M475)),B475&amp;C475&amp;"、","")</f>
        <v/>
      </c>
      <c r="O475" s="1704">
        <f t="shared" si="44"/>
        <v>0</v>
      </c>
      <c r="P475" s="1704">
        <f t="shared" si="45"/>
        <v>0</v>
      </c>
      <c r="Q475" s="1704">
        <f t="shared" si="46"/>
        <v>0</v>
      </c>
      <c r="R475" s="1704">
        <f t="shared" si="47"/>
        <v>0</v>
      </c>
      <c r="S475" s="1167">
        <f t="shared" si="48"/>
        <v>0</v>
      </c>
    </row>
    <row r="476" spans="2:19">
      <c r="B476" s="1704">
        <f>职业列表!A226</f>
        <v>224</v>
      </c>
      <c r="C476" s="1704" t="str">
        <f>职业列表!B226</f>
        <v>警察</v>
      </c>
      <c r="D476" s="2017">
        <f>职业列表!D226</f>
        <v>9</v>
      </c>
      <c r="E476" s="2020">
        <f>职业列表!E226</f>
        <v>30</v>
      </c>
      <c r="F476" s="2020">
        <f>IF(F251=1,IF(E244&gt;=D476,1,0),IF(E244&lt;=D476,1,0))</f>
        <v>0</v>
      </c>
      <c r="G476" s="2020">
        <f>IF(G251=1,IF(C244&gt;=E476,1,0),IF(C244&lt;=E476,1,0))</f>
        <v>0</v>
      </c>
      <c r="H476" s="1723" t="str">
        <f t="shared" si="41"/>
        <v/>
      </c>
      <c r="I476" s="1704" t="str">
        <f t="shared" si="42"/>
        <v/>
      </c>
      <c r="J476" s="1792" t="str">
        <f t="shared" si="43"/>
        <v/>
      </c>
      <c r="K476" s="1723" t="str">
        <f>职业列表!F226</f>
        <v>教育×2＋力量或敏捷×2</v>
      </c>
      <c r="L476" s="1792" t="str">
        <f>IF(ISNUMBER(FIND(B241,K476)),B476&amp;C476&amp;"、","")</f>
        <v>224警察、</v>
      </c>
      <c r="M476" s="2042" t="str">
        <f>职业列表!H226</f>
        <v>格斗（斗殴），闪避，一项社交技能（取悦、话术、恐吓、说服），急救，射击（手枪），法律，聆听，心理学，潜行，侦查</v>
      </c>
      <c r="N476" s="1188" t="str">
        <f>IF(ISNUMBER(FIND(B239,M476)),B476&amp;C476&amp;"、","")</f>
        <v/>
      </c>
      <c r="O476" s="1704">
        <f t="shared" si="44"/>
        <v>16</v>
      </c>
      <c r="P476" s="1704">
        <f t="shared" si="45"/>
        <v>0</v>
      </c>
      <c r="Q476" s="1704">
        <f t="shared" si="46"/>
        <v>0</v>
      </c>
      <c r="R476" s="1704">
        <f t="shared" si="47"/>
        <v>0</v>
      </c>
      <c r="S476" s="1167">
        <f t="shared" si="48"/>
        <v>16</v>
      </c>
    </row>
    <row r="477" spans="2:19">
      <c r="B477" s="1704">
        <f>职业列表!A227</f>
        <v>225</v>
      </c>
      <c r="C477" s="1704" t="str">
        <f>职业列表!B227</f>
        <v>教授/学者</v>
      </c>
      <c r="D477" s="2017">
        <f>职业列表!D227</f>
        <v>20</v>
      </c>
      <c r="E477" s="2020">
        <f>职业列表!E227</f>
        <v>50</v>
      </c>
      <c r="F477" s="2020">
        <f>IF(F251=1,IF(E244&gt;=D477,1,0),IF(E244&lt;=D477,1,0))</f>
        <v>0</v>
      </c>
      <c r="G477" s="2020">
        <f>IF(G251=1,IF(C244&gt;=E477,1,0),IF(C244&lt;=E477,1,0))</f>
        <v>0</v>
      </c>
      <c r="H477" s="1723" t="str">
        <f t="shared" si="41"/>
        <v/>
      </c>
      <c r="I477" s="1704" t="str">
        <f t="shared" si="42"/>
        <v/>
      </c>
      <c r="J477" s="1792" t="str">
        <f t="shared" si="43"/>
        <v/>
      </c>
      <c r="K477" s="1723" t="str">
        <f>职业列表!F227</f>
        <v>教育×4</v>
      </c>
      <c r="L477" s="1792" t="str">
        <f>IF(ISNUMBER(FIND(B241,K477)),B477&amp;C477&amp;"、","")</f>
        <v/>
      </c>
      <c r="M477" s="2042" t="str">
        <f>职业列表!H227</f>
        <v>图书馆，其他语言（欧洲），一项社交技能（取悦、话术、恐吓、说服），心理学，至多六种额外的学问技巧作为个人专长</v>
      </c>
      <c r="N477" s="1188" t="str">
        <f>IF(ISNUMBER(FIND(B239,M477)),B477&amp;C477&amp;"、","")</f>
        <v/>
      </c>
      <c r="O477" s="1704">
        <f t="shared" si="44"/>
        <v>0</v>
      </c>
      <c r="P477" s="1704">
        <f t="shared" si="45"/>
        <v>0</v>
      </c>
      <c r="Q477" s="1704">
        <f t="shared" si="46"/>
        <v>0</v>
      </c>
      <c r="R477" s="1704">
        <f t="shared" si="47"/>
        <v>0</v>
      </c>
      <c r="S477" s="1167">
        <f t="shared" si="48"/>
        <v>0</v>
      </c>
    </row>
    <row r="478" spans="2:19">
      <c r="B478" s="1704">
        <f>职业列表!A228</f>
        <v>226</v>
      </c>
      <c r="C478" s="1704" t="str">
        <f>职业列表!B228</f>
        <v>科学家</v>
      </c>
      <c r="D478" s="2017">
        <f>职业列表!D228</f>
        <v>10</v>
      </c>
      <c r="E478" s="2020">
        <f>职业列表!E228</f>
        <v>60</v>
      </c>
      <c r="F478" s="2020">
        <f>IF(F251=1,IF(E244&gt;=D478,1,0),IF(E244&lt;=D478,1,0))</f>
        <v>0</v>
      </c>
      <c r="G478" s="2020">
        <f>IF(G251=1,IF(C244&gt;=E478,1,0),IF(C244&lt;=E478,1,0))</f>
        <v>0</v>
      </c>
      <c r="H478" s="1723" t="str">
        <f t="shared" si="41"/>
        <v/>
      </c>
      <c r="I478" s="1704" t="str">
        <f t="shared" si="42"/>
        <v/>
      </c>
      <c r="J478" s="1792" t="str">
        <f t="shared" si="43"/>
        <v/>
      </c>
      <c r="K478" s="1723" t="str">
        <f>职业列表!F228</f>
        <v>教育×4</v>
      </c>
      <c r="L478" s="1792" t="str">
        <f>IF(ISNUMBER(FIND(B241,K478)),B478&amp;C478&amp;"、","")</f>
        <v/>
      </c>
      <c r="M478" s="2042" t="str">
        <f>职业列表!H228</f>
        <v>手艺（任意），历史，图书馆，机械维修，一项社交技能（取悦、话术、恐吓、说服），侦查，至多六种其他学问技巧作为个人专长</v>
      </c>
      <c r="N478" s="1188" t="str">
        <f>IF(ISNUMBER(FIND(B239,M478)),B478&amp;C478&amp;"、","")</f>
        <v/>
      </c>
      <c r="O478" s="1704">
        <f t="shared" si="44"/>
        <v>0</v>
      </c>
      <c r="P478" s="1704">
        <f t="shared" si="45"/>
        <v>0</v>
      </c>
      <c r="Q478" s="1704">
        <f t="shared" si="46"/>
        <v>0</v>
      </c>
      <c r="R478" s="1704">
        <f t="shared" si="47"/>
        <v>0</v>
      </c>
      <c r="S478" s="1167">
        <f t="shared" si="48"/>
        <v>0</v>
      </c>
    </row>
    <row r="479" spans="2:19">
      <c r="B479" s="1704">
        <f>职业列表!A229</f>
        <v>227</v>
      </c>
      <c r="C479" s="1704" t="str">
        <f>职业列表!B229</f>
        <v>佣人</v>
      </c>
      <c r="D479" s="2017">
        <f>职业列表!D229</f>
        <v>0</v>
      </c>
      <c r="E479" s="2020">
        <f>职业列表!E229</f>
        <v>10</v>
      </c>
      <c r="F479" s="2020">
        <f>IF(F251=1,IF(E244&gt;=D479,1,0),IF(E244&lt;=D479,1,0))</f>
        <v>0</v>
      </c>
      <c r="G479" s="2020">
        <f>IF(G251=1,IF(C244&gt;=E479,1,0),IF(C244&lt;=E479,1,0))</f>
        <v>0</v>
      </c>
      <c r="H479" s="1723" t="str">
        <f t="shared" si="41"/>
        <v/>
      </c>
      <c r="I479" s="1704" t="str">
        <f t="shared" si="42"/>
        <v/>
      </c>
      <c r="J479" s="1792" t="str">
        <f t="shared" si="43"/>
        <v/>
      </c>
      <c r="K479" s="1723" t="str">
        <f>职业列表!F229</f>
        <v>教育×2＋外貌或敏捷×2</v>
      </c>
      <c r="L479" s="1792" t="str">
        <f>IF(ISNUMBER(FIND(B241,K479)),B479&amp;C479&amp;"、","")</f>
        <v/>
      </c>
      <c r="M479" s="2042" t="str">
        <f>职业列表!H229</f>
        <v>手艺（任意），闪避，聆听，潜行，任意一项其他个人或时代特长，以及从以下中最多选取三个：（会计，估价，马车驾驶，礼仪，急救，其他语言（欧洲），说服）</v>
      </c>
      <c r="N479" s="1188" t="str">
        <f>IF(ISNUMBER(FIND(B239,M479)),B479&amp;C479&amp;"、","")</f>
        <v/>
      </c>
      <c r="O479" s="1704">
        <f t="shared" si="44"/>
        <v>0</v>
      </c>
      <c r="P479" s="1704">
        <f t="shared" si="45"/>
        <v>0</v>
      </c>
      <c r="Q479" s="1704">
        <f t="shared" si="46"/>
        <v>0</v>
      </c>
      <c r="R479" s="1704">
        <f t="shared" si="47"/>
        <v>0</v>
      </c>
      <c r="S479" s="1167">
        <f t="shared" si="48"/>
        <v>0</v>
      </c>
    </row>
    <row r="480" spans="2:19">
      <c r="B480" s="1704">
        <f>职业列表!A230</f>
        <v>228</v>
      </c>
      <c r="C480" s="1704" t="str">
        <f>职业列表!B230</f>
        <v>店主</v>
      </c>
      <c r="D480" s="2017">
        <f>职业列表!D230</f>
        <v>9</v>
      </c>
      <c r="E480" s="2020">
        <f>职业列表!E230</f>
        <v>30</v>
      </c>
      <c r="F480" s="2020">
        <f>IF(F251=1,IF(E244&gt;=D480,1,0),IF(E244&lt;=D480,1,0))</f>
        <v>0</v>
      </c>
      <c r="G480" s="2020">
        <f>IF(G251=1,IF(C244&gt;=E480,1,0),IF(C244&lt;=E480,1,0))</f>
        <v>0</v>
      </c>
      <c r="H480" s="1723" t="str">
        <f t="shared" si="41"/>
        <v/>
      </c>
      <c r="I480" s="1704" t="str">
        <f t="shared" si="42"/>
        <v/>
      </c>
      <c r="J480" s="1792" t="str">
        <f t="shared" si="43"/>
        <v/>
      </c>
      <c r="K480" s="1723" t="str">
        <f>职业列表!F230</f>
        <v>教育×2＋外貌或敏捷×2</v>
      </c>
      <c r="L480" s="1792" t="str">
        <f>IF(ISNUMBER(FIND(B241,K480)),B480&amp;C480&amp;"、","")</f>
        <v/>
      </c>
      <c r="M480" s="2042" t="str">
        <f>职业列表!H230</f>
        <v>会计，估价，手艺（任意），聆听，一项社交技能（取悦、话术、恐吓、说服），心理学，侦查，任意一项其他个人或时代特长</v>
      </c>
      <c r="N480" s="1188" t="str">
        <f>IF(ISNUMBER(FIND(B239,M480)),B480&amp;C480&amp;"、","")</f>
        <v/>
      </c>
      <c r="O480" s="1704">
        <f t="shared" si="44"/>
        <v>0</v>
      </c>
      <c r="P480" s="1704">
        <f t="shared" si="45"/>
        <v>0</v>
      </c>
      <c r="Q480" s="1704">
        <f t="shared" si="46"/>
        <v>0</v>
      </c>
      <c r="R480" s="1704">
        <f t="shared" si="47"/>
        <v>0</v>
      </c>
      <c r="S480" s="1167">
        <f t="shared" si="48"/>
        <v>0</v>
      </c>
    </row>
    <row r="481" spans="2:19">
      <c r="B481" s="1704">
        <f>职业列表!A231</f>
        <v>229</v>
      </c>
      <c r="C481" s="1704" t="str">
        <f>职业列表!B231</f>
        <v>士兵</v>
      </c>
      <c r="D481" s="2017">
        <f>职业列表!D231</f>
        <v>9</v>
      </c>
      <c r="E481" s="2020">
        <f>职业列表!E231</f>
        <v>30</v>
      </c>
      <c r="F481" s="2020">
        <f>IF(F251=1,IF(E244&gt;=D481,1,0),IF(E244&lt;=D481,1,0))</f>
        <v>0</v>
      </c>
      <c r="G481" s="2020">
        <f>IF(G251=1,IF(C244&gt;=E481,1,0),IF(C244&lt;=E481,1,0))</f>
        <v>0</v>
      </c>
      <c r="H481" s="1723" t="str">
        <f t="shared" si="41"/>
        <v/>
      </c>
      <c r="I481" s="1704" t="str">
        <f t="shared" si="42"/>
        <v/>
      </c>
      <c r="J481" s="1792" t="str">
        <f t="shared" si="43"/>
        <v/>
      </c>
      <c r="K481" s="1723" t="str">
        <f>职业列表!F231</f>
        <v>教育×2＋力量或敏捷×2</v>
      </c>
      <c r="L481" s="1792" t="str">
        <f>IF(ISNUMBER(FIND(B241,K481)),B481&amp;C481&amp;"、","")</f>
        <v>229士兵、</v>
      </c>
      <c r="M481" s="2042" t="str">
        <f>职业列表!H231</f>
        <v>闪避，急救，潜行，聆听，机械维修，射击（来复枪），潜行，侦查，任意两项其他个人或时代特长</v>
      </c>
      <c r="N481" s="1188" t="str">
        <f>IF(ISNUMBER(FIND(B239,M481)),B481&amp;C481&amp;"、","")</f>
        <v/>
      </c>
      <c r="O481" s="1704">
        <f t="shared" si="44"/>
        <v>16</v>
      </c>
      <c r="P481" s="1704">
        <f t="shared" si="45"/>
        <v>0</v>
      </c>
      <c r="Q481" s="1704">
        <f t="shared" si="46"/>
        <v>0</v>
      </c>
      <c r="R481" s="1704">
        <f t="shared" si="47"/>
        <v>0</v>
      </c>
      <c r="S481" s="1167">
        <f t="shared" si="48"/>
        <v>16</v>
      </c>
    </row>
    <row r="482" ht="15.95" spans="2:19">
      <c r="B482" s="1704">
        <f>职业列表!A232</f>
        <v>230</v>
      </c>
      <c r="C482" s="1704" t="str">
        <f>职业列表!B232</f>
        <v>密探</v>
      </c>
      <c r="D482" s="2089">
        <f>职业列表!D232</f>
        <v>30</v>
      </c>
      <c r="E482" s="2103">
        <f>职业列表!E232</f>
        <v>70</v>
      </c>
      <c r="F482" s="2103">
        <f>IF(F251=1,IF(E244&gt;=D482,1,0),IF(E244&lt;=D482,1,0))</f>
        <v>0</v>
      </c>
      <c r="G482" s="2103">
        <f>IF(G251=1,IF(C244&gt;=E482,1,0),IF(C244&lt;=E482,1,0))</f>
        <v>0</v>
      </c>
      <c r="H482" s="1726" t="str">
        <f t="shared" si="41"/>
        <v/>
      </c>
      <c r="I482" s="1728" t="str">
        <f t="shared" si="42"/>
        <v/>
      </c>
      <c r="J482" s="1793" t="str">
        <f t="shared" si="43"/>
        <v/>
      </c>
      <c r="K482" s="1726" t="str">
        <f>职业列表!F232</f>
        <v>教育×2＋外貌或敏捷×2</v>
      </c>
      <c r="L482" s="1793" t="str">
        <f>IF(ISNUMBER(FIND(B241,K482)),B482&amp;C482&amp;"、","")</f>
        <v/>
      </c>
      <c r="M482" s="2107" t="str">
        <f>职业列表!H232</f>
        <v>乔装，一项社交技能（取悦、话术、恐吓、说服），潜行，历史，图书馆，聆听，锁匠，导航，其他语言（欧洲），心理学，侦查，格斗（任意）</v>
      </c>
      <c r="N482" s="2040" t="str">
        <f>IF(ISNUMBER(FIND(B239,M482)),B482&amp;C482&amp;"、","")</f>
        <v/>
      </c>
      <c r="O482" s="1704">
        <f t="shared" si="44"/>
        <v>0</v>
      </c>
      <c r="P482" s="1704">
        <f t="shared" si="45"/>
        <v>0</v>
      </c>
      <c r="Q482" s="1704">
        <f t="shared" si="46"/>
        <v>0</v>
      </c>
      <c r="R482" s="1704">
        <f t="shared" si="47"/>
        <v>0</v>
      </c>
      <c r="S482" s="1167">
        <f t="shared" si="48"/>
        <v>0</v>
      </c>
    </row>
    <row r="483" spans="8:8">
      <c r="H483" s="2020"/>
    </row>
    <row r="484" spans="8:8">
      <c r="H484" s="2020"/>
    </row>
    <row r="485" ht="17" spans="6:9">
      <c r="F485" s="2104" t="s">
        <v>3415</v>
      </c>
      <c r="G485" s="2104"/>
      <c r="H485" s="2104" t="s">
        <v>3</v>
      </c>
      <c r="I485" s="2106" t="s">
        <v>515</v>
      </c>
    </row>
    <row r="486" ht="17" spans="6:9">
      <c r="F486" s="2104"/>
      <c r="G486" s="2104"/>
      <c r="H486" s="2104" t="s">
        <v>345</v>
      </c>
      <c r="I486" s="2106" t="s">
        <v>515</v>
      </c>
    </row>
    <row r="487" ht="17" spans="6:9">
      <c r="F487" s="2104"/>
      <c r="G487" s="2104"/>
      <c r="H487" s="2104" t="s">
        <v>3234</v>
      </c>
      <c r="I487" s="2106" t="s">
        <v>181</v>
      </c>
    </row>
    <row r="488" ht="17" spans="6:9">
      <c r="F488" s="2104"/>
      <c r="G488" s="2104"/>
      <c r="H488" s="2105" t="s">
        <v>3232</v>
      </c>
      <c r="I488" s="2106" t="s">
        <v>181</v>
      </c>
    </row>
    <row r="489" spans="8:8">
      <c r="H489" s="2020"/>
    </row>
    <row r="490" spans="8:8">
      <c r="H490" s="2020"/>
    </row>
    <row r="491" spans="8:8">
      <c r="H491" s="2020"/>
    </row>
    <row r="492" spans="8:8">
      <c r="H492" s="2020"/>
    </row>
    <row r="493" spans="8:8">
      <c r="H493" s="2020"/>
    </row>
    <row r="494" spans="8:8">
      <c r="H494" s="2020"/>
    </row>
    <row r="495" spans="8:8">
      <c r="H495" s="2020"/>
    </row>
    <row r="496" spans="8:8">
      <c r="H496" s="2020"/>
    </row>
    <row r="497" spans="8:8">
      <c r="H497" s="2020"/>
    </row>
    <row r="498" spans="8:8">
      <c r="H498" s="2020"/>
    </row>
    <row r="499" spans="8:8">
      <c r="H499" s="2020"/>
    </row>
    <row r="500" spans="8:8">
      <c r="H500" s="2020"/>
    </row>
  </sheetData>
  <protectedRanges>
    <protectedRange sqref="M5:M7 H8 I8 J8 K8 L8 G3:G6 G8 G7" name="技能表以上"/>
  </protectedRanges>
  <mergeCells count="319">
    <mergeCell ref="AJ1:AL1"/>
    <mergeCell ref="B2:E2"/>
    <mergeCell ref="S2:AI2"/>
    <mergeCell ref="N3:P3"/>
    <mergeCell ref="C9:E9"/>
    <mergeCell ref="B10:E10"/>
    <mergeCell ref="O15:Q15"/>
    <mergeCell ref="B17:G17"/>
    <mergeCell ref="B18:G18"/>
    <mergeCell ref="AA20:AD20"/>
    <mergeCell ref="AZ24:BB24"/>
    <mergeCell ref="E27:K27"/>
    <mergeCell ref="E28:K28"/>
    <mergeCell ref="E29:K29"/>
    <mergeCell ref="AD29:AE29"/>
    <mergeCell ref="E30:K30"/>
    <mergeCell ref="E31:K31"/>
    <mergeCell ref="E32:K32"/>
    <mergeCell ref="E34:K34"/>
    <mergeCell ref="I36:M36"/>
    <mergeCell ref="C38:E38"/>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N205:R205"/>
    <mergeCell ref="T205:X205"/>
    <mergeCell ref="N206:R206"/>
    <mergeCell ref="T206:X206"/>
    <mergeCell ref="N207:R207"/>
    <mergeCell ref="T207:X207"/>
    <mergeCell ref="N208:R208"/>
    <mergeCell ref="T208:X208"/>
    <mergeCell ref="N209:R209"/>
    <mergeCell ref="T209:X209"/>
    <mergeCell ref="N210:R210"/>
    <mergeCell ref="T210:X210"/>
    <mergeCell ref="N211:R211"/>
    <mergeCell ref="T211:X211"/>
    <mergeCell ref="N212:R212"/>
    <mergeCell ref="T212:X212"/>
    <mergeCell ref="N213:R213"/>
    <mergeCell ref="T213:X213"/>
    <mergeCell ref="N214:R214"/>
    <mergeCell ref="T214:X214"/>
    <mergeCell ref="N215:R215"/>
    <mergeCell ref="T215:X215"/>
    <mergeCell ref="M217:N217"/>
    <mergeCell ref="O217:P217"/>
    <mergeCell ref="Q217:R217"/>
    <mergeCell ref="S217:T217"/>
    <mergeCell ref="U217:V217"/>
    <mergeCell ref="Z219:AH219"/>
    <mergeCell ref="AM219:AN219"/>
    <mergeCell ref="AM220:AN220"/>
    <mergeCell ref="Z221:AA221"/>
    <mergeCell ref="AE221:AG221"/>
    <mergeCell ref="AM221:AN221"/>
    <mergeCell ref="Z222:AA222"/>
    <mergeCell ref="AM222:AN222"/>
    <mergeCell ref="Z223:AA223"/>
    <mergeCell ref="AM223:AN223"/>
    <mergeCell ref="Z224:AA224"/>
    <mergeCell ref="AM224:AN224"/>
    <mergeCell ref="Z225:AA225"/>
    <mergeCell ref="AM225:AN225"/>
    <mergeCell ref="Z226:AA226"/>
    <mergeCell ref="AM226:AN226"/>
    <mergeCell ref="Z227:AA227"/>
    <mergeCell ref="AM227:AN227"/>
    <mergeCell ref="Z228:AA228"/>
    <mergeCell ref="AE228:AG228"/>
    <mergeCell ref="AM228:AN228"/>
    <mergeCell ref="Z229:AA229"/>
    <mergeCell ref="AM229:AN229"/>
    <mergeCell ref="Z230:AA230"/>
    <mergeCell ref="AM230:AN230"/>
    <mergeCell ref="Z231:AA231"/>
    <mergeCell ref="AM231:AN231"/>
    <mergeCell ref="AE232:AG232"/>
    <mergeCell ref="AM232:AN232"/>
    <mergeCell ref="Z233:AC233"/>
    <mergeCell ref="AM233:AN233"/>
    <mergeCell ref="AM234:AN234"/>
    <mergeCell ref="AE235:AG235"/>
    <mergeCell ref="AM235:AN235"/>
    <mergeCell ref="AM236:AN236"/>
    <mergeCell ref="AM237:AN237"/>
    <mergeCell ref="AE238:AG238"/>
    <mergeCell ref="AM238:AN238"/>
    <mergeCell ref="AM239:AN239"/>
    <mergeCell ref="AM240:AN240"/>
    <mergeCell ref="Z241:AD241"/>
    <mergeCell ref="AM241:AN241"/>
    <mergeCell ref="AM242:AN242"/>
    <mergeCell ref="AM243:AN243"/>
    <mergeCell ref="AM244:AN244"/>
    <mergeCell ref="AM245:AN245"/>
    <mergeCell ref="AM246:AN246"/>
    <mergeCell ref="AM247:AN247"/>
    <mergeCell ref="AM248:AN248"/>
    <mergeCell ref="K252:L252"/>
    <mergeCell ref="M252:N252"/>
    <mergeCell ref="AM252:AN252"/>
    <mergeCell ref="AM253:AN253"/>
    <mergeCell ref="AM254:AN254"/>
    <mergeCell ref="A3:A4"/>
    <mergeCell ref="B3:B4"/>
    <mergeCell ref="C3:C4"/>
    <mergeCell ref="L94:L214"/>
    <mergeCell ref="Z14:Z18"/>
    <mergeCell ref="AF22:AF31"/>
    <mergeCell ref="AG22:AG31"/>
    <mergeCell ref="AH22:AH31"/>
    <mergeCell ref="AI22:AI31"/>
    <mergeCell ref="AJ22:AJ31"/>
    <mergeCell ref="AK22:AK31"/>
    <mergeCell ref="AL22:AL31"/>
    <mergeCell ref="AM22:AM31"/>
    <mergeCell ref="AN22:AN31"/>
    <mergeCell ref="AO22:AO31"/>
    <mergeCell ref="AP22:AP31"/>
    <mergeCell ref="AQ22:AQ31"/>
    <mergeCell ref="AR22:AR31"/>
    <mergeCell ref="AS22:AS31"/>
    <mergeCell ref="AV38:AV47"/>
    <mergeCell ref="BA14:BA23"/>
    <mergeCell ref="F485:G488"/>
    <mergeCell ref="S23:V39"/>
    <mergeCell ref="U40:V63"/>
    <mergeCell ref="AB221:AC231"/>
    <mergeCell ref="G15:H16"/>
    <mergeCell ref="J53:K58"/>
    <mergeCell ref="E53:I58"/>
  </mergeCells>
  <conditionalFormatting sqref="AK4">
    <cfRule type="expression" dxfId="4" priority="54">
      <formula>"人物卡!$F$5=1"</formula>
    </cfRule>
  </conditionalFormatting>
  <conditionalFormatting sqref="S10">
    <cfRule type="expression" dxfId="4" priority="57">
      <formula>"人物卡!$F$5=1"</formula>
    </cfRule>
  </conditionalFormatting>
  <conditionalFormatting sqref="S12">
    <cfRule type="expression" dxfId="4" priority="53">
      <formula>"人物卡!$F$5=1"</formula>
    </cfRule>
  </conditionalFormatting>
  <conditionalFormatting sqref="I485">
    <cfRule type="expression" dxfId="4" priority="52">
      <formula>"人物卡!$F$5=1"</formula>
    </cfRule>
  </conditionalFormatting>
  <conditionalFormatting sqref="I486:I488">
    <cfRule type="expression" dxfId="4" priority="51">
      <formula>"人物卡!$F$5=1"</formula>
    </cfRule>
  </conditionalFormatting>
  <conditionalFormatting sqref="AK5:AK11">
    <cfRule type="expression" dxfId="4" priority="55">
      <formula>"人物卡!$F$5=1"</formula>
    </cfRule>
  </conditionalFormatting>
  <conditionalFormatting sqref="AJ1 S11 S4:S9">
    <cfRule type="expression" dxfId="4" priority="58">
      <formula>"人物卡!$F$5=1"</formula>
    </cfRule>
  </conditionalFormatting>
  <dataValidations count="125">
    <dataValidation allowBlank="1" sqref="G14:O14" errorStyle="warning"/>
    <dataValidation allowBlank="1" showInputMessage="1" showErrorMessage="1" promptTitle="Accounting (05%)" prompt="- 使你理解会计工作的流程以及一个企业或者个人的金融职务。&#10;- 通过检查账簿，你可以发现做假账的员工，对资金的偷偷挪用，对行贿或者敲诈的款项支付，以及经济状况是否比表面陈述的更好或者更差。&#10;- 通过仔细检查旧账户，你可以了解过去的资金的得与失（谷物，奴隶贸易，威士忌酒的运营等）以及这些资金是付给了谁以及为了什么款项而支付。" sqref="X25"/>
    <dataValidation allowBlank="1" showInputMessage="1" showErrorMessage="1" promptTitle="Anthropology (01%)" prompt="- 使使用者能够通过观察来辨认和理解一个人的生活方式。&#10;- 如果技能使用者持续观察一个其他的文化一段时间，或者在有着关于某种已消失文化的正确资料环境下工作，那么他可以对文化方式以及道德习惯进行简单的预测，即使证据可能并不完整。&#10;- 通过学习文化一个月或者更久，人类学家开始理解这种文化是如何运作的以及，如果结合心理学，可以预测那些研究文化的行为和信仰。" sqref="X26"/>
    <dataValidation allowBlank="1" showInputMessage="1" showErrorMessage="1" promptTitle="Appraise (05%)" prompt="- 用来估计某种物品的价值，包括质量，使用的材料以及工艺。&#10;- 相关的，技能使用者可以准确地辨认出物品的年龄，评估它的历史关联性以及发现赝品。" sqref="X27"/>
    <dataValidation allowBlank="1" showInputMessage="1" showErrorMessage="1" promptTitle="Archaeology (01%)" prompt="- 允许从过去的文化中鉴定一件古董的年代以及辨别它，以及可以用来发现赝品。&#10;- 使获得建立以及开掘一个挖掘遗址的专业知识。&#10;通过对遗址的勘察，使用者可以推断留下这遗址的生物的目的和生活方式。&#10;- 人类学可能对此会有所帮助。&#10;- 考古学还有助于辨认已消失的人类语言的书面形式。" sqref="X28"/>
    <dataValidation allowBlank="1" showInputMessage="1" showErrorMessage="1" promptTitle="Art and Craft (05%)" prompt="- 许多这些例子都是与专业直接相联系的技能，但是这些技能可能只是休闲嗜好。你可以花费技能在任意专业化技能上。&#10;- 不可以加点在作为类属的“艺术与手艺”上。&#10;- 这项技能可能能使你制作或者修理一样东西—通常需要工具和时间，由 KP 来决定，如果必要的话。&#10;- 在适用成功程度分度的情况下，一个更高等级的成功表示这件物品有着高品质以及/或精致度高。&#10;（请点击下一个技艺）" sqref="X29"/>
    <dataValidation allowBlank="1" showInputMessage="1" showErrorMessage="1" promptTitle="Art and Craft (05%)" prompt="- 一个艺术或者手艺技能可能可以用于制作一个复&#10;制品或者赝品。在这情况下，难度等级将取决于需要复制的原品的复杂程度以及独特性。&#10;- 在伪造文件的场合下，将使用一个专门的专业化技能（伪造）。&#10;- 一个成功的检定可能可以提供一个物品的相关信&#10;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dataValidation allowBlank="1" showInputMessage="1" showErrorMessage="1" promptTitle="Charm (15%)" prompt="- 魅惑允许通过许多形式来使用，包括肉体魅力、诱惑、奉承或是单纯令人感到温暖的人格魅力。&#10;- 魅惑可能可以被用于迫使某人进行特定的行动，但是不会是与个人日常举止完全相反的行为。&#10;- 魅惑或是心理学技能可以用于对抗魅惑技能。&#10;- 魅惑技能可以被用于讨价还价来使一件物品或者服务的价格降低。&#10;- 如果成功，使用者得到了卖家的赞同，并且他们可能乐意降低一点价格。" sqref="X32"/>
    <dataValidation allowBlank="1" showInputMessage="1" showErrorMessage="1" promptTitle="Climb (20%)" prompt="- 这项技能允许一名角色借助或者不借助绳索或者登山工具进行爬树、墙以及其他垂直表面。&#10;- 这项技能也同样包括用绳索下降。攀爬表面是否坚固，是否有可以用手握住的地方，风力，可见度，雨等等坏境状况都可能会影响难度等级。&#10;- 第一次在这个技能上失败可能意味着这攀爬超出了调查员的能力范围。在孤注一掷上失败则可能意味着摔落了下来，同时因此受到伤害。&#10;- 一个成功的攀爬检定应当允许调查员在任何场合下完成攀爬（而不是进行反复检定）。&#10;- 一次富有挑战性或者长距离的攀爬则应当增加难度等级。" sqref="X33"/>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10;- 互联网将大量的信息放置在了调查员的指尖上。&#10;- 使用互联网来找到高度详细以及/或模糊不清的咨询可能会需要一个计算机使用和图书馆使用的组合检定。&#10;- 这项技能在用电脑上网，检查电子邮件，或者运行一般的商品化软件时不需要使用。&#10;- 仅在现代可用。" sqref="X34"/>
    <dataValidation allowBlank="1" showInputMessage="1" showErrorMessage="1" promptTitle="Credit Rating (00%)" prompt="- 衡量了调查员表现出来的富裕程度以及经济上的&#10;自信度。&#10;- 钱是敲门砖；如果调查员尝试用他的经济地位来达成某个目标，那么也许使用信用评级技能会比较合适。&#10;- 信用评级可以被用来取代 APP 来评估第一印&#10;象。&#10;- 信用评级并不是一个被用于评估经济富裕度的技能，也不应该与其他技能挂钩。一个高信用评级在游戏中将会是一个有用的资源，并且应当在创造调查员时加上一定的点数。" sqref="X35"/>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10;               ——H·P·爱手艺" sqref="X36"/>
    <dataValidation allowBlank="1" showInputMessage="1" showErrorMessage="1" promptTitle="Disguise (05%)" prompt="- 使用在当你想要演出除你自己外的别人时。&#10;- 使用者改变了态度，习惯，以及/或声音来进行一个乔装，以另一个人或者另一类人的形象出现。&#10;- 戏剧化妆品可能会有所帮助，还有伪造的身份证。" sqref="X37"/>
    <dataValidation allowBlank="1" showInputMessage="1" showErrorMessage="1" promptTitle="Dodge (DEX/2) [无法孤注一骰]" prompt="- 允许调查员本能地闪避攻击，投掷过来的投射物以及诸如此类的。&#10;- 一名角色可以尝试在一场战斗轮中使用任何次数的闪避（但是对抗一次特定的攻击只能一次）。&#10;- 闪避可以通过经验来提升，就像其他的技能一样。&#10;- 如果一次攻击可以被看见，一名角色可以尝试闪避开它。&#10;- 想要闪避子弹是不可能的，因为运动中的它们是不可能被看见的；一名角色所能做到的最好的是做逃避的行动来造成自己更难被命中（“寻找掩体（可以在武器列表的可选规则里看见）“）。" sqref="X38"/>
    <dataValidation allowBlank="1" showInputMessage="1" showErrorMessage="1" promptTitle="Drive Auto (20%)" prompt="- 任何有着这项技能的人都可以驾驶一辆汽车或者&#10;轻型卡车，进行常规的移动，并且处理机动车的一般毛病。&#10;- 如果调查员想要甩掉一名追踪者或者追踪某人，则需要一个汽车驾驶检定。&#10;- 一些其他的文化可能用相似的事物来取代这个技&#10;能；因纽特人可能使用狗撬驾驶，或者维多利亚人可能使用四轮马车驾驶。" sqref="X39"/>
    <dataValidation allowBlank="1" showInputMessage="1" showErrorMessage="1" promptTitle="Electrical Repair (10%)" prompt="- 使调查员能够修理或者改装电气设备，例如自动点火装置，电动机，保险丝盒，以及防盗自动警铃。&#10;- 在现代，这项技能对现代电子器件几乎做不到什么。&#10;- 为了维修电气设备，可能需要特殊的部件或者工具。&#10;- 在 1920 年代的职业可能会需要这个技能，并且需要机械维修技能作为组合。&#10;- 电气维修也可能在现代的爆破上被使用，例如雷管，C-4 塑料炸弹，以及地雷。&#10;- 这些武器被设计得简单易用；只有一个大失败的结果才会造成不启动（记住这检定可以使用孤注一掷）。&#10;- 拆除爆炸物是远远更为复杂的，因为它们可能被安装了反" sqref="X40"/>
    <dataValidation allowBlank="1" showInputMessage="1" showErrorMessage="1" promptTitle="Electronics (01%)" prompt="- 用来发现并对电子设备的故障进行维修。&#10;- 允许制作简单的电子设备。&#10;- 这是个现代技能——在 1920 年代则是使用物理学以及电气维修来应对电子设备。&#10;- 不像电气维修技能，电子学工作的部件通常是不&#10;能临时配备的：它们通过精密的工作被设计出来通&#10;常如果没有正确的微晶片或者电路板，技能的使用者就无法进行工作，除非他们可以策划出一些形式的应急方案。" sqref="X41"/>
    <dataValidation allowBlank="1" showInputMessage="1" showErrorMessage="1" promptTitle="Fast Talk (05%) 也译作“快速交谈”" prompt="- 话术特别限定于言语上的哄骗，欺骗以及误导，例如迷惑一名门卫来让你进入一间俱乐部，误导警察看向另一边，以及诸如此类的。&#10;- 这项技能的对立技能为心理学或者话术。&#10;- 经过一段时间的相信期后（通常在使用话术的人离开场景之后），对方会意识到自己被欺骗了。如果达成了更高的难度等级可能会使这个时间更加长一点。&#10;-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10;- 急救必须在一小时内进行，在这种情况能回复 1 生命值的损伤。&#10;- 这项技能可以尝试一次，后续的尝试将为进行孤注一掷。&#10;- 两个人可以合作进行急救，只要其中一人成功便可以让生命值回复。&#10;- 成功的急救可以将一名昏迷的角色唤醒过来。&#10;- 一名角色只能进行一次成功的急救或者医学，直到受到其他伤害。" sqref="X51"/>
    <dataValidation allowBlank="1" showInputMessage="1" showErrorMessage="1" promptTitle="History (05%)" prompt="- 让一名调查员能够记住一个国家，城市，区域或&#10;者个人及其相关的重要情报。&#10;- 一个成功的检定可以用来帮助辨认先祖所熟悉的工具，科技，或者想法，但是对当下的所知甚少。" sqref="X52"/>
    <dataValidation allowBlank="1" showInputMessage="1" showErrorMessage="1" promptTitle="Intimidate (15%)" prompt="- 恐吓可以以许多形式使用，包括武力威慑，心理操控，以及威胁。这通常被用来使某人害怕，并迫使其进行某种特定的行为。&#10;- 恐吓的对抗技能为恐吓或者心理学。&#10;- 携带武器或者其他的有力的威胁或诱因来协助恐吓可能可以降低难度等级。&#10;- 当在恐吓上使用孤注一掷时，失败的可能结果之一是对目标进行了远远超过本身意图的恐吓。&#10;- 恐吓可以被用于降低一件物品或者服务的价格。如果成功，卖家可能会降低价格，或者免费交出，但是根据情况，对方可能会将这事情举报给警察或者当地犯罪组织的成员。" sqref="X53"/>
    <dataValidation allowBlank="1" showInputMessage="1" showErrorMessage="1" promptTitle="Jump (20%)" prompt="- 如果成功，调查员可以在垂直方向上跳起或跳下，或者从一个站立点或起步点水平向外跳。&#10;- 为了分辨哪些算在正常跳跃，困难跳跃以及极难跳跃，必须对判断进行训练。&#10;- 作为指导，当调查员想要安全地从垂直等同于其自身高度的地方跳下来时，需要一个常规难度的成功，或者水平地从其站立点跳过长度等同于他自身高度的坑，或者助跑后跳过两倍于其自身高度的距离。&#10;- 如果要达成两倍距离的跳跃，则需要一个极难难度的成功，牢记，最长跳跃的世界纪录为大约 8.95米。&#10;- 如果从高处摔落下来，一个成功的跳跃检定可以使对坠落有所准备，" sqref="X54"/>
    <dataValidation allowBlank="1" showInputMessage="1" showErrorMessage="1" promptTitle="Language (EDU)" prompt="- 当选择这项技能时，必须明确一门具体的语言并&#10;且写在技能的后面。&#10;- 在婴儿期或者童年早期，大多数人使用单一一门语言。&#10;- 玩家所选择作为母语的语言自动地以等同于调查员教育（EDU）属性为起始；此后，调查员以那个百分比或者更高的来进行理解，说，读以及写（如果更多的技能点数在调查员创作时加了上去）。" sqref="X58"/>
    <dataValidation allowBlank="1" showInputMessage="1" showErrorMessage="1" promptTitle="Law (05%)" prompt="- 代表你对相关法律、早期事件、法庭辩术或者法院程序了解的可能性。&#10;- 一个在法律实务上的专家可能会获得巨大的奖励以及政治事务所，但是这可能需要长达几年的认真申请——一个较高的信用评级在这关系&#10;上也十分重要。&#10;- 在美国，一个州的州法庭（State Bar）必须批准某人的法律实务。&#10;当到一个外国国家时，使用这项技能的难度等级可能会上升，除非这名角色花费数月的时间来学习这个国家的法律系统。" sqref="X59"/>
    <dataValidation allowBlank="1" showInputMessage="1" showErrorMessage="1" promptTitle="Library Use (20%)" prompt="- 图书馆使用使一名调查员能在图书馆找到一些信息，例如特定的一本书，新闻或者参考书，搜集文件或者资料库，假设需要的东西确实在那里的话。&#10;- 使用这个技能需要数小时的连续的调查。&#10;- 这项技能可以定位寻找一件隐藏的案例或者一本特殊收藏的稀有书籍，但是说服，话术，魅惑，恐吓，信用评级，或者特殊的证明书可能会需要来获得阅读这书或者信息的许可。" sqref="X60"/>
    <dataValidation allowBlank="1" showInputMessage="1" showErrorMessage="1" promptTitle="Listen (20%)" prompt="- 衡量一名调查员理解声音的能力，包括偶然听到&#10;的对话，一扇关着的门后的轻声嘀咕，以及咖啡厅里的私语。&#10;- KP 可以用这来决定一场即将发生的遭遇的形式：是你的调查员因被踩碎的树枝的声音而警觉到了到来的遭遇？&#10;- 甚至此外，一个较高的聆听技能可以指一名角色有着较高的警觉能力。" sqref="X61"/>
    <dataValidation allowBlank="1" showInputMessage="1" showErrorMessage="1" promptTitle="Locksmith (01%)" prompt="- 锁匠技能可以打开车门，热线自动装置，用铁撬撬开图书馆的窗子，解决中国机关箱（比如鲁班锁），以及穿过常规的商用警报系统。&#10;- 使用者可能会修复锁，制作钥匙，或者在万能钥匙，开锁工具或者其他工具的帮助下打开锁。&#10;- 特别困难的锁可能会需要一个更高的难度等级。" sqref="X62"/>
    <dataValidation allowBlank="1" showInputMessage="1" showErrorMessage="1" promptTitle="Mechanical Repair (10%)" prompt="- 这项技能允许调查员修理一个破损的机器或者制&#10;造一个新的。&#10;- 基础的木工手艺和管道项目也可以执行，制作物品也同样可以（例如一组滑轮系统）以及维修物品（例如蒸汽泵）。&#10;- 在使用技能中可能会需要特殊的工具或者部件。&#10;- 这项技能可以用来打开普通的家庭锁，但是更加专业的就不能了——见锁匠技能来打开更加复杂的锁。&#10;- 机械维修是一个与电气维修相伴随的技能，并且两者都可能需要来为了修理一个复杂的设备，例如汽车或者飞行器。" sqref="X63"/>
    <dataValidation allowBlank="1" showInputMessage="1" showErrorMessage="1" promptTitle="Medicine (01%)" prompt="- 使用者可以诊断并治疗事故，创伤，疾病，毒药&#10;等，并且可以提供公共健康建议。&#10;- 如果一个时代还并没有好的治疗某种疾病的疗法，那么这项技能的效果是有限的，不确定的，或者无效的。&#10;- 医学技能能给予大范围的对于药片以及药剂，是自然还是人造的知识，以及对副作用以及禁忌症状的理解。&#10;- 用医学技能来进行治疗最少要花费 1 小时时间，并且可以在造成了伤害后的任何时间进行处理，但是如果这并没有在同一天内进行处理，难度等级将会上升（需要一个困难难度的成功）。" sqref="X64"/>
    <dataValidation allowBlank="1" showInputMessage="1" showErrorMessage="1" promptTitle="Natural World (10%) 也译作“自然学”" prompt="- 起初指对于在自然环境中的植物以及动物生命的研究。&#10;- 直到 19 世纪，这门学科被分开到一系列的学术学科（生物学，植物学，等等）。&#10;- 作为一个技能，博物学达标了传统的（非科学的）知识以及农民，渔民，优秀的业余者，以及单纯的爱好者的个人观察。&#10;- 它可以一般地对物种，栖息地进行辨认，并且可以辨认踪迹、足迹以及叫声，也可以允许对什么事物可能对某种特定物种来说很重要进行猜测。&#10;- 如果要一个对自然世界的科学性的理解，那么应当去看生物学，植物学以及动物学技能。" sqref="X65"/>
    <dataValidation allowBlank="1" showInputMessage="1" showErrorMessage="1" promptTitle="Navigate (10%) 也译作“领航”" prompt="- 允许使用者在早上或者晚上，在暴风雨或者晴朗天气中认清自己的路。&#10;- 有着更高技能的人将对天文表图和工具，以及卫星定位装置十分熟悉，如果他们是在有着那些东西的时代的话。&#10;- 一名角色也可以用这项技能来测量以及对一块区域进行绘图（制图学），判断是有着几平方米的小岛或者是一块内陆区域—使用现代工具可以降低甚至取消难度等级。&#10;- KP 可以将这个技能的检定作为隐藏骰进行处理—调查员需要尝试去解决的一件事情，并且最后承受结果。&#10;- 如果角色对该区域十分熟悉，那么在这个检定上可以得到一个奖励骰。" sqref="X66"/>
    <dataValidation allowBlank="1" showInputMessage="1" showErrorMessage="1" promptTitle="Occult (05%)" prompt="- 使用者可以识别出神秘学道具，用语和概念，以及民间传统，并且可以辨认魔法书以及神秘学记号。&#10;- 神秘学家对有着代代相传的神秘知识的家庭十分熟悉，包括从埃及和苏美尔，从中世纪和文艺复兴时期的西方，以及也许从亚洲或者非洲。&#10;- 理解特定的书籍可能可以增加神秘学技能的百分比。这项技能不能运用于与克苏鲁神话相关的咒术，书本，以及魔法，尽管旧日支配者的崇拜者对于神秘学有着很高的接受能力。" sqref="X67"/>
    <dataValidation allowBlank="1" showInputMessage="1" showErrorMessage="1" promptTitle="Operate Heavy Machinery (01%)" prompt="- 当驾驶以及操纵一辆坦克，反铲挖土机，蒸汽挖土机或者其他巨型建造机械时需要这个技能。&#10;- 对于种类非常不同的机械，KP 可以决定提高难度等级，如果遇到的问题是极大程度上不熟悉的；例如，过去常常开推土机的某人，不会立刻能够掌握对船的引擎舱中的蒸汽涡轮机的使用。" sqref="X68"/>
    <dataValidation allowBlank="1" showInputMessage="1" showErrorMessage="1" promptTitle="Persuade (10%)" prompt="- 使用说服来通过一场有理有据的论述、争辩以及讨论让目标相信一个确切的想法，概念，或者信仰。&#10;说服并不一定需要涉及真实的内容。成功的说服技能的运用将花费不少的时间：至少半小时。&#10;- 如果你想快速地说服某人，你应该使用话术技能。&#10;取决于玩家表述的目标，如果调查员花费了足够的时间，说服造成的影响可能一直持续下去，并且无意识地影响着别人；可能会持续好几年，直到某件事件或者另一次得说服改变了目标的想法。&#10;- 说服可以被用于讨价还价，以此来削低某样物品或者服务的价格。如果成功，卖家将会完全地相信自己做了一场好买卖。" sqref="X69"/>
    <dataValidation allowBlank="1" showInputMessage="1" showErrorMessage="1" promptTitle="Pilot (01%)" prompt="- 相当于水上或者空中的汽车驾驶，这时使用空中飞行或者水上航行交通供给的技巧。你可以花费技能点来获得任何专业化技能。&#10;- 作为属类的驾驶技能不能被获得。一名调查员可以在调查员表格的空档下写上许多不同种的这一技巧（例如驾驶飞行器，驾驶飞艇等等）。&#10;- 每个的初始都是 01%。 &#10;- 不良的天气，极差的可见度，以及器材的损伤都可能会提高驾驶飞行器或水上航具的技能检定的难度等级。" sqref="X7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dataValidation allowBlank="1" showInputMessage="1" showErrorMessage="1" promptTitle="Psychology (10%)" prompt="对所有人来说都很通用的察觉方面的技能，允许使用者研究个人并且形成对于其他某人动机和人格的了解。" sqref="X72"/>
    <dataValidation allowBlank="1" showInputMessage="1" showErrorMessage="1" promptTitle="Ride (05%)" prompt="- 这项技能被用于给坐在鞍上驾驭马，驴子或者骡子，以及获得对这些骑乘动物、骑乘工具的基础照料知识，以及如何在疾驰中或困难地形上操纵坐骑。&#10;- 当坐骑出乎意外地抬起身子或失足时，骑手保持自己在坐骑上不摔落的几率等同于他的骑术技能。&#10;偏坐在马鞍上进行骑乘将会提高一个等级的难度等级。&#10;- 对于不熟悉的坐骑（例如骆驼）也可以成功地骑乘，但是可能会需要更高的难度等级。" sqref="X73"/>
    <dataValidation allowBlank="1" showInputMessage="1" showErrorMessage="1" promptTitle="Sleight of Hand (10%)" prompt="- 允许对物体进行视觉上的遮住，藏匿，或者掩盖，也许通过残害，衣服或者其他的干涉或促成错觉&#10;的材料，也许通过使用一个秘密的嵌板或者隔间。&#10;- 任何种类的巨大物件应当增加藏匿的难度。&#10;- 妙手包括偷窃，卡牌魔术，以及秘密使用手机。" sqref="X77"/>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10;- 对于调查员来说，这是一个重要的技能。" sqref="X78"/>
    <dataValidation allowBlank="1" showInputMessage="1" showErrorMessage="1" promptTitle="Stealth (20%)" prompt="- 安静地移动以及/或者躲藏的技巧，不惊扰到那些可能在听或者看的人们。&#10;- 当尝试躲避探查，玩家应当进行一个潜行的技能检定。&#10;- 与这项技能相关的能力意味着要么角色能够安静地移动（轻声轻足）以及/或者在伪装技巧上有所训练。&#10;- 这项技能也同样意味着角色可以在长时间维持一定程度的谨慎心态以及冷静的头脑来使自己保持静止和隐秘。" sqref="X79"/>
    <dataValidation allowBlank="1" showInputMessage="1" showErrorMessage="1" promptTitle="Survival (10%)" prompt="- 提供专业的如何在极端环境下生存的知识和技巧，例如在沙漠中或者极地环境，也包括海洋上或者荒野。&#10;- 内容包括狩猎的知识，搭建住所，可能遇到的危险的知识（例如如何避开有毒性的植物）等等，取决于所处的环境。&#10;- 你可以花费技能点来获得任何的专业化技能。&#10;- 作为属类的“生存”技能本身不能被获得。&#10;- 专业环境的生存技巧应当在技能选择时就决定下来，例如：生存（沙漠），（海洋），（极地），等等。" sqref="X80"/>
    <dataValidation allowBlank="1" showInputMessage="1" showErrorMessage="1" promptTitle="Swim (20%)" prompt="- 有能力在水或者其他液体中漂浮以及移动。&#10;- 只有在遭遇危险的时候需要进行游泳技能检定，或者当 KP认为合适的时候。" sqref="X81"/>
    <dataValidation allowBlank="1" showInputMessage="1" showErrorMessage="1" promptTitle="Throw (20%)" prompt="- 当需要用物体击中目标或者用物件的正确部分击中目标（例如小刀或者短柄小斧的刃）时，使用投掷技能。&#10;- 一件有着合理平衡构架的可以藏于手中大小的物品可以被投掷至多等同于 STR 码距离。" sqref="X82"/>
    <dataValidation allowBlank="1" showInputMessage="1" showErrorMessage="1" promptTitle="Track (10%)" prompt="- 一名调查员可以凭借追踪技能来通过土壤上的脚&#10;印，或是物体通过植被时留下的印记来追踪别人，或者是交通工具以及地球上的动物。&#10;- 时间的经过，雨，以及土地的种类都可能会影响追踪的难度等级。" sqref="X83"/>
    <dataValidation allowBlank="1" showInputMessage="1" showErrorMessage="1" promptTitle="Beast Training(05%)[非常规]"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X84"/>
    <dataValidation allowBlank="1" showInputMessage="1" showErrorMessage="1" promptTitle="Diving (01%)[非常规]" prompt="- 使用者接受过在深海游泳的使用以及维持潜水设&#10;备的训练，水下导航，合适的下潜配重，以及应对紧急情况的方法。&#10;- 在 1942 年的水肺[潜水氧气筒]发明前，严格的潜水套装是装备着能从水面输送空气的连接管道。&#10;- 在现代，一名水肺潜水员将会熟悉当呼吸增压氧气时发生的潜水时的物理现象，气压，以及生理学的过程。" sqref="X85"/>
    <dataValidation allowBlank="1" showInputMessage="1" showErrorMessage="1" promptTitle="Demolitions (01%)[非常规]" prompt="- 在这项技能的帮助下，使用者将熟练于安全使用爆破，包括设置以及拆除炸药。&#10;- 地雷以及相似的设备被设计得容易设置（不需要检定）但是相对较为困难地进行除去或拆除。&#10;- 这项技能也包含军用等级的爆炸物（反人类地雷，塑料炸弹，等）。&#10;- 给予足够的时间和资源，这些专家可以装设炸药来摧毁一幢建筑，清除一个被堵住的隧道，以及赋予炸药不同用处（例如构造微量炸药，诡雷，以及其他）。" sqref="X86"/>
    <dataValidation allowBlank="1" showInputMessage="1" showErrorMessage="1" promptTitle="Read Lips (01%)[非常规]" prompt="- 这项技能允许好奇的调查员听懂一段交谈对话，而不需要听见对方说了什么。&#10;- 能看到对方的视线是必须的，并且如果只能看到其中一名说话者的唇（另一名可能只能看到背），那么只能辨认出一半的对话。&#10;- 读唇也可以用于与另一个人进行无声的交流（如果双方都是专家），允许相对更加复杂的短语以及含义。" sqref="X87"/>
    <dataValidation allowBlank="1" showInputMessage="1" showErrorMessage="1" promptTitle="Hypnosis (01%)[非常规]" prompt="- 使用者可以在一名自愿并经历过高度暗示、放松的目标身上引出出神似的状态，并且可能回忆起忘却&#10;的记忆。&#10;- 对于催眠的限制应当由 KP 根据适应自己游戏的情况来制定；这可能是只有自愿的目标可以被催眠，或者 KP 可能会允许这项技能以一种更加富有侵略&#10;性的方式被用在非自愿的目标身上。&#10;- 对那些遭受了精神创伤的人，这项技能可以当&#10;做催眠疗法来使用，减轻一名病人的恐惧或者狂躁（成功的使用这个技能意味着这名病人在该场合克服了恐惧或者狂躁），需要1D6次疗程。" sqref="X88"/>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10;- 这些武器通常过于巨大以至于无法单人进行操作,并且个人无法再没有工作队支援的情况下使用这武器，或者应当提高难度等级（取决于KP 的判断，也取决于使用的武器类型）。&#10;- 存在着许多不同的专业化武器，取决于游戏设定的时期，包括加农炮、榴弹炮、迫击炮以及火箭发射&#10;器。&#10;-作为一个战斗技能，炮术不能孤注一掷。" sqref="X89"/>
    <dataValidation allowBlank="1" showInputMessage="1" showErrorMessage="1" promptTitle="Knowledge （不定）[非常规]" prompt="这项技能代表一名觉得对一个超出人类常规知识范畴的事物的专业理解。学问的专业化应该具体并且不同寻常，例如：&#10;·梦学问&#10;·死灵之书学问（e.g.历史的）&#10;·UFO 学问&#10;·吸血鬼学问&#10;·狼人学问&#10;·亚狄斯星人学问" sqref="X9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dataValidation allowBlank="1" showInputMessage="1" showErrorMessage="1" promptTitle="Handgun (20%)" prompt="- 用来使用所有的类似于手枪的火器，进行非连续的射击。&#10;- 对于现代游戏中的全自动手枪（MAC-11，乌兹手枪，等等），当使用全自动模式时，用冲锋枪的技能进行判定。" sqref="Q219"/>
    <dataValidation allowBlank="1" showInputMessage="1" showErrorMessage="1" promptTitle="Beast Training(05%)" prompt="- 命令以及训练已驯化动物去完成一些简单任务的技能。&#10;- 这个技能最常用于狗上，但也包括鸟、猫、猴子以及其他（取决于 KP 的判断）。&#10;- 至于对动物的骑乘，例如马或者骆驼，则要用骑术技能来进行行动以及操控这些坐骑。" sqref="S219"/>
    <dataValidation allowBlank="1" showInputMessage="1" showErrorMessage="1" promptTitle="Brawl (25%)" prompt="- 包括空手格斗以及任何人都可以捡起并使用的基础武器，例如棍棒（例如板球棒或者棒球棍），小刀，以及许多临时武器，例如瓶子以及椅子腿。&#10;- 为了决定这些临时武器所造成的伤害，KP 应当参考武器表并且挑选那些类似的。" sqref="U219"/>
    <dataValidation allowBlank="1" showInputMessage="1" showErrorMessage="1" promptTitle="Fine Art (05%)" prompt="- 艺术家在艺术绘画上十分熟练（油画、丙烯画、水彩画），同样在用铅笔、彩色蜡笔、粉笔的素描上十分熟练。&#10;- 然而这各种各样的艺术工作许多天或者许多月来完成，艺术家可能能快速素描出准确的印象，物体或者人物。&#10;- 这项技能也代表了对艺术世界的熟悉，以及技术家能确定特定艺术家的作品，他们的学校，以及了解的历史。" sqref="M22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dataValidation allowBlank="1" showInputMessage="1" showErrorMessage="1" promptTitle="Rifle/Shotgun (25%)" prompt="- 这个技能可以用于射击任何类型的步枪（无论是杠杆作用，手动栓式或者半自动的）或者霰弹枪。&#10;- 因为霰弹枪中装填的弹药会以散射的方式发射，所以使用者的命中几率不会因为距离而减少，但是造成的伤害会受到影响。&#10;- 当突击步枪进行单次射击时（或者多次进行单次），使用这个技能。" sqref="Q220"/>
    <dataValidation allowBlank="1" showInputMessage="1" showErrorMessage="1" promptTitle="boat （01%）" prompt="- 理解在风，暴风雨以及潮流下操纵小型摩托艇以及轮船的机理，并且可以读懂潮流以及风的流向，以此来得到暗礁以及将要逼近的暴风雨的情&#10;报。&#10;- 初学的水手将会发现到在大风中停靠一艘小船是多么困难。" sqref="S220"/>
    <dataValidation allowBlank="1" showInputMessage="1" showErrorMessage="1" promptTitle="Whip (05%)" prompt="套索以及鞭子。" sqref="U220"/>
    <dataValidation allowBlank="1" showInputMessage="1" showErrorMessage="1" promptTitle="Photography (05%)" prompt="（这里写不下了所以写进批注）" sqref="M221"/>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dataValidation allowBlank="1" showInputMessage="1" showErrorMessage="1" promptTitle="Submachine Gun (15%)" prompt="当用任何自动手枪或者冲锋枪开火时使用这个技能；同样也用于突击步枪的全自动模式。" sqref="Q221"/>
    <dataValidation allowBlank="1" showInputMessage="1" showErrorMessage="1" promptTitle="Chainsaw (10%)" prompt="第一个以汽油为能源，大量生产的电锯出现于 1927 年；然而，也存在着一些早期版本。" sqref="U221"/>
    <dataValidation allowBlank="1" sqref="AB221 AB226:AB227"/>
    <dataValidation allowBlank="1" showInputMessage="1" showErrorMessage="1" promptTitle="Forgery (05%)" prompt="- 熟练于细节，使用者可以制作高质量的伪造文档使它以某人的笔迹写成，制作官僚作风的形式或许可，或者进行卷册的复制。&#10;- 伪造者需要合适的材料（墨水，不同的纸张等）以及想要复制的文档的原件。&#10;- 一个成功的检定表示伪造文档将通过一个普通而草率的检查。&#10;- 当有人花费时间并仔细检查伪造品时需要使用估价技能（与原始的伪造者的技能进行对抗）来决定是否能辨认出是伪造品。" sqref="M222"/>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dataValidation allowBlank="1" showInputMessage="1" showErrorMessage="1" promptTitle="Bow (15%)" prompt="用来使用弓以及弩，包括从中世纪的长弓到现代，高性能的复合弓。" sqref="Q222"/>
    <dataValidation allowBlank="1" showInputMessage="1" showErrorMessage="1" promptTitle="Flail (10%)" prompt="双节棍，钉锤，以及相似的中世纪兵器。" sqref="U222"/>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dataValidation allowBlank="1" showInputMessage="1" showErrorMessage="1" promptTitle="Flamethrower (10%)" prompt="- 喷射出一连串点燃的可燃烧液体或者气体的武器。&#10;- 可以被操作者携带或者架设在交通工具上。" sqref="Q223"/>
    <dataValidation allowBlank="1" showInputMessage="1" showErrorMessage="1" promptTitle="Garrote (15%)" prompt="任何长度的材料被用于绞死对方。需要受害者进行一个战技检定来逃脱，否则就要遭受每轮 1D6 的伤害。" sqref="U223"/>
    <dataValidation allowBlank="1" showErrorMessage="1" sqref="AP223 AP235 AP247 A153:A158 B152:B183 B197:B211"/>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dataValidation allowBlank="1" showInputMessage="1" showErrorMessage="1" promptTitle="Machine Gun (10%)" prompt="- 用两脚架或者三脚架架设的进行连续射击的武器。&#10;- 如果两脚架的类型进行单次射击，那么使用步枪技能。&#10;- 对于今日来说，突击步枪，冲锋枪以及轻机枪之间的差别已经是十分细微的了。" sqref="Q224"/>
    <dataValidation allowBlank="1" showInputMessage="1" showErrorMessage="1" promptTitle="Axe (15%)" prompt="- 当使用大型的木斧时使用这个技能。&#10;- 短柄小斧则可以用基础的斗殴技能；&#10;- 如果投掷出去，使用投掷技能。" sqref="U224"/>
    <dataValidation allowBlank="1" showInputMessage="1" showErrorMessage="1" promptTitle="Music theory (05%)" prompt="使用者可以通过乐理鉴定听到的乐声是来自何种乐器、何种曲子以及如果演奏。当然，在背景故事里最好固定于一种乐器。" sqref="M225"/>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dataValidation allowBlank="1" showInputMessage="1" showErrorMessage="1" promptTitle="Heavy Weapons (10%)" prompt="用于使用枪榴弹发射器，反坦克火箭炮等等。" sqref="Q225"/>
    <dataValidation allowBlank="1" showInputMessage="1" showErrorMessage="1" promptTitle="Sword (20%)" prompt="所有的长度超过两英尺（半米）的剑器。" sqref="U225"/>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dataValidation allowBlank="1" showInputMessage="1" showErrorMessage="1" promptTitle="Spear (20%)" prompt="长枪或者投矛。如果投掷，使用投掷技能。" sqref="U226"/>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dataValidation allowBlank="1" showInputMessage="1" showErrorMessage="1" promptTitle="Hairdressing (05%)" prompt="理发师可以使用剪刀等工具帮他人理发，如果要给自己理发建议困难鉴定。该技能偏向于RP，请自行扮演。" sqref="M228"/>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dataValidation allowBlank="1" showInputMessage="1" showErrorMessage="1" prompt="这是你所有资产加起来的总和。&#10;包括房屋汽车家具等等等等。" sqref="Z228:AA228"/>
    <dataValidation allowBlank="1" showInputMessage="1" showErrorMessage="1" promptTitle="Architecture (05%)" prompt="使用者可以通过建筑鉴定了解某栋建筑的基本构造。也可以通过建筑对房屋进行修缮维护，比如添瓦加砖铺地板，刷墙壁纸两不闲。" sqref="M229"/>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dataValidation allowBlank="1" showInputMessage="1" showErrorMessage="1" promptTitle="提示" prompt="现金单位自行更换" sqref="Z230:AA230"/>
    <dataValidation allowBlank="1" showInputMessage="1" showErrorMessage="1" promptTitle="Vintage (05%)" prompt="技艺者可以花费一段时间来酿酒。如果失败了或许酿出来的只是酒糟吧。可以通过品酒来得出酒的度数、类别，或许也能知道这酒的出处吧。" sqref="M231"/>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dataValidation allowBlank="1" showInputMessage="1" showErrorMessage="1" promptTitle="Fishing (05%)" prompt="技艺者可以使用鱼竿、鱼叉、渔网等工具进行捕鱼。大成功说不定能钓到美人鱼上钩喔。" sqref="M232"/>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dataValidation allowBlank="1" showInputMessage="1" showErrorMessage="1" promptTitle="Terracotta (05%)" prompt="使用者可以用来伪造陶瓷器，或者能理解某些陶瓷器的烧制过程。或许在某些时候（荒野求生）能有所帮助吧。" sqref="M234"/>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dataValidation allowBlank="1" showInputMessage="1" showErrorMessage="1" promptTitle="提示" prompt="以下汇率的时间为2018年10月" sqref="X236 Z241:AC241"/>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dataValidation allowBlank="1" showInputMessage="1" showErrorMessage="1" promptTitle="Technical Drawing (05%)" prompt="技术制图，主要是建筑师凭此设计建筑的说法（自行脑补，以下省略XX字）" sqref="M238"/>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dataValidation allowBlank="1" showInputMessage="1" showErrorMessage="1" promptTitle="Typing (05%)" prompt="打字也称文字录入，包括数字录入、中文录入、英文录入（字母）、日文录入（平假名）、德文录入等。以前，使用打字机来打字，即使用电脑来打字。" sqref="M240"/>
    <dataValidation type="list" allowBlank="1" showInputMessage="1" showErrorMessage="1" sqref="B241">
      <formula1>职业列表!$I$15:$I$23</formula1>
    </dataValidation>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M243"/>
    <dataValidation type="list" allowBlank="1" showInputMessage="1" showErrorMessage="1" sqref="B244">
      <formula1>$B$245:$B$246</formula1>
    </dataValidation>
    <dataValidation type="list" allowBlank="1" showInputMessage="1" showErrorMessage="1" sqref="D244">
      <formula1>$D$245:$D$246</formula1>
    </dataValidation>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dataValidation type="list" allowBlank="1" showInputMessage="1" showErrorMessage="1" sqref="I485:I488">
      <formula1>"×,√"</formula1>
    </dataValidation>
    <dataValidation allowBlank="1" showInputMessage="1" showErrorMessage="1" sqref="S4:S12"/>
    <dataValidation allowBlank="1" showInputMessage="1" showErrorMessage="1" promptTitle="Fighting (不定) [无法孤注一骰]" prompt="- 格斗技能指的是一名角色在近距离战斗上的技能。你可以花费一定的点数来获得任何的专业化技能。&#10;- 作为类属的“格斗”技能不能够获得。选择对你的调查员的职业以及当时历史合适的专业格斗技能。&#10;- 那些有着 50%或者以上的格斗（斗殴）技能的&#10;调查员可能会希望选择一种正规的训练，并且作为背景的一部分来对他们的技能程度进行解释。&#10;- 格斗方式存在着各种各样的。武术只是单纯的一种提升一个人战斗技巧的方式。决定角色是如何学习格斗的，是否是从正规的军队训练，武术教室，或者以自己的努力从街头格斗中学会。[例如跆拳道]" sqref="X43:X46"/>
    <dataValidation allowBlank="1" showInputMessage="1" showErrorMessage="1" promptTitle="Firearms (不定) [无法孤注一骰]" prompt="- 包括了各种形式的火器，也包括了弓箭和弩。&#10;- 你可以花费技能点数来获得任何专业化技能。&#10;- 作为属类的“射击”技能不能被获得。选择与你调查员的职业与时代历史相契合的专业化技能。" sqref="X47:X50"/>
    <dataValidation allowBlank="1" showInputMessage="1" showErrorMessage="1" promptTitle="Language (Other)[01%]" prompt="- 当选择这个技能，必须明确一个具体的语言并且&#10;写在技能后面。&#10;- 一个人可以了解任何数量的语言。这项技能代表使用者可以了解，说，读以及写一门不是他母语的语言的可能性。&#10;- 远古或者不知名语言（例如 Aklo，Hyperborean&#10;这两种神话语言）不能被选择（除非 KP 同意）&#10;- 通常意义上的早期语言可以被选择。KP 可以提高难度等级，如果遇见了用那门语言的古式的演讲或者写作。&#10;- 单次的其他语言技能检定的成功通常允许对整本书的理解。" sqref="X55:X57"/>
    <dataValidation allowBlank="1" showInputMessage="1" showErrorMessage="1" promptTitle="Science (01%)" prompt="- 科学专业上的理论和实践的能力，拥有这个技能的人接受过一定程度的正式的教育或者训练，尽管一名博览群书的业余科学家也是可能存在的。&#10;- 对于知识的理解和认识受到游戏时代的限制。你可以花费点数&#10;来获得任何你想要的专业化技能。&#10;- 作为属类的“科学”技能不能被获得。&#10;- 每个专业化技能包括了一门专门的学科，并且列表所给出的并不是全部。许多专业跨越了不同的知识领域，并且有所重叠，例如数学和密码学，植物学和生物学，化学和药学。" sqref="X74:X76"/>
    <dataValidation allowBlank="1" showInputMessage="1" showErrorMessage="1" promptTitle="语言水平" prompt="05%：正确辨认语言的种类&#10;10%：可以沟通简单的概念&#10;30%：可以了解事务上的需求&#10;50%：可以流利使用语言&#10;75%：可以像是当地人一样使用语言&#10;辨认现代语言： Know掷骰&#10;辨认灭绝人类语言：考古学或历史掷骰&#10;辨认外星语言：克苏鲁神话或神秘学掷骰" sqref="AP220:AP222 AP232:AP234 AP244:AP246"/>
  </dataValidations>
  <pageMargins left="0.75" right="0.75" top="1" bottom="1" header="0.511805555555556" footer="0.511805555555556"/>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77"/>
  <sheetViews>
    <sheetView workbookViewId="0">
      <pane xSplit="1" topLeftCell="GF1" activePane="topRight" state="frozen"/>
      <selection/>
      <selection pane="topRight" activeCell="GW16" sqref="GW16"/>
    </sheetView>
  </sheetViews>
  <sheetFormatPr defaultColWidth="3" defaultRowHeight="110.25" customHeight="1"/>
  <cols>
    <col min="1" max="1" width="20.7307692307692" style="1250" customWidth="1"/>
    <col min="2" max="2" width="6.08653846153846" style="1250"/>
    <col min="3" max="3" width="2.63461538461538" style="1250" customWidth="1"/>
    <col min="4" max="10" width="3" style="1250"/>
    <col min="11" max="11" width="4.08653846153846" style="1250"/>
    <col min="12" max="12" width="6.08653846153846" style="1250"/>
    <col min="13" max="88" width="3" style="1250"/>
    <col min="89" max="89" width="2.90384615384615" style="1250" customWidth="1"/>
    <col min="90" max="185" width="3" style="1250"/>
    <col min="186" max="204" width="3" style="1250" customWidth="1"/>
    <col min="205" max="205" width="10" style="1250" customWidth="1"/>
    <col min="206" max="244" width="3" style="1250" customWidth="1"/>
    <col min="245" max="16384" width="3" style="1250"/>
  </cols>
  <sheetData>
    <row r="1" ht="15" customHeight="1" spans="2:239">
      <c r="B1" s="1606">
        <v>2</v>
      </c>
      <c r="C1" s="1606">
        <v>3</v>
      </c>
      <c r="D1" s="1606">
        <v>4</v>
      </c>
      <c r="E1" s="1606">
        <v>5</v>
      </c>
      <c r="F1" s="1606">
        <v>6</v>
      </c>
      <c r="G1" s="1606">
        <v>7</v>
      </c>
      <c r="H1" s="1606">
        <v>8</v>
      </c>
      <c r="I1" s="1606">
        <v>9</v>
      </c>
      <c r="J1" s="1606">
        <v>10</v>
      </c>
      <c r="K1" s="1606">
        <v>11</v>
      </c>
      <c r="L1" s="1606">
        <v>12</v>
      </c>
      <c r="M1" s="1606">
        <v>13</v>
      </c>
      <c r="N1" s="1606">
        <v>14</v>
      </c>
      <c r="O1" s="1606">
        <v>15</v>
      </c>
      <c r="P1" s="1606">
        <v>16</v>
      </c>
      <c r="Q1" s="1606">
        <v>17</v>
      </c>
      <c r="R1" s="1606">
        <v>18</v>
      </c>
      <c r="S1" s="1606">
        <v>19</v>
      </c>
      <c r="T1" s="1606">
        <v>20</v>
      </c>
      <c r="U1" s="1606">
        <v>21</v>
      </c>
      <c r="V1" s="1606">
        <v>22</v>
      </c>
      <c r="W1" s="1606">
        <v>23</v>
      </c>
      <c r="X1" s="1606">
        <v>24</v>
      </c>
      <c r="Y1" s="1606">
        <v>25</v>
      </c>
      <c r="Z1" s="1606">
        <v>26</v>
      </c>
      <c r="AA1" s="1606">
        <v>27</v>
      </c>
      <c r="AB1" s="1606">
        <v>28</v>
      </c>
      <c r="AC1" s="1606">
        <v>29</v>
      </c>
      <c r="AD1" s="1606">
        <v>30</v>
      </c>
      <c r="AE1" s="1606">
        <v>31</v>
      </c>
      <c r="AF1" s="1606">
        <v>32</v>
      </c>
      <c r="AG1" s="1606">
        <v>33</v>
      </c>
      <c r="AH1" s="1606">
        <v>34</v>
      </c>
      <c r="AI1" s="1606">
        <v>35</v>
      </c>
      <c r="AJ1" s="1606">
        <v>36</v>
      </c>
      <c r="AK1" s="1606">
        <v>37</v>
      </c>
      <c r="AL1" s="1606">
        <v>38</v>
      </c>
      <c r="AM1" s="1606">
        <v>39</v>
      </c>
      <c r="AN1" s="1606">
        <v>40</v>
      </c>
      <c r="AO1" s="1606">
        <v>41</v>
      </c>
      <c r="AP1" s="1606">
        <v>42</v>
      </c>
      <c r="AQ1" s="1606">
        <v>43</v>
      </c>
      <c r="AR1" s="1606">
        <v>44</v>
      </c>
      <c r="AS1" s="1606">
        <v>45</v>
      </c>
      <c r="AT1" s="1606">
        <v>46</v>
      </c>
      <c r="AU1" s="1606">
        <v>47</v>
      </c>
      <c r="AV1" s="1606">
        <v>48</v>
      </c>
      <c r="AW1" s="1606">
        <v>49</v>
      </c>
      <c r="AX1" s="1606">
        <v>50</v>
      </c>
      <c r="AY1" s="1606">
        <v>51</v>
      </c>
      <c r="AZ1" s="1606">
        <v>52</v>
      </c>
      <c r="BA1" s="1606">
        <v>53</v>
      </c>
      <c r="BB1" s="1606">
        <v>54</v>
      </c>
      <c r="BC1" s="1606">
        <v>55</v>
      </c>
      <c r="BD1" s="1606">
        <v>56</v>
      </c>
      <c r="BE1" s="1606">
        <v>57</v>
      </c>
      <c r="BF1" s="1606">
        <v>58</v>
      </c>
      <c r="BG1" s="1606">
        <v>59</v>
      </c>
      <c r="BH1" s="1606">
        <v>60</v>
      </c>
      <c r="BI1" s="1606">
        <v>61</v>
      </c>
      <c r="BJ1" s="1606">
        <v>62</v>
      </c>
      <c r="BK1" s="1606">
        <v>63</v>
      </c>
      <c r="BL1" s="1606">
        <v>64</v>
      </c>
      <c r="BM1" s="1606">
        <v>65</v>
      </c>
      <c r="BN1" s="1606">
        <v>66</v>
      </c>
      <c r="BO1" s="1606">
        <v>67</v>
      </c>
      <c r="BP1" s="1606">
        <v>68</v>
      </c>
      <c r="BQ1" s="1606">
        <v>69</v>
      </c>
      <c r="BR1" s="1606">
        <v>70</v>
      </c>
      <c r="BS1" s="1606">
        <v>71</v>
      </c>
      <c r="BT1" s="1606">
        <v>72</v>
      </c>
      <c r="BU1" s="1606">
        <v>73</v>
      </c>
      <c r="BV1" s="1606">
        <v>74</v>
      </c>
      <c r="BW1" s="1606">
        <v>75</v>
      </c>
      <c r="BX1" s="1606">
        <v>76</v>
      </c>
      <c r="BY1" s="1606">
        <v>77</v>
      </c>
      <c r="BZ1" s="1606">
        <v>78</v>
      </c>
      <c r="CA1" s="1606">
        <v>79</v>
      </c>
      <c r="CB1" s="1606">
        <v>80</v>
      </c>
      <c r="CC1" s="1606">
        <v>81</v>
      </c>
      <c r="CD1" s="1606">
        <v>82</v>
      </c>
      <c r="CE1" s="1606">
        <v>83</v>
      </c>
      <c r="CF1" s="1606">
        <v>84</v>
      </c>
      <c r="CG1" s="1606">
        <v>85</v>
      </c>
      <c r="CH1" s="1606">
        <v>86</v>
      </c>
      <c r="CI1" s="1606">
        <v>87</v>
      </c>
      <c r="CJ1" s="1606">
        <v>88</v>
      </c>
      <c r="CK1" s="1606">
        <v>89</v>
      </c>
      <c r="CL1" s="1606">
        <v>90</v>
      </c>
      <c r="CM1" s="1606">
        <v>91</v>
      </c>
      <c r="CN1" s="1606">
        <v>92</v>
      </c>
      <c r="CO1" s="1606">
        <v>93</v>
      </c>
      <c r="CP1" s="1606">
        <v>94</v>
      </c>
      <c r="CQ1" s="1606">
        <v>95</v>
      </c>
      <c r="CR1" s="1606">
        <v>96</v>
      </c>
      <c r="CS1" s="1606">
        <v>97</v>
      </c>
      <c r="CT1" s="1606">
        <v>98</v>
      </c>
      <c r="CU1" s="1606">
        <v>99</v>
      </c>
      <c r="CV1" s="1606">
        <v>100</v>
      </c>
      <c r="CW1" s="1606">
        <v>101</v>
      </c>
      <c r="CX1" s="1606">
        <v>102</v>
      </c>
      <c r="CY1" s="1606">
        <v>103</v>
      </c>
      <c r="CZ1" s="1606">
        <v>104</v>
      </c>
      <c r="DA1" s="1606">
        <v>105</v>
      </c>
      <c r="DB1" s="1606">
        <v>106</v>
      </c>
      <c r="DC1" s="1606">
        <v>107</v>
      </c>
      <c r="DD1" s="1606">
        <v>108</v>
      </c>
      <c r="DE1" s="1606">
        <v>109</v>
      </c>
      <c r="DF1" s="1606">
        <v>110</v>
      </c>
      <c r="DG1" s="1606">
        <v>111</v>
      </c>
      <c r="DH1" s="1606">
        <v>112</v>
      </c>
      <c r="DI1" s="1606">
        <v>113</v>
      </c>
      <c r="DJ1" s="1606">
        <v>114</v>
      </c>
      <c r="DK1" s="1606">
        <v>115</v>
      </c>
      <c r="DL1" s="1606">
        <v>116</v>
      </c>
      <c r="DM1" s="1606">
        <v>117</v>
      </c>
      <c r="DN1" s="1606">
        <v>118</v>
      </c>
      <c r="DO1" s="1606">
        <v>119</v>
      </c>
      <c r="DP1" s="1606">
        <v>120</v>
      </c>
      <c r="DQ1" s="1606">
        <v>121</v>
      </c>
      <c r="DR1" s="1606">
        <v>122</v>
      </c>
      <c r="DS1" s="1606">
        <v>123</v>
      </c>
      <c r="DT1" s="1606">
        <v>124</v>
      </c>
      <c r="DU1" s="1606">
        <v>125</v>
      </c>
      <c r="DV1" s="1606">
        <v>126</v>
      </c>
      <c r="DW1" s="1606">
        <v>127</v>
      </c>
      <c r="DX1" s="1606">
        <v>128</v>
      </c>
      <c r="DY1" s="1606">
        <v>129</v>
      </c>
      <c r="DZ1" s="1606">
        <v>130</v>
      </c>
      <c r="EA1" s="1606">
        <v>131</v>
      </c>
      <c r="EB1" s="1606">
        <v>132</v>
      </c>
      <c r="EC1" s="1606">
        <v>133</v>
      </c>
      <c r="ED1" s="1606">
        <v>134</v>
      </c>
      <c r="EE1" s="1606">
        <v>135</v>
      </c>
      <c r="EF1" s="1606">
        <v>136</v>
      </c>
      <c r="EG1" s="1606">
        <v>137</v>
      </c>
      <c r="EH1" s="1606">
        <v>138</v>
      </c>
      <c r="EI1" s="1606">
        <v>139</v>
      </c>
      <c r="EJ1" s="1606">
        <v>140</v>
      </c>
      <c r="EK1" s="1606">
        <v>141</v>
      </c>
      <c r="EL1" s="1606">
        <v>142</v>
      </c>
      <c r="EM1" s="1606">
        <v>143</v>
      </c>
      <c r="EN1" s="1606">
        <v>144</v>
      </c>
      <c r="EO1" s="1606">
        <v>145</v>
      </c>
      <c r="EP1" s="1606">
        <v>146</v>
      </c>
      <c r="EQ1" s="1606">
        <v>147</v>
      </c>
      <c r="ER1" s="1606">
        <v>148</v>
      </c>
      <c r="ES1" s="1606">
        <v>149</v>
      </c>
      <c r="ET1" s="1606">
        <v>150</v>
      </c>
      <c r="EU1" s="1606">
        <v>151</v>
      </c>
      <c r="EV1" s="1606">
        <v>152</v>
      </c>
      <c r="EW1" s="1606">
        <v>153</v>
      </c>
      <c r="EX1" s="1606">
        <v>154</v>
      </c>
      <c r="EY1" s="1606">
        <v>155</v>
      </c>
      <c r="EZ1" s="1606">
        <v>156</v>
      </c>
      <c r="FA1" s="1606">
        <v>157</v>
      </c>
      <c r="FB1" s="1606">
        <v>158</v>
      </c>
      <c r="FC1" s="1606">
        <v>159</v>
      </c>
      <c r="FD1" s="1606">
        <v>160</v>
      </c>
      <c r="FE1" s="1606">
        <v>161</v>
      </c>
      <c r="FF1" s="1606">
        <v>162</v>
      </c>
      <c r="FG1" s="1606">
        <v>163</v>
      </c>
      <c r="FH1" s="1606">
        <v>164</v>
      </c>
      <c r="FI1" s="1606">
        <v>165</v>
      </c>
      <c r="FJ1" s="1606">
        <v>166</v>
      </c>
      <c r="FK1" s="1606">
        <v>167</v>
      </c>
      <c r="FL1" s="1606">
        <v>168</v>
      </c>
      <c r="FM1" s="1606">
        <v>169</v>
      </c>
      <c r="FN1" s="1606">
        <v>170</v>
      </c>
      <c r="FO1" s="1606">
        <v>171</v>
      </c>
      <c r="FP1" s="1606">
        <v>172</v>
      </c>
      <c r="FQ1" s="1606">
        <v>173</v>
      </c>
      <c r="FR1" s="1606">
        <v>174</v>
      </c>
      <c r="FS1" s="1606">
        <v>175</v>
      </c>
      <c r="FT1" s="1606">
        <v>176</v>
      </c>
      <c r="FU1" s="1606">
        <v>177</v>
      </c>
      <c r="FV1" s="1606">
        <v>178</v>
      </c>
      <c r="FW1" s="1606">
        <v>179</v>
      </c>
      <c r="FX1" s="1606">
        <v>180</v>
      </c>
      <c r="FY1" s="1606">
        <v>181</v>
      </c>
      <c r="FZ1" s="1606">
        <v>182</v>
      </c>
      <c r="GA1" s="1606">
        <v>183</v>
      </c>
      <c r="GB1" s="1606">
        <v>184</v>
      </c>
      <c r="GC1" s="1606">
        <v>185</v>
      </c>
      <c r="GD1" s="1606">
        <v>186</v>
      </c>
      <c r="GE1" s="1606">
        <v>187</v>
      </c>
      <c r="GF1" s="1606">
        <v>188</v>
      </c>
      <c r="GG1" s="1606">
        <v>189</v>
      </c>
      <c r="GH1" s="1606">
        <v>190</v>
      </c>
      <c r="GI1" s="1606">
        <v>191</v>
      </c>
      <c r="GJ1" s="1606">
        <v>192</v>
      </c>
      <c r="GK1" s="1606">
        <v>193</v>
      </c>
      <c r="GL1" s="1606">
        <v>194</v>
      </c>
      <c r="GM1" s="1606">
        <v>195</v>
      </c>
      <c r="GN1" s="1606">
        <v>196</v>
      </c>
      <c r="GO1" s="1606">
        <v>197</v>
      </c>
      <c r="GP1" s="1606">
        <v>198</v>
      </c>
      <c r="GQ1" s="1606">
        <v>199</v>
      </c>
      <c r="GR1" s="1606">
        <v>200</v>
      </c>
      <c r="GS1" s="1606">
        <v>201</v>
      </c>
      <c r="GT1" s="1606">
        <v>202</v>
      </c>
      <c r="GU1" s="1606">
        <v>203</v>
      </c>
      <c r="GV1" s="1606">
        <v>204</v>
      </c>
      <c r="GW1" s="1606">
        <v>1</v>
      </c>
      <c r="GX1" s="1250">
        <v>0</v>
      </c>
      <c r="GY1" s="1673">
        <v>205</v>
      </c>
      <c r="GZ1" s="1673">
        <v>206</v>
      </c>
      <c r="HA1" s="1673">
        <v>207</v>
      </c>
      <c r="HB1" s="1673">
        <v>208</v>
      </c>
      <c r="HC1" s="1673">
        <v>209</v>
      </c>
      <c r="HD1" s="1673">
        <v>210</v>
      </c>
      <c r="HE1" s="1673">
        <v>211</v>
      </c>
      <c r="HF1" s="1673">
        <v>212</v>
      </c>
      <c r="HG1" s="1673">
        <v>213</v>
      </c>
      <c r="HH1" s="1673">
        <v>214</v>
      </c>
      <c r="HI1" s="1673">
        <v>215</v>
      </c>
      <c r="HJ1" s="1673">
        <v>216</v>
      </c>
      <c r="HK1" s="1673">
        <v>217</v>
      </c>
      <c r="HL1" s="1673">
        <v>218</v>
      </c>
      <c r="HM1" s="1673">
        <v>219</v>
      </c>
      <c r="HN1" s="1673">
        <v>220</v>
      </c>
      <c r="HO1" s="1673">
        <v>221</v>
      </c>
      <c r="HP1" s="1673">
        <v>222</v>
      </c>
      <c r="HQ1" s="1673">
        <v>223</v>
      </c>
      <c r="HR1" s="1673">
        <v>224</v>
      </c>
      <c r="HS1" s="1673">
        <v>225</v>
      </c>
      <c r="HT1" s="1673">
        <v>226</v>
      </c>
      <c r="HU1" s="1673">
        <v>227</v>
      </c>
      <c r="HV1" s="1673">
        <v>228</v>
      </c>
      <c r="HW1" s="1673">
        <v>229</v>
      </c>
      <c r="HX1" s="1673">
        <v>230</v>
      </c>
      <c r="HY1" s="1673">
        <v>993</v>
      </c>
      <c r="HZ1" s="1673">
        <v>994</v>
      </c>
      <c r="IA1" s="1673">
        <v>995</v>
      </c>
      <c r="IB1" s="1673">
        <v>996</v>
      </c>
      <c r="IC1" s="1673">
        <v>997</v>
      </c>
      <c r="ID1" s="1673">
        <v>998</v>
      </c>
      <c r="IE1" s="1673">
        <v>999</v>
      </c>
    </row>
    <row r="2" s="1593" customFormat="1" ht="148" customHeight="1" spans="2:256">
      <c r="B2" s="1593" t="s">
        <v>458</v>
      </c>
      <c r="C2" s="1593" t="s">
        <v>463</v>
      </c>
      <c r="D2" s="1593" t="s">
        <v>468</v>
      </c>
      <c r="E2" s="1593" t="s">
        <v>473</v>
      </c>
      <c r="F2" s="1593" t="s">
        <v>3416</v>
      </c>
      <c r="G2" s="1593" t="s">
        <v>481</v>
      </c>
      <c r="H2" s="1593" t="s">
        <v>486</v>
      </c>
      <c r="I2" s="1593" t="s">
        <v>491</v>
      </c>
      <c r="J2" s="1593" t="s">
        <v>496</v>
      </c>
      <c r="K2" s="1593" t="s">
        <v>500</v>
      </c>
      <c r="L2" s="1593" t="s">
        <v>505</v>
      </c>
      <c r="M2" s="1593" t="s">
        <v>512</v>
      </c>
      <c r="N2" s="1593" t="s">
        <v>518</v>
      </c>
      <c r="O2" s="1593" t="s">
        <v>522</v>
      </c>
      <c r="P2" s="1593" t="s">
        <v>526</v>
      </c>
      <c r="Q2" s="1593" t="s">
        <v>530</v>
      </c>
      <c r="R2" s="1593" t="s">
        <v>534</v>
      </c>
      <c r="S2" s="1593" t="s">
        <v>538</v>
      </c>
      <c r="T2" s="1593" t="s">
        <v>542</v>
      </c>
      <c r="U2" s="1593" t="s">
        <v>3417</v>
      </c>
      <c r="V2" s="1593" t="s">
        <v>3418</v>
      </c>
      <c r="W2" s="1593" t="s">
        <v>555</v>
      </c>
      <c r="X2" s="1593" t="s">
        <v>3419</v>
      </c>
      <c r="Y2" s="1593" t="s">
        <v>565</v>
      </c>
      <c r="Z2" s="1593" t="s">
        <v>569</v>
      </c>
      <c r="AA2" s="1593" t="s">
        <v>573</v>
      </c>
      <c r="AB2" s="1593" t="s">
        <v>577</v>
      </c>
      <c r="AC2" s="1593" t="s">
        <v>581</v>
      </c>
      <c r="AD2" s="1593" t="s">
        <v>3420</v>
      </c>
      <c r="AE2" s="1593" t="s">
        <v>590</v>
      </c>
      <c r="AF2" s="1593" t="s">
        <v>594</v>
      </c>
      <c r="AG2" s="1593" t="s">
        <v>598</v>
      </c>
      <c r="AH2" s="1593" t="s">
        <v>602</v>
      </c>
      <c r="AI2" s="1593" t="s">
        <v>604</v>
      </c>
      <c r="AJ2" s="1593" t="s">
        <v>606</v>
      </c>
      <c r="AK2" s="1593" t="s">
        <v>609</v>
      </c>
      <c r="AL2" s="1593" t="s">
        <v>613</v>
      </c>
      <c r="AM2" s="1593" t="s">
        <v>615</v>
      </c>
      <c r="AN2" s="1593" t="s">
        <v>617</v>
      </c>
      <c r="AO2" s="1593" t="s">
        <v>619</v>
      </c>
      <c r="AP2" s="1593" t="s">
        <v>621</v>
      </c>
      <c r="AQ2" s="1593" t="s">
        <v>623</v>
      </c>
      <c r="AR2" s="1593" t="s">
        <v>625</v>
      </c>
      <c r="AS2" s="1593" t="s">
        <v>627</v>
      </c>
      <c r="AT2" s="1593" t="s">
        <v>630</v>
      </c>
      <c r="AU2" s="1593" t="s">
        <v>632</v>
      </c>
      <c r="AV2" s="1593" t="s">
        <v>634</v>
      </c>
      <c r="AW2" s="1593" t="s">
        <v>636</v>
      </c>
      <c r="AX2" s="1593" t="s">
        <v>638</v>
      </c>
      <c r="AY2" s="1593" t="s">
        <v>640</v>
      </c>
      <c r="AZ2" s="1593" t="s">
        <v>642</v>
      </c>
      <c r="BA2" s="1593" t="s">
        <v>644</v>
      </c>
      <c r="BB2" s="1593" t="s">
        <v>646</v>
      </c>
      <c r="BC2" s="1593" t="s">
        <v>648</v>
      </c>
      <c r="BD2" s="1593" t="s">
        <v>650</v>
      </c>
      <c r="BE2" s="1593" t="s">
        <v>652</v>
      </c>
      <c r="BF2" s="1593" t="s">
        <v>654</v>
      </c>
      <c r="BG2" s="1593" t="s">
        <v>656</v>
      </c>
      <c r="BH2" s="1593" t="s">
        <v>659</v>
      </c>
      <c r="BI2" s="1593" t="s">
        <v>661</v>
      </c>
      <c r="BJ2" s="1593" t="s">
        <v>3421</v>
      </c>
      <c r="BK2" s="1593" t="s">
        <v>665</v>
      </c>
      <c r="BL2" s="1593" t="s">
        <v>670</v>
      </c>
      <c r="BM2" s="1593" t="s">
        <v>675</v>
      </c>
      <c r="BN2" s="1593" t="s">
        <v>679</v>
      </c>
      <c r="BO2" s="1593" t="s">
        <v>683</v>
      </c>
      <c r="BP2" s="1593" t="s">
        <v>687</v>
      </c>
      <c r="BQ2" s="1593" t="s">
        <v>3422</v>
      </c>
      <c r="BR2" s="1593" t="s">
        <v>695</v>
      </c>
      <c r="BS2" s="1593" t="s">
        <v>698</v>
      </c>
      <c r="BT2" s="1593" t="s">
        <v>701</v>
      </c>
      <c r="BU2" s="1593" t="s">
        <v>705</v>
      </c>
      <c r="BV2" s="1593" t="s">
        <v>709</v>
      </c>
      <c r="BW2" s="1593" t="s">
        <v>713</v>
      </c>
      <c r="BX2" s="1593" t="s">
        <v>717</v>
      </c>
      <c r="BY2" s="1593" t="s">
        <v>721</v>
      </c>
      <c r="BZ2" s="1593" t="s">
        <v>725</v>
      </c>
      <c r="CA2" s="1593" t="s">
        <v>729</v>
      </c>
      <c r="CB2" s="1593" t="s">
        <v>734</v>
      </c>
      <c r="CC2" s="1593" t="s">
        <v>738</v>
      </c>
      <c r="CD2" s="1593" t="s">
        <v>742</v>
      </c>
      <c r="CE2" s="1593" t="s">
        <v>746</v>
      </c>
      <c r="CF2" s="1593" t="s">
        <v>750</v>
      </c>
      <c r="CG2" s="1593" t="s">
        <v>754</v>
      </c>
      <c r="CH2" s="1593" t="s">
        <v>758</v>
      </c>
      <c r="CI2" s="1593" t="s">
        <v>761</v>
      </c>
      <c r="CJ2" s="1593" t="s">
        <v>765</v>
      </c>
      <c r="CK2" s="1593" t="s">
        <v>769</v>
      </c>
      <c r="CL2" s="1593" t="s">
        <v>773</v>
      </c>
      <c r="CM2" s="1593" t="s">
        <v>17</v>
      </c>
      <c r="CN2" s="1593" t="s">
        <v>780</v>
      </c>
      <c r="CO2" s="1593" t="s">
        <v>784</v>
      </c>
      <c r="CP2" s="1593" t="s">
        <v>788</v>
      </c>
      <c r="CQ2" s="1593" t="s">
        <v>792</v>
      </c>
      <c r="CR2" s="1593" t="s">
        <v>3423</v>
      </c>
      <c r="CS2" s="1593" t="s">
        <v>800</v>
      </c>
      <c r="CT2" s="1593" t="s">
        <v>804</v>
      </c>
      <c r="CU2" s="1593" t="s">
        <v>808</v>
      </c>
      <c r="CV2" s="1593" t="s">
        <v>812</v>
      </c>
      <c r="CW2" s="1593" t="s">
        <v>816</v>
      </c>
      <c r="CX2" s="1593" t="s">
        <v>820</v>
      </c>
      <c r="CY2" s="1593" t="s">
        <v>825</v>
      </c>
      <c r="CZ2" s="1593" t="s">
        <v>3424</v>
      </c>
      <c r="DA2" s="1593" t="s">
        <v>832</v>
      </c>
      <c r="DB2" s="1593" t="s">
        <v>3425</v>
      </c>
      <c r="DC2" s="1593" t="s">
        <v>840</v>
      </c>
      <c r="DD2" s="1593" t="s">
        <v>844</v>
      </c>
      <c r="DE2" s="1593" t="s">
        <v>848</v>
      </c>
      <c r="DF2" s="1593" t="s">
        <v>852</v>
      </c>
      <c r="DG2" s="1593" t="s">
        <v>856</v>
      </c>
      <c r="DH2" s="1593" t="s">
        <v>3426</v>
      </c>
      <c r="DI2" s="1593" t="s">
        <v>864</v>
      </c>
      <c r="DJ2" s="1593" t="s">
        <v>868</v>
      </c>
      <c r="DK2" s="1593" t="s">
        <v>872</v>
      </c>
      <c r="DL2" s="1593" t="s">
        <v>876</v>
      </c>
      <c r="DM2" s="1593" t="s">
        <v>881</v>
      </c>
      <c r="DN2" s="1593" t="s">
        <v>883</v>
      </c>
      <c r="DO2" s="1593" t="s">
        <v>887</v>
      </c>
      <c r="DP2" s="1593" t="s">
        <v>890</v>
      </c>
      <c r="DQ2" s="1593" t="s">
        <v>893</v>
      </c>
      <c r="DR2" s="1593" t="s">
        <v>896</v>
      </c>
      <c r="DS2" s="1593" t="s">
        <v>900</v>
      </c>
      <c r="DT2" s="1593" t="s">
        <v>903</v>
      </c>
      <c r="DU2" s="1593" t="s">
        <v>904</v>
      </c>
      <c r="DV2" s="1593" t="s">
        <v>907</v>
      </c>
      <c r="DW2" s="1593" t="s">
        <v>910</v>
      </c>
      <c r="DX2" s="1593" t="s">
        <v>913</v>
      </c>
      <c r="DY2" s="1593" t="s">
        <v>916</v>
      </c>
      <c r="DZ2" s="1593" t="s">
        <v>919</v>
      </c>
      <c r="EA2" s="1593" t="s">
        <v>922</v>
      </c>
      <c r="EB2" s="1593" t="s">
        <v>925</v>
      </c>
      <c r="EC2" s="1593" t="s">
        <v>928</v>
      </c>
      <c r="ED2" s="1593" t="s">
        <v>929</v>
      </c>
      <c r="EE2" s="1593" t="s">
        <v>931</v>
      </c>
      <c r="EF2" s="1593" t="s">
        <v>932</v>
      </c>
      <c r="EG2" s="1593" t="s">
        <v>934</v>
      </c>
      <c r="EH2" s="1593" t="s">
        <v>937</v>
      </c>
      <c r="EI2" s="1593" t="s">
        <v>940</v>
      </c>
      <c r="EJ2" s="1593" t="s">
        <v>3427</v>
      </c>
      <c r="EK2" s="1593" t="s">
        <v>946</v>
      </c>
      <c r="EL2" s="1593" t="s">
        <v>949</v>
      </c>
      <c r="EM2" s="1593" t="s">
        <v>952</v>
      </c>
      <c r="EN2" s="1593" t="s">
        <v>3428</v>
      </c>
      <c r="EO2" s="1593" t="s">
        <v>958</v>
      </c>
      <c r="EP2" s="1593" t="s">
        <v>961</v>
      </c>
      <c r="EQ2" s="1593" t="s">
        <v>963</v>
      </c>
      <c r="ER2" s="1593" t="s">
        <v>965</v>
      </c>
      <c r="ES2" s="1593" t="s">
        <v>968</v>
      </c>
      <c r="ET2" s="1593" t="s">
        <v>971</v>
      </c>
      <c r="EU2" s="1593" t="s">
        <v>974</v>
      </c>
      <c r="EV2" s="1593" t="s">
        <v>977</v>
      </c>
      <c r="EW2" s="1593" t="s">
        <v>980</v>
      </c>
      <c r="EX2" s="1593" t="s">
        <v>983</v>
      </c>
      <c r="EY2" s="1593" t="s">
        <v>986</v>
      </c>
      <c r="EZ2" s="1593" t="s">
        <v>991</v>
      </c>
      <c r="FA2" s="1593" t="s">
        <v>996</v>
      </c>
      <c r="FB2" s="1593" t="s">
        <v>1003</v>
      </c>
      <c r="FC2" s="1593" t="s">
        <v>1007</v>
      </c>
      <c r="FD2" s="1593" t="s">
        <v>1011</v>
      </c>
      <c r="FE2" s="1593" t="s">
        <v>1014</v>
      </c>
      <c r="FF2" s="1593" t="s">
        <v>1018</v>
      </c>
      <c r="FG2" s="1593" t="s">
        <v>1022</v>
      </c>
      <c r="FH2" s="1593" t="s">
        <v>1026</v>
      </c>
      <c r="FI2" s="1593" t="s">
        <v>1029</v>
      </c>
      <c r="FJ2" s="1593" t="s">
        <v>1031</v>
      </c>
      <c r="FK2" s="1593" t="s">
        <v>1033</v>
      </c>
      <c r="FL2" s="1593" t="s">
        <v>1037</v>
      </c>
      <c r="FM2" s="1593" t="s">
        <v>3429</v>
      </c>
      <c r="FN2" s="1593" t="s">
        <v>1044</v>
      </c>
      <c r="FO2" s="1593" t="s">
        <v>1049</v>
      </c>
      <c r="FP2" s="1593" t="s">
        <v>1052</v>
      </c>
      <c r="FQ2" s="1593" t="s">
        <v>1055</v>
      </c>
      <c r="FR2" s="1593" t="s">
        <v>1058</v>
      </c>
      <c r="FS2" s="1593" t="s">
        <v>1062</v>
      </c>
      <c r="FT2" s="1593" t="s">
        <v>1064</v>
      </c>
      <c r="FU2" s="1593" t="s">
        <v>1066</v>
      </c>
      <c r="FV2" s="1593" t="s">
        <v>1067</v>
      </c>
      <c r="FW2" s="1593" t="s">
        <v>1070</v>
      </c>
      <c r="FX2" s="1593" t="s">
        <v>1071</v>
      </c>
      <c r="FY2" s="1593" t="s">
        <v>1073</v>
      </c>
      <c r="FZ2" s="1593" t="s">
        <v>1075</v>
      </c>
      <c r="GA2" s="1593" t="s">
        <v>1077</v>
      </c>
      <c r="GB2" s="1593" t="s">
        <v>1078</v>
      </c>
      <c r="GC2" s="1593" t="s">
        <v>1079</v>
      </c>
      <c r="GD2" s="1593" t="s">
        <v>1081</v>
      </c>
      <c r="GE2" s="1593" t="s">
        <v>1082</v>
      </c>
      <c r="GF2" s="1593" t="s">
        <v>1084</v>
      </c>
      <c r="GG2" s="1593" t="s">
        <v>1086</v>
      </c>
      <c r="GH2" s="1593" t="s">
        <v>1088</v>
      </c>
      <c r="GI2" s="1593" t="s">
        <v>1090</v>
      </c>
      <c r="GJ2" s="1593" t="s">
        <v>1091</v>
      </c>
      <c r="GK2" s="1593" t="s">
        <v>1092</v>
      </c>
      <c r="GL2" s="1593" t="s">
        <v>1093</v>
      </c>
      <c r="GM2" s="1593" t="s">
        <v>1095</v>
      </c>
      <c r="GN2" s="1593" t="s">
        <v>1097</v>
      </c>
      <c r="GO2" s="1593" t="s">
        <v>3430</v>
      </c>
      <c r="GP2" s="1593" t="s">
        <v>1102</v>
      </c>
      <c r="GQ2" s="1593" t="s">
        <v>1103</v>
      </c>
      <c r="GR2" s="1593" t="s">
        <v>1105</v>
      </c>
      <c r="GS2" s="1593" t="s">
        <v>1107</v>
      </c>
      <c r="GT2" s="1593" t="s">
        <v>1108</v>
      </c>
      <c r="GU2" s="1593" t="s">
        <v>1110</v>
      </c>
      <c r="GV2" s="1593" t="s">
        <v>1112</v>
      </c>
      <c r="GW2" s="1593" t="s">
        <v>1264</v>
      </c>
      <c r="GY2" s="1593" t="s">
        <v>1114</v>
      </c>
      <c r="GZ2" s="1593" t="s">
        <v>1118</v>
      </c>
      <c r="HA2" s="1593" t="s">
        <v>1120</v>
      </c>
      <c r="HB2" s="1593" t="s">
        <v>512</v>
      </c>
      <c r="HC2" s="1593" t="s">
        <v>1123</v>
      </c>
      <c r="HD2" s="1593" t="s">
        <v>1125</v>
      </c>
      <c r="HE2" s="1593" t="s">
        <v>1127</v>
      </c>
      <c r="HF2" s="1593" t="s">
        <v>1129</v>
      </c>
      <c r="HG2" s="1593" t="s">
        <v>573</v>
      </c>
      <c r="HH2" s="1593" t="s">
        <v>1133</v>
      </c>
      <c r="HI2" s="1593" t="s">
        <v>1135</v>
      </c>
      <c r="HJ2" s="1593" t="s">
        <v>642</v>
      </c>
      <c r="HK2" s="1593" t="s">
        <v>1138</v>
      </c>
      <c r="HL2" s="1593" t="s">
        <v>1140</v>
      </c>
      <c r="HM2" s="1593" t="s">
        <v>17</v>
      </c>
      <c r="HN2" s="1593" t="s">
        <v>1143</v>
      </c>
      <c r="HO2" s="1593" t="s">
        <v>1145</v>
      </c>
      <c r="HP2" s="1593" t="s">
        <v>701</v>
      </c>
      <c r="HQ2" s="1593" t="s">
        <v>1148</v>
      </c>
      <c r="HR2" s="1593" t="s">
        <v>1150</v>
      </c>
      <c r="HS2" s="1593" t="s">
        <v>1152</v>
      </c>
      <c r="HT2" s="1593" t="s">
        <v>816</v>
      </c>
      <c r="HU2" s="1593" t="s">
        <v>1155</v>
      </c>
      <c r="HV2" s="1593" t="s">
        <v>1157</v>
      </c>
      <c r="HW2" s="1593" t="s">
        <v>1159</v>
      </c>
      <c r="HX2" s="1593" t="s">
        <v>1161</v>
      </c>
      <c r="HY2" s="1680" t="s">
        <v>3431</v>
      </c>
      <c r="HZ2" s="1680" t="s">
        <v>3432</v>
      </c>
      <c r="IA2" s="1680" t="s">
        <v>3433</v>
      </c>
      <c r="IB2" s="1680" t="s">
        <v>436</v>
      </c>
      <c r="IC2" s="1680" t="s">
        <v>3434</v>
      </c>
      <c r="ID2" s="1697" t="s">
        <v>442</v>
      </c>
      <c r="IE2" s="1680" t="s">
        <v>93</v>
      </c>
      <c r="IF2" s="1698"/>
      <c r="IG2" s="1698"/>
      <c r="IH2" s="1698"/>
      <c r="II2" s="1698"/>
      <c r="IJ2" s="1681"/>
      <c r="IK2" s="1681"/>
      <c r="IL2" s="1681"/>
      <c r="IM2" s="1681"/>
      <c r="IN2" s="1681"/>
      <c r="IO2" s="1681"/>
      <c r="IP2" s="1681"/>
      <c r="IQ2" s="1681"/>
      <c r="IR2" s="1681"/>
      <c r="IS2" s="1681"/>
      <c r="IT2" s="1681"/>
      <c r="IU2" s="1681"/>
      <c r="IV2" s="1681"/>
    </row>
    <row r="3" s="1594" customFormat="1" ht="20" customHeight="1" spans="1:256">
      <c r="A3" s="1607" t="s">
        <v>589</v>
      </c>
      <c r="B3" s="1608"/>
      <c r="C3" s="1608"/>
      <c r="D3" s="1608"/>
      <c r="E3" s="1608"/>
      <c r="F3" s="1608"/>
      <c r="G3" s="1608"/>
      <c r="H3" s="1608"/>
      <c r="I3" s="1608"/>
      <c r="J3" s="1608"/>
      <c r="K3" s="1608">
        <v>1</v>
      </c>
      <c r="L3" s="1608">
        <v>1</v>
      </c>
      <c r="M3" s="1608">
        <v>1</v>
      </c>
      <c r="N3" s="1608"/>
      <c r="O3" s="1608"/>
      <c r="P3" s="1608">
        <v>1</v>
      </c>
      <c r="Q3" s="1608"/>
      <c r="R3" s="1608">
        <v>1</v>
      </c>
      <c r="S3" s="1608"/>
      <c r="T3" s="1608">
        <v>1</v>
      </c>
      <c r="U3" s="1608"/>
      <c r="V3" s="1608">
        <v>1</v>
      </c>
      <c r="W3" s="1608"/>
      <c r="X3" s="1608"/>
      <c r="Y3" s="1608"/>
      <c r="Z3" s="1608">
        <v>1</v>
      </c>
      <c r="AA3" s="1608"/>
      <c r="AB3" s="1608"/>
      <c r="AC3" s="1608">
        <v>1</v>
      </c>
      <c r="AD3" s="1608"/>
      <c r="AE3" s="1608">
        <v>1</v>
      </c>
      <c r="AF3" s="1608">
        <v>1</v>
      </c>
      <c r="AG3" s="1608">
        <v>1</v>
      </c>
      <c r="AH3" s="1608">
        <v>1</v>
      </c>
      <c r="AI3" s="1608"/>
      <c r="AJ3" s="1608"/>
      <c r="AK3" s="1608">
        <v>1</v>
      </c>
      <c r="AL3" s="1608"/>
      <c r="AM3" s="1608"/>
      <c r="AN3" s="1608">
        <v>1</v>
      </c>
      <c r="AO3" s="1608">
        <v>1</v>
      </c>
      <c r="AP3" s="1608"/>
      <c r="AQ3" s="1608"/>
      <c r="AR3" s="1608"/>
      <c r="AS3" s="1608"/>
      <c r="AT3" s="1608"/>
      <c r="AU3" s="1608"/>
      <c r="AV3" s="1608"/>
      <c r="AW3" s="1608"/>
      <c r="AX3" s="1608"/>
      <c r="AY3" s="1608"/>
      <c r="AZ3" s="1608"/>
      <c r="BA3" s="1608">
        <v>1</v>
      </c>
      <c r="BB3" s="1608"/>
      <c r="BC3" s="1608"/>
      <c r="BD3" s="1608"/>
      <c r="BE3" s="1608"/>
      <c r="BF3" s="1608"/>
      <c r="BG3" s="1608"/>
      <c r="BH3" s="1608"/>
      <c r="BI3" s="1608"/>
      <c r="BJ3" s="1608"/>
      <c r="BK3" s="1608">
        <v>1</v>
      </c>
      <c r="BL3" s="1608"/>
      <c r="BM3" s="1608"/>
      <c r="BN3" s="1608"/>
      <c r="BO3" s="1608"/>
      <c r="BP3" s="1608">
        <v>1</v>
      </c>
      <c r="BQ3" s="1608"/>
      <c r="BR3" s="1608">
        <v>1</v>
      </c>
      <c r="BS3" s="1608"/>
      <c r="BT3" s="1608"/>
      <c r="BU3" s="1608"/>
      <c r="BV3" s="1608"/>
      <c r="BW3" s="1608"/>
      <c r="BX3" s="1608"/>
      <c r="BY3" s="1608"/>
      <c r="BZ3" s="1608"/>
      <c r="CA3" s="1608"/>
      <c r="CB3" s="1608"/>
      <c r="CC3" s="1608"/>
      <c r="CD3" s="1608"/>
      <c r="CE3" s="1608"/>
      <c r="CF3" s="1608"/>
      <c r="CG3" s="1608"/>
      <c r="CH3" s="1608"/>
      <c r="CI3" s="1608"/>
      <c r="CJ3" s="1608"/>
      <c r="CK3" s="1608">
        <v>1</v>
      </c>
      <c r="CL3" s="1608">
        <v>1</v>
      </c>
      <c r="CM3" s="1608"/>
      <c r="CN3" s="1608"/>
      <c r="CO3" s="1608"/>
      <c r="CP3" s="1608"/>
      <c r="CQ3" s="1608"/>
      <c r="CR3" s="1608"/>
      <c r="CS3" s="1608"/>
      <c r="CT3" s="1608">
        <v>1</v>
      </c>
      <c r="CU3" s="1608"/>
      <c r="CV3" s="1608">
        <v>1</v>
      </c>
      <c r="CW3" s="1608">
        <v>1</v>
      </c>
      <c r="CX3" s="1608">
        <v>1</v>
      </c>
      <c r="CY3" s="1608"/>
      <c r="CZ3" s="1608">
        <v>1</v>
      </c>
      <c r="DA3" s="1608">
        <v>1</v>
      </c>
      <c r="DB3" s="1608">
        <v>1</v>
      </c>
      <c r="DC3" s="1608">
        <v>1</v>
      </c>
      <c r="DD3" s="1608">
        <v>1</v>
      </c>
      <c r="DE3" s="1608"/>
      <c r="DF3" s="1608"/>
      <c r="DG3" s="1608"/>
      <c r="DH3" s="1608">
        <v>1</v>
      </c>
      <c r="DI3" s="1608"/>
      <c r="DJ3" s="1608"/>
      <c r="DK3" s="1608"/>
      <c r="DL3" s="1608"/>
      <c r="DM3" s="1608"/>
      <c r="DN3" s="1608"/>
      <c r="DO3" s="1608"/>
      <c r="DP3" s="1608"/>
      <c r="DQ3" s="1608"/>
      <c r="DR3" s="1608"/>
      <c r="DS3" s="1608"/>
      <c r="DT3" s="1608"/>
      <c r="DU3" s="1608"/>
      <c r="DV3" s="1608"/>
      <c r="DW3" s="1608"/>
      <c r="DX3" s="1608"/>
      <c r="DY3" s="1608"/>
      <c r="DZ3" s="1608"/>
      <c r="EA3" s="1608"/>
      <c r="EB3" s="1608"/>
      <c r="EC3" s="1608"/>
      <c r="ED3" s="1608"/>
      <c r="EE3" s="1608"/>
      <c r="EF3" s="1608"/>
      <c r="EG3" s="1608"/>
      <c r="EH3" s="1608">
        <v>1</v>
      </c>
      <c r="EI3" s="1608"/>
      <c r="EJ3" s="1608"/>
      <c r="EK3" s="1608"/>
      <c r="EL3" s="1608">
        <v>1</v>
      </c>
      <c r="EM3" s="1608"/>
      <c r="EN3" s="1608"/>
      <c r="EO3" s="1608"/>
      <c r="EP3" s="1608">
        <v>1</v>
      </c>
      <c r="EQ3" s="1608"/>
      <c r="ER3" s="1608"/>
      <c r="ES3" s="1608"/>
      <c r="ET3" s="1608"/>
      <c r="EU3" s="1608"/>
      <c r="EV3" s="1608"/>
      <c r="EW3" s="1608"/>
      <c r="EX3" s="1608"/>
      <c r="EY3" s="1608"/>
      <c r="EZ3" s="1608">
        <v>1</v>
      </c>
      <c r="FA3" s="1608">
        <v>1</v>
      </c>
      <c r="FB3" s="1608"/>
      <c r="FC3" s="1608">
        <v>1</v>
      </c>
      <c r="FD3" s="1608"/>
      <c r="FE3" s="1608"/>
      <c r="FF3" s="1608"/>
      <c r="FG3" s="1608">
        <v>1</v>
      </c>
      <c r="FH3" s="1608">
        <v>1</v>
      </c>
      <c r="FI3" s="1608"/>
      <c r="FJ3" s="1608">
        <v>1</v>
      </c>
      <c r="FK3" s="1608"/>
      <c r="FL3" s="1608"/>
      <c r="FM3" s="1608"/>
      <c r="FN3" s="1608"/>
      <c r="FO3" s="1608"/>
      <c r="FP3" s="1608"/>
      <c r="FQ3" s="1608"/>
      <c r="FR3" s="1608"/>
      <c r="FS3" s="1608"/>
      <c r="FT3" s="1608"/>
      <c r="FU3" s="1608"/>
      <c r="FV3" s="1608"/>
      <c r="FW3" s="1608"/>
      <c r="FX3" s="1608">
        <v>1</v>
      </c>
      <c r="FY3" s="1608"/>
      <c r="FZ3" s="1608"/>
      <c r="GA3" s="1608">
        <v>1</v>
      </c>
      <c r="GB3" s="1608">
        <v>1</v>
      </c>
      <c r="GC3" s="1608">
        <v>1</v>
      </c>
      <c r="GD3" s="1608">
        <v>1</v>
      </c>
      <c r="GE3" s="1608"/>
      <c r="GF3" s="1608"/>
      <c r="GG3" s="1608"/>
      <c r="GH3" s="1608"/>
      <c r="GI3" s="1608"/>
      <c r="GJ3" s="1608"/>
      <c r="GK3" s="1608"/>
      <c r="GL3" s="1608"/>
      <c r="GM3" s="1608"/>
      <c r="GN3" s="1608"/>
      <c r="GO3" s="1608"/>
      <c r="GP3" s="1608"/>
      <c r="GQ3" s="1608"/>
      <c r="GR3" s="1608"/>
      <c r="GS3" s="1608">
        <v>1</v>
      </c>
      <c r="GT3" s="1608"/>
      <c r="GU3" s="1608">
        <v>1</v>
      </c>
      <c r="GV3" s="1608"/>
      <c r="GW3" s="1669">
        <f>COUNTIF(GW$8:GW$77,A3)</f>
        <v>0</v>
      </c>
      <c r="GX3" s="1608"/>
      <c r="GY3" s="1608">
        <v>1</v>
      </c>
      <c r="GZ3" s="1608"/>
      <c r="HA3" s="1608"/>
      <c r="HB3" s="1608"/>
      <c r="HC3" s="1608"/>
      <c r="HD3" s="1608"/>
      <c r="HE3" s="1608"/>
      <c r="HF3" s="1608"/>
      <c r="HG3" s="1608"/>
      <c r="HH3" s="1608"/>
      <c r="HI3" s="1608"/>
      <c r="HJ3" s="1608"/>
      <c r="HK3" s="1608">
        <v>1</v>
      </c>
      <c r="HL3" s="1608"/>
      <c r="HM3" s="1608"/>
      <c r="HN3" s="1608"/>
      <c r="HO3" s="1608"/>
      <c r="HP3" s="1608"/>
      <c r="HQ3" s="1608"/>
      <c r="HR3" s="1608"/>
      <c r="HS3" s="1608"/>
      <c r="HT3" s="1608"/>
      <c r="HU3" s="1608"/>
      <c r="HV3" s="1608"/>
      <c r="HW3" s="1608"/>
      <c r="HX3" s="1608"/>
      <c r="HY3" s="1609"/>
      <c r="HZ3" s="1609"/>
      <c r="IA3" s="1609">
        <v>1</v>
      </c>
      <c r="IB3" s="1609"/>
      <c r="IC3" s="1609"/>
      <c r="ID3" s="1609"/>
      <c r="IE3" s="1609"/>
      <c r="IF3" s="1609"/>
      <c r="IG3" s="1609"/>
      <c r="IH3" s="1609"/>
      <c r="II3" s="1609"/>
      <c r="IJ3" s="1609"/>
      <c r="IK3" s="1609"/>
      <c r="IL3" s="1609"/>
      <c r="IM3" s="1609"/>
      <c r="IN3" s="1609"/>
      <c r="IO3" s="1609"/>
      <c r="IP3" s="1609"/>
      <c r="IQ3" s="1609"/>
      <c r="IR3" s="1609"/>
      <c r="IS3" s="1609"/>
      <c r="IT3" s="1609"/>
      <c r="IU3" s="1609"/>
      <c r="IV3" s="1609"/>
    </row>
    <row r="4" s="1594" customFormat="1" ht="20" customHeight="1" spans="1:256">
      <c r="A4" s="1607" t="s">
        <v>601</v>
      </c>
      <c r="B4" s="1609"/>
      <c r="C4" s="1610"/>
      <c r="D4" s="1609"/>
      <c r="E4" s="1609"/>
      <c r="F4" s="1609"/>
      <c r="G4" s="1609"/>
      <c r="H4" s="1609"/>
      <c r="I4" s="1609"/>
      <c r="J4" s="1609"/>
      <c r="K4" s="1609"/>
      <c r="L4" s="1609"/>
      <c r="M4" s="1609"/>
      <c r="N4" s="1609"/>
      <c r="O4" s="1609"/>
      <c r="P4" s="1609"/>
      <c r="Q4" s="1609"/>
      <c r="R4" s="1609">
        <v>1</v>
      </c>
      <c r="S4" s="1609"/>
      <c r="T4" s="1609">
        <v>1</v>
      </c>
      <c r="U4" s="1609"/>
      <c r="V4" s="1609"/>
      <c r="W4" s="1609"/>
      <c r="X4" s="1609"/>
      <c r="Y4" s="1609"/>
      <c r="Z4" s="1609">
        <v>1</v>
      </c>
      <c r="AA4" s="1609"/>
      <c r="AB4" s="1609"/>
      <c r="AC4" s="1609"/>
      <c r="AD4" s="1609"/>
      <c r="AE4" s="1609"/>
      <c r="AF4" s="1609"/>
      <c r="AG4" s="1609">
        <v>1</v>
      </c>
      <c r="AH4" s="1609"/>
      <c r="AI4" s="1609"/>
      <c r="AJ4" s="1609"/>
      <c r="AK4" s="1609"/>
      <c r="AL4" s="1609"/>
      <c r="AM4" s="1609"/>
      <c r="AN4" s="1609"/>
      <c r="AO4" s="1609"/>
      <c r="AP4" s="1609"/>
      <c r="AQ4" s="1609"/>
      <c r="AR4" s="1609"/>
      <c r="AS4" s="1609"/>
      <c r="AT4" s="1609"/>
      <c r="AU4" s="1609"/>
      <c r="AV4" s="1609"/>
      <c r="AW4" s="1609"/>
      <c r="AX4" s="1609"/>
      <c r="AY4" s="1609"/>
      <c r="AZ4" s="1609"/>
      <c r="BA4" s="1609"/>
      <c r="BB4" s="1609"/>
      <c r="BC4" s="1609"/>
      <c r="BD4" s="1609"/>
      <c r="BE4" s="1609"/>
      <c r="BF4" s="1609"/>
      <c r="BG4" s="1609"/>
      <c r="BH4" s="1609"/>
      <c r="BI4" s="1609"/>
      <c r="BJ4" s="1609"/>
      <c r="BK4" s="1609"/>
      <c r="BL4" s="1609"/>
      <c r="BM4" s="1609"/>
      <c r="BN4" s="1609"/>
      <c r="BO4" s="1609"/>
      <c r="BP4" s="1609"/>
      <c r="BQ4" s="1609"/>
      <c r="BR4" s="1609"/>
      <c r="BS4" s="1609"/>
      <c r="BT4" s="1609"/>
      <c r="BU4" s="1609"/>
      <c r="BV4" s="1609"/>
      <c r="BW4" s="1609"/>
      <c r="BX4" s="1609"/>
      <c r="BY4" s="1609"/>
      <c r="BZ4" s="1609"/>
      <c r="CA4" s="1609"/>
      <c r="CB4" s="1609"/>
      <c r="CC4" s="1609"/>
      <c r="CD4" s="1609"/>
      <c r="CE4" s="1609"/>
      <c r="CF4" s="1609"/>
      <c r="CG4" s="1609"/>
      <c r="CH4" s="1609"/>
      <c r="CI4" s="1609"/>
      <c r="CJ4" s="1609"/>
      <c r="CK4" s="1609"/>
      <c r="CL4" s="1609"/>
      <c r="CM4" s="1609"/>
      <c r="CN4" s="1609"/>
      <c r="CO4" s="1609"/>
      <c r="CP4" s="1609"/>
      <c r="CQ4" s="1609"/>
      <c r="CR4" s="1609"/>
      <c r="CS4" s="1609"/>
      <c r="CT4" s="1609"/>
      <c r="CU4" s="1609"/>
      <c r="CV4" s="1609"/>
      <c r="CW4" s="1609"/>
      <c r="CX4" s="1609">
        <v>1</v>
      </c>
      <c r="CY4" s="1609"/>
      <c r="CZ4" s="1609"/>
      <c r="DA4" s="1609"/>
      <c r="DB4" s="1609"/>
      <c r="DC4" s="1609"/>
      <c r="DD4" s="1609"/>
      <c r="DE4" s="1609"/>
      <c r="DF4" s="1609"/>
      <c r="DG4" s="1609"/>
      <c r="DH4" s="1609"/>
      <c r="DI4" s="1609"/>
      <c r="DJ4" s="1609"/>
      <c r="DK4" s="1609"/>
      <c r="DL4" s="1609"/>
      <c r="DM4" s="1609"/>
      <c r="DN4" s="1609"/>
      <c r="DO4" s="1609"/>
      <c r="DP4" s="1609"/>
      <c r="DQ4" s="1609"/>
      <c r="DR4" s="1609"/>
      <c r="DS4" s="1609"/>
      <c r="DT4" s="1609"/>
      <c r="DU4" s="1609"/>
      <c r="DV4" s="1609"/>
      <c r="DW4" s="1609"/>
      <c r="DX4" s="1609"/>
      <c r="DY4" s="1609"/>
      <c r="DZ4" s="1609"/>
      <c r="EA4" s="1609"/>
      <c r="EB4" s="1609"/>
      <c r="EC4" s="1609"/>
      <c r="ED4" s="1609"/>
      <c r="EE4" s="1609"/>
      <c r="EF4" s="1609"/>
      <c r="EG4" s="1609"/>
      <c r="EH4" s="1609"/>
      <c r="EI4" s="1609"/>
      <c r="EJ4" s="1609"/>
      <c r="EK4" s="1609"/>
      <c r="EL4" s="1609"/>
      <c r="EM4" s="1609"/>
      <c r="EN4" s="1609"/>
      <c r="EO4" s="1609"/>
      <c r="EP4" s="1609"/>
      <c r="EQ4" s="1609"/>
      <c r="ER4" s="1609"/>
      <c r="ES4" s="1609"/>
      <c r="ET4" s="1609"/>
      <c r="EU4" s="1609"/>
      <c r="EV4" s="1609"/>
      <c r="EW4" s="1609"/>
      <c r="EX4" s="1609"/>
      <c r="EY4" s="1609"/>
      <c r="EZ4" s="1609"/>
      <c r="FA4" s="1609"/>
      <c r="FB4" s="1609"/>
      <c r="FC4" s="1609"/>
      <c r="FD4" s="1609"/>
      <c r="FE4" s="1609"/>
      <c r="FF4" s="1609"/>
      <c r="FG4" s="1609"/>
      <c r="FH4" s="1609"/>
      <c r="FI4" s="1609"/>
      <c r="FJ4" s="1609"/>
      <c r="FK4" s="1609"/>
      <c r="FL4" s="1609"/>
      <c r="FM4" s="1609"/>
      <c r="FN4" s="1609"/>
      <c r="FO4" s="1609"/>
      <c r="FP4" s="1609"/>
      <c r="FQ4" s="1609"/>
      <c r="FR4" s="1609"/>
      <c r="FS4" s="1609"/>
      <c r="FT4" s="1609"/>
      <c r="FU4" s="1609"/>
      <c r="FV4" s="1609"/>
      <c r="FW4" s="1609"/>
      <c r="FX4" s="1609"/>
      <c r="FY4" s="1609"/>
      <c r="FZ4" s="1609"/>
      <c r="GA4" s="1609"/>
      <c r="GB4" s="1609"/>
      <c r="GC4" s="1609"/>
      <c r="GD4" s="1609"/>
      <c r="GE4" s="1609"/>
      <c r="GF4" s="1609"/>
      <c r="GG4" s="1609"/>
      <c r="GH4" s="1609"/>
      <c r="GI4" s="1609"/>
      <c r="GJ4" s="1609"/>
      <c r="GK4" s="1609"/>
      <c r="GL4" s="1609"/>
      <c r="GM4" s="1609"/>
      <c r="GN4" s="1609"/>
      <c r="GO4" s="1609"/>
      <c r="GP4" s="1609"/>
      <c r="GQ4" s="1609"/>
      <c r="GR4" s="1609"/>
      <c r="GS4" s="1609"/>
      <c r="GT4" s="1609"/>
      <c r="GU4" s="1609"/>
      <c r="GV4" s="1609"/>
      <c r="GW4" s="1669">
        <f>COUNTIF(GW$8:GW$77,A4)</f>
        <v>0</v>
      </c>
      <c r="GX4" s="1609"/>
      <c r="GY4" s="1609"/>
      <c r="GZ4" s="1609"/>
      <c r="HA4" s="1609"/>
      <c r="HB4" s="1609"/>
      <c r="HC4" s="1609"/>
      <c r="HD4" s="1609"/>
      <c r="HE4" s="1609"/>
      <c r="HF4" s="1609"/>
      <c r="HG4" s="1609"/>
      <c r="HH4" s="1609"/>
      <c r="HI4" s="1609"/>
      <c r="HJ4" s="1609"/>
      <c r="HK4" s="1609"/>
      <c r="HL4" s="1609"/>
      <c r="HM4" s="1609"/>
      <c r="HN4" s="1609"/>
      <c r="HO4" s="1609"/>
      <c r="HP4" s="1609"/>
      <c r="HQ4" s="1609"/>
      <c r="HR4" s="1609"/>
      <c r="HS4" s="1609"/>
      <c r="HT4" s="1609"/>
      <c r="HU4" s="1609"/>
      <c r="HV4" s="1609"/>
      <c r="HW4" s="1609"/>
      <c r="HX4" s="1609"/>
      <c r="HY4" s="1609"/>
      <c r="HZ4" s="1609"/>
      <c r="IA4" s="1609"/>
      <c r="IB4" s="1609"/>
      <c r="IC4" s="1609"/>
      <c r="ID4" s="1609"/>
      <c r="IE4" s="1609"/>
      <c r="IF4" s="1609"/>
      <c r="IG4" s="1609"/>
      <c r="IH4" s="1609"/>
      <c r="II4" s="1609"/>
      <c r="IJ4" s="1609"/>
      <c r="IK4" s="1609"/>
      <c r="IL4" s="1609"/>
      <c r="IM4" s="1609"/>
      <c r="IN4" s="1609"/>
      <c r="IO4" s="1609"/>
      <c r="IP4" s="1609"/>
      <c r="IQ4" s="1609"/>
      <c r="IR4" s="1609"/>
      <c r="IS4" s="1609"/>
      <c r="IT4" s="1609"/>
      <c r="IU4" s="1609"/>
      <c r="IV4" s="1609"/>
    </row>
    <row r="5" s="1595" customFormat="1" ht="20" customHeight="1" spans="1:256">
      <c r="A5" s="1611" t="s">
        <v>597</v>
      </c>
      <c r="B5" s="1612"/>
      <c r="C5" s="1612"/>
      <c r="D5" s="1612">
        <v>2</v>
      </c>
      <c r="E5" s="1612">
        <v>2</v>
      </c>
      <c r="F5" s="1612">
        <v>1</v>
      </c>
      <c r="G5" s="1612"/>
      <c r="H5" s="1612"/>
      <c r="I5" s="1612">
        <v>1</v>
      </c>
      <c r="J5" s="1612">
        <v>2</v>
      </c>
      <c r="K5" s="1612"/>
      <c r="L5" s="1612"/>
      <c r="M5" s="1612">
        <v>1</v>
      </c>
      <c r="N5" s="1612">
        <v>2</v>
      </c>
      <c r="O5" s="1612">
        <v>1</v>
      </c>
      <c r="P5" s="1612"/>
      <c r="Q5" s="1612">
        <v>2</v>
      </c>
      <c r="R5" s="1612"/>
      <c r="S5" s="1612">
        <v>1</v>
      </c>
      <c r="T5" s="1612">
        <v>1</v>
      </c>
      <c r="U5" s="1612"/>
      <c r="V5" s="1612"/>
      <c r="W5" s="1612">
        <v>1</v>
      </c>
      <c r="X5" s="1612"/>
      <c r="Y5" s="1612">
        <v>1</v>
      </c>
      <c r="Z5" s="1612"/>
      <c r="AA5" s="1612"/>
      <c r="AB5" s="1612"/>
      <c r="AC5" s="1612"/>
      <c r="AD5" s="1612">
        <v>2</v>
      </c>
      <c r="AE5" s="1612"/>
      <c r="AF5" s="1612">
        <v>2</v>
      </c>
      <c r="AG5" s="1612">
        <v>1</v>
      </c>
      <c r="AH5" s="1612">
        <v>2</v>
      </c>
      <c r="AI5" s="1612">
        <v>1</v>
      </c>
      <c r="AJ5" s="1612"/>
      <c r="AK5" s="1612">
        <v>1</v>
      </c>
      <c r="AL5" s="1612">
        <v>1</v>
      </c>
      <c r="AM5" s="1612">
        <v>2</v>
      </c>
      <c r="AN5" s="1612">
        <v>2</v>
      </c>
      <c r="AO5" s="1612"/>
      <c r="AP5" s="1612">
        <v>2</v>
      </c>
      <c r="AQ5" s="1612"/>
      <c r="AR5" s="1612"/>
      <c r="AS5" s="1612">
        <v>1</v>
      </c>
      <c r="AT5" s="1612">
        <v>2</v>
      </c>
      <c r="AU5" s="1612">
        <v>1</v>
      </c>
      <c r="AV5" s="1612"/>
      <c r="AW5" s="1612">
        <v>2</v>
      </c>
      <c r="AX5" s="1612"/>
      <c r="AY5" s="1612"/>
      <c r="AZ5" s="1612">
        <v>2</v>
      </c>
      <c r="BA5" s="1612"/>
      <c r="BB5" s="1612">
        <v>1</v>
      </c>
      <c r="BC5" s="1612"/>
      <c r="BD5" s="1612"/>
      <c r="BE5" s="1612">
        <v>2</v>
      </c>
      <c r="BF5" s="1612"/>
      <c r="BG5" s="1612">
        <v>2</v>
      </c>
      <c r="BH5" s="1612">
        <v>2</v>
      </c>
      <c r="BI5" s="1612">
        <v>2</v>
      </c>
      <c r="BJ5" s="1612">
        <v>2</v>
      </c>
      <c r="BK5" s="1612"/>
      <c r="BL5" s="1612">
        <v>1</v>
      </c>
      <c r="BM5" s="1612">
        <v>1</v>
      </c>
      <c r="BN5" s="1612">
        <v>1</v>
      </c>
      <c r="BO5" s="1612"/>
      <c r="BP5" s="1612"/>
      <c r="BQ5" s="1612"/>
      <c r="BR5" s="1612"/>
      <c r="BS5" s="1612"/>
      <c r="BT5" s="1612">
        <v>2</v>
      </c>
      <c r="BU5" s="1612"/>
      <c r="BV5" s="1612"/>
      <c r="BW5" s="1612">
        <v>2</v>
      </c>
      <c r="BX5" s="1612">
        <v>1</v>
      </c>
      <c r="BY5" s="1612"/>
      <c r="BZ5" s="1612"/>
      <c r="CA5" s="1612">
        <v>1</v>
      </c>
      <c r="CB5" s="1612">
        <v>1</v>
      </c>
      <c r="CC5" s="1612">
        <v>1</v>
      </c>
      <c r="CD5" s="1612"/>
      <c r="CE5" s="1612"/>
      <c r="CF5" s="1612">
        <v>1</v>
      </c>
      <c r="CG5" s="1612">
        <v>1</v>
      </c>
      <c r="CH5" s="1612">
        <v>1</v>
      </c>
      <c r="CI5" s="1612"/>
      <c r="CJ5" s="1612"/>
      <c r="CK5" s="1612">
        <v>1</v>
      </c>
      <c r="CL5" s="1612"/>
      <c r="CM5" s="1612">
        <v>1</v>
      </c>
      <c r="CN5" s="1612"/>
      <c r="CO5" s="1612"/>
      <c r="CP5" s="1612">
        <v>2</v>
      </c>
      <c r="CQ5" s="1612"/>
      <c r="CR5" s="1612"/>
      <c r="CS5" s="1612">
        <v>1</v>
      </c>
      <c r="CT5" s="1612"/>
      <c r="CU5" s="1612">
        <v>1</v>
      </c>
      <c r="CV5" s="1612">
        <v>2</v>
      </c>
      <c r="CW5" s="1612">
        <v>1</v>
      </c>
      <c r="CX5" s="1612">
        <v>2</v>
      </c>
      <c r="CY5" s="1612">
        <v>2</v>
      </c>
      <c r="CZ5" s="1612"/>
      <c r="DA5" s="1612">
        <v>1</v>
      </c>
      <c r="DB5" s="1612"/>
      <c r="DC5" s="1612"/>
      <c r="DD5" s="1612"/>
      <c r="DE5" s="1612">
        <v>1</v>
      </c>
      <c r="DF5" s="1612">
        <v>2</v>
      </c>
      <c r="DG5" s="1612">
        <v>2</v>
      </c>
      <c r="DH5" s="1612">
        <v>1</v>
      </c>
      <c r="DI5" s="1612">
        <v>2</v>
      </c>
      <c r="DJ5" s="1612">
        <v>2</v>
      </c>
      <c r="DK5" s="1612"/>
      <c r="DL5" s="1612"/>
      <c r="DM5" s="1612">
        <v>1</v>
      </c>
      <c r="DN5" s="1612">
        <v>1</v>
      </c>
      <c r="DO5" s="1612">
        <v>1</v>
      </c>
      <c r="DP5" s="1612">
        <v>1</v>
      </c>
      <c r="DQ5" s="1612">
        <v>3</v>
      </c>
      <c r="DR5" s="1612">
        <v>2</v>
      </c>
      <c r="DS5" s="1612">
        <v>1</v>
      </c>
      <c r="DT5" s="1612">
        <v>1</v>
      </c>
      <c r="DU5" s="1612">
        <v>1</v>
      </c>
      <c r="DV5" s="1612">
        <v>1</v>
      </c>
      <c r="DW5" s="1612">
        <v>2</v>
      </c>
      <c r="DX5" s="1612">
        <v>2</v>
      </c>
      <c r="DY5" s="1612">
        <v>2</v>
      </c>
      <c r="DZ5" s="1612">
        <v>2</v>
      </c>
      <c r="EA5" s="1612">
        <v>1</v>
      </c>
      <c r="EB5" s="1612"/>
      <c r="EC5" s="1612">
        <v>2</v>
      </c>
      <c r="ED5" s="1612"/>
      <c r="EE5" s="1612"/>
      <c r="EF5" s="1612"/>
      <c r="EG5" s="1612">
        <v>1</v>
      </c>
      <c r="EH5" s="1612">
        <v>1</v>
      </c>
      <c r="EI5" s="1612">
        <v>1</v>
      </c>
      <c r="EJ5" s="1612"/>
      <c r="EK5" s="1612">
        <v>2</v>
      </c>
      <c r="EL5" s="1612"/>
      <c r="EM5" s="1612">
        <v>1</v>
      </c>
      <c r="EN5" s="1612"/>
      <c r="EO5" s="1612"/>
      <c r="EP5" s="1612">
        <v>2</v>
      </c>
      <c r="EQ5" s="1612">
        <v>2</v>
      </c>
      <c r="ER5" s="1612">
        <v>2</v>
      </c>
      <c r="ES5" s="1612">
        <v>2</v>
      </c>
      <c r="ET5" s="1612">
        <v>2</v>
      </c>
      <c r="EU5" s="1612"/>
      <c r="EV5" s="1612">
        <v>2</v>
      </c>
      <c r="EW5" s="1612">
        <v>2</v>
      </c>
      <c r="EX5" s="1612"/>
      <c r="EY5" s="1612">
        <v>2</v>
      </c>
      <c r="EZ5" s="1612">
        <v>1</v>
      </c>
      <c r="FA5" s="1612"/>
      <c r="FB5" s="1612"/>
      <c r="FC5" s="1612">
        <v>1</v>
      </c>
      <c r="FD5" s="1612">
        <v>1</v>
      </c>
      <c r="FE5" s="1612">
        <v>1</v>
      </c>
      <c r="FF5" s="1612"/>
      <c r="FG5" s="1612"/>
      <c r="FH5" s="1612"/>
      <c r="FI5" s="1612"/>
      <c r="FJ5" s="1612"/>
      <c r="FK5" s="1612">
        <v>2</v>
      </c>
      <c r="FL5" s="1612"/>
      <c r="FM5" s="1612"/>
      <c r="FN5" s="1612"/>
      <c r="FO5" s="1612">
        <v>2</v>
      </c>
      <c r="FP5" s="1612">
        <v>1</v>
      </c>
      <c r="FQ5" s="1612"/>
      <c r="FR5" s="1612"/>
      <c r="FS5" s="1612"/>
      <c r="FT5" s="1612">
        <v>1</v>
      </c>
      <c r="FU5" s="1612"/>
      <c r="FV5" s="1612"/>
      <c r="FW5" s="1612">
        <v>2</v>
      </c>
      <c r="FX5" s="1612"/>
      <c r="FY5" s="1612"/>
      <c r="FZ5" s="1612">
        <v>1</v>
      </c>
      <c r="GA5" s="1612"/>
      <c r="GB5" s="1612"/>
      <c r="GC5" s="1612"/>
      <c r="GD5" s="1612">
        <v>1</v>
      </c>
      <c r="GE5" s="1612">
        <v>2</v>
      </c>
      <c r="GF5" s="1612">
        <v>2</v>
      </c>
      <c r="GG5" s="1612">
        <v>2</v>
      </c>
      <c r="GH5" s="1612"/>
      <c r="GI5" s="1612"/>
      <c r="GJ5" s="1612"/>
      <c r="GK5" s="1612"/>
      <c r="GL5" s="1612">
        <v>2</v>
      </c>
      <c r="GM5" s="1612">
        <v>2</v>
      </c>
      <c r="GN5" s="1612">
        <v>1</v>
      </c>
      <c r="GO5" s="1612">
        <v>2</v>
      </c>
      <c r="GP5" s="1612"/>
      <c r="GQ5" s="1612"/>
      <c r="GR5" s="1612">
        <v>1</v>
      </c>
      <c r="GS5" s="1612"/>
      <c r="GT5" s="1612"/>
      <c r="GU5" s="1612">
        <v>1</v>
      </c>
      <c r="GV5" s="1612">
        <v>1</v>
      </c>
      <c r="GW5" s="1669">
        <f>COUNTIF(GW$8:GW$77,"☯")</f>
        <v>0</v>
      </c>
      <c r="GX5" s="1612"/>
      <c r="GY5" s="1612">
        <v>1</v>
      </c>
      <c r="GZ5" s="1612">
        <v>1</v>
      </c>
      <c r="HA5" s="1612"/>
      <c r="HB5" s="1612"/>
      <c r="HC5" s="1612">
        <v>1</v>
      </c>
      <c r="HD5" s="1612">
        <v>1</v>
      </c>
      <c r="HE5" s="1612">
        <v>1</v>
      </c>
      <c r="HF5" s="1612"/>
      <c r="HG5" s="1612">
        <v>1</v>
      </c>
      <c r="HH5" s="1612">
        <v>1</v>
      </c>
      <c r="HI5" s="1612"/>
      <c r="HJ5" s="1612">
        <v>2</v>
      </c>
      <c r="HK5" s="1612">
        <v>1</v>
      </c>
      <c r="HL5" s="1612"/>
      <c r="HM5" s="1612">
        <v>2</v>
      </c>
      <c r="HN5" s="1612">
        <v>2</v>
      </c>
      <c r="HO5" s="1612"/>
      <c r="HP5" s="1612">
        <v>2</v>
      </c>
      <c r="HQ5" s="1612"/>
      <c r="HR5" s="1612">
        <v>1</v>
      </c>
      <c r="HS5" s="1612">
        <v>1</v>
      </c>
      <c r="HT5" s="1612">
        <v>1</v>
      </c>
      <c r="HU5" s="1612"/>
      <c r="HV5" s="1612">
        <v>1</v>
      </c>
      <c r="HW5" s="1612"/>
      <c r="HX5" s="1612">
        <v>1</v>
      </c>
      <c r="HY5" s="1612">
        <v>1</v>
      </c>
      <c r="HZ5" s="1612"/>
      <c r="IA5" s="1612">
        <v>2</v>
      </c>
      <c r="IB5" s="1612">
        <v>1</v>
      </c>
      <c r="IC5" s="1612"/>
      <c r="ID5" s="1612"/>
      <c r="IE5" s="1612"/>
      <c r="IF5" s="1612"/>
      <c r="IG5" s="1612"/>
      <c r="IH5" s="1612"/>
      <c r="II5" s="1612"/>
      <c r="IJ5" s="1612"/>
      <c r="IK5" s="1612"/>
      <c r="IL5" s="1612"/>
      <c r="IM5" s="1612"/>
      <c r="IN5" s="1612"/>
      <c r="IO5" s="1612"/>
      <c r="IP5" s="1612"/>
      <c r="IQ5" s="1612"/>
      <c r="IR5" s="1612"/>
      <c r="IS5" s="1612"/>
      <c r="IT5" s="1612"/>
      <c r="IU5" s="1612"/>
      <c r="IV5" s="1612"/>
    </row>
    <row r="6" s="1594" customFormat="1" ht="20" customHeight="1" spans="1:229">
      <c r="A6" s="1613" t="s">
        <v>593</v>
      </c>
      <c r="AG6" s="1594">
        <v>1</v>
      </c>
      <c r="CZ6" s="1594">
        <v>1</v>
      </c>
      <c r="DC6" s="1594">
        <v>1</v>
      </c>
      <c r="GA6" s="1594">
        <v>1</v>
      </c>
      <c r="GB6" s="1594">
        <v>1</v>
      </c>
      <c r="GS6" s="1594">
        <v>1</v>
      </c>
      <c r="GW6" s="1669">
        <f>COUNTIF(GW$8:GW$77,A6)</f>
        <v>0</v>
      </c>
      <c r="HO6" s="1594">
        <v>1</v>
      </c>
      <c r="HU6" s="1594">
        <v>1</v>
      </c>
    </row>
    <row r="7" ht="20" customHeight="1" spans="1:232">
      <c r="A7" s="1250" t="s">
        <v>77</v>
      </c>
      <c r="B7" s="1614">
        <v>2</v>
      </c>
      <c r="C7" s="1614">
        <v>2</v>
      </c>
      <c r="D7" s="1614">
        <v>1</v>
      </c>
      <c r="E7" s="1614">
        <v>2</v>
      </c>
      <c r="F7" s="1614"/>
      <c r="G7" s="1614"/>
      <c r="H7" s="1614">
        <v>1</v>
      </c>
      <c r="I7" s="1614">
        <v>1</v>
      </c>
      <c r="J7" s="1614"/>
      <c r="K7" s="1614"/>
      <c r="L7" s="1614"/>
      <c r="M7" s="1614">
        <v>2</v>
      </c>
      <c r="N7" s="1614"/>
      <c r="O7" s="1614">
        <v>1</v>
      </c>
      <c r="P7" s="1614">
        <v>1</v>
      </c>
      <c r="Q7" s="1614">
        <v>1</v>
      </c>
      <c r="R7" s="1614"/>
      <c r="S7" s="1614"/>
      <c r="T7" s="1614"/>
      <c r="U7" s="1614">
        <v>2</v>
      </c>
      <c r="V7" s="1614">
        <v>1</v>
      </c>
      <c r="W7" s="1614">
        <v>1</v>
      </c>
      <c r="X7" s="1614">
        <v>2</v>
      </c>
      <c r="Y7" s="1614">
        <v>2</v>
      </c>
      <c r="Z7" s="1614"/>
      <c r="AA7" s="1614">
        <v>2</v>
      </c>
      <c r="AB7" s="1614"/>
      <c r="AC7" s="1614">
        <v>1</v>
      </c>
      <c r="AD7" s="1614"/>
      <c r="AE7" s="1614"/>
      <c r="AF7" s="1614"/>
      <c r="AG7" s="1614"/>
      <c r="AH7" s="1614">
        <v>1</v>
      </c>
      <c r="AI7" s="1614">
        <v>1</v>
      </c>
      <c r="AJ7" s="1614">
        <v>1</v>
      </c>
      <c r="AK7" s="1614"/>
      <c r="AL7" s="1614"/>
      <c r="AM7" s="1614">
        <v>2</v>
      </c>
      <c r="AN7" s="1614"/>
      <c r="AO7" s="1614">
        <v>1</v>
      </c>
      <c r="AP7" s="1614">
        <v>3</v>
      </c>
      <c r="AQ7" s="1614">
        <v>1</v>
      </c>
      <c r="AR7" s="1614">
        <v>2</v>
      </c>
      <c r="AS7" s="1614">
        <v>2</v>
      </c>
      <c r="AT7" s="1614">
        <v>1</v>
      </c>
      <c r="AU7" s="1614">
        <v>1</v>
      </c>
      <c r="AV7" s="1614">
        <v>1</v>
      </c>
      <c r="AW7" s="1614">
        <v>1</v>
      </c>
      <c r="AX7" s="1614"/>
      <c r="AY7" s="1614">
        <v>1</v>
      </c>
      <c r="AZ7" s="1614">
        <v>2</v>
      </c>
      <c r="BA7" s="1614"/>
      <c r="BB7" s="1614">
        <v>1</v>
      </c>
      <c r="BC7" s="1614">
        <v>1</v>
      </c>
      <c r="BD7" s="1614"/>
      <c r="BE7" s="1614">
        <v>1</v>
      </c>
      <c r="BF7" s="1614"/>
      <c r="BG7" s="1614"/>
      <c r="BH7" s="1614"/>
      <c r="BI7" s="1614">
        <v>2</v>
      </c>
      <c r="BJ7" s="1614"/>
      <c r="BK7" s="1614">
        <v>1</v>
      </c>
      <c r="BL7" s="1614"/>
      <c r="BM7" s="1614">
        <v>2</v>
      </c>
      <c r="BN7" s="1614"/>
      <c r="BO7" s="1614"/>
      <c r="BP7" s="1614">
        <v>1</v>
      </c>
      <c r="BQ7" s="1614">
        <v>1</v>
      </c>
      <c r="BR7" s="1614"/>
      <c r="BS7" s="1614">
        <v>1</v>
      </c>
      <c r="BT7" s="1614">
        <v>2</v>
      </c>
      <c r="BU7" s="1614">
        <v>4</v>
      </c>
      <c r="BV7" s="1614">
        <v>2</v>
      </c>
      <c r="BW7" s="1614">
        <v>1</v>
      </c>
      <c r="BX7" s="1614">
        <v>2</v>
      </c>
      <c r="BY7" s="1614"/>
      <c r="BZ7" s="1614"/>
      <c r="CA7" s="1614">
        <v>4</v>
      </c>
      <c r="CB7" s="1614"/>
      <c r="CC7" s="1614">
        <v>1</v>
      </c>
      <c r="CD7" s="1614"/>
      <c r="CE7" s="1614">
        <v>1</v>
      </c>
      <c r="CF7" s="1614"/>
      <c r="CG7" s="1614">
        <v>2</v>
      </c>
      <c r="CH7" s="1614">
        <v>2</v>
      </c>
      <c r="CI7" s="1614">
        <v>2</v>
      </c>
      <c r="CJ7" s="1614">
        <v>1</v>
      </c>
      <c r="CK7" s="1614">
        <v>1</v>
      </c>
      <c r="CL7" s="1614"/>
      <c r="CM7" s="1614">
        <v>1</v>
      </c>
      <c r="CN7" s="1614">
        <v>4</v>
      </c>
      <c r="CO7" s="1614">
        <v>1</v>
      </c>
      <c r="CP7" s="1614">
        <v>1</v>
      </c>
      <c r="CQ7" s="1614"/>
      <c r="CR7" s="1614">
        <v>2</v>
      </c>
      <c r="CS7" s="1614">
        <v>3</v>
      </c>
      <c r="CT7" s="1614"/>
      <c r="CU7" s="1614"/>
      <c r="CV7" s="1614">
        <v>1</v>
      </c>
      <c r="CW7" s="1614"/>
      <c r="CX7" s="1614">
        <v>1</v>
      </c>
      <c r="CY7" s="1614"/>
      <c r="CZ7" s="1614"/>
      <c r="DA7" s="1614"/>
      <c r="DB7" s="1614">
        <v>5</v>
      </c>
      <c r="DC7" s="1614"/>
      <c r="DD7" s="1614"/>
      <c r="DE7" s="1614"/>
      <c r="DF7" s="1614"/>
      <c r="DG7" s="1614">
        <v>1</v>
      </c>
      <c r="DH7" s="1614">
        <v>2</v>
      </c>
      <c r="DI7" s="1614">
        <v>2</v>
      </c>
      <c r="DJ7" s="1614">
        <v>3</v>
      </c>
      <c r="DK7" s="1614"/>
      <c r="DL7" s="1614"/>
      <c r="DM7" s="1614">
        <v>1</v>
      </c>
      <c r="DN7" s="1614">
        <v>1</v>
      </c>
      <c r="DO7" s="1614">
        <v>1</v>
      </c>
      <c r="DP7" s="1614">
        <v>1</v>
      </c>
      <c r="DQ7" s="1614">
        <v>1</v>
      </c>
      <c r="DR7" s="1614">
        <v>2</v>
      </c>
      <c r="DS7" s="1614">
        <v>1</v>
      </c>
      <c r="DT7" s="1614">
        <v>1</v>
      </c>
      <c r="DU7" s="1614">
        <v>1</v>
      </c>
      <c r="DV7" s="1614"/>
      <c r="DW7" s="1614">
        <v>2</v>
      </c>
      <c r="DX7" s="1614"/>
      <c r="DY7" s="1614">
        <v>1</v>
      </c>
      <c r="DZ7" s="1614">
        <v>2</v>
      </c>
      <c r="EA7" s="1614">
        <v>1</v>
      </c>
      <c r="EB7" s="1614">
        <v>2</v>
      </c>
      <c r="EC7" s="1614">
        <v>2</v>
      </c>
      <c r="ED7" s="1614">
        <v>2</v>
      </c>
      <c r="EE7" s="1614">
        <v>2</v>
      </c>
      <c r="EF7" s="1614">
        <v>2</v>
      </c>
      <c r="EG7" s="1614">
        <v>1</v>
      </c>
      <c r="EH7" s="1614">
        <v>2</v>
      </c>
      <c r="EI7" s="1614">
        <v>2</v>
      </c>
      <c r="EJ7" s="1614">
        <v>1</v>
      </c>
      <c r="EK7" s="1614">
        <v>1</v>
      </c>
      <c r="EL7" s="1614">
        <v>1</v>
      </c>
      <c r="EM7" s="1614">
        <v>3</v>
      </c>
      <c r="EN7" s="1614">
        <v>2</v>
      </c>
      <c r="EO7" s="1614">
        <v>2</v>
      </c>
      <c r="EP7" s="1614">
        <v>1</v>
      </c>
      <c r="EQ7" s="1614">
        <v>1</v>
      </c>
      <c r="ER7" s="1614">
        <v>4</v>
      </c>
      <c r="ES7" s="1614">
        <v>2</v>
      </c>
      <c r="ET7" s="1614">
        <v>2</v>
      </c>
      <c r="EU7" s="1614">
        <v>1</v>
      </c>
      <c r="EV7" s="1614">
        <v>2</v>
      </c>
      <c r="EW7" s="1614">
        <v>2</v>
      </c>
      <c r="EX7" s="1614"/>
      <c r="EY7" s="1614">
        <v>1</v>
      </c>
      <c r="EZ7" s="1614"/>
      <c r="FA7" s="1614"/>
      <c r="FB7" s="1614">
        <v>3</v>
      </c>
      <c r="FC7" s="1614">
        <v>1</v>
      </c>
      <c r="FD7" s="1614">
        <v>1</v>
      </c>
      <c r="FE7" s="1614">
        <v>1</v>
      </c>
      <c r="FF7" s="1614">
        <v>2</v>
      </c>
      <c r="FG7" s="1614">
        <v>0</v>
      </c>
      <c r="FH7" s="1614">
        <v>1</v>
      </c>
      <c r="FI7" s="1614">
        <v>1</v>
      </c>
      <c r="FJ7" s="1614"/>
      <c r="FK7" s="1614">
        <v>2</v>
      </c>
      <c r="FL7" s="1614">
        <v>1</v>
      </c>
      <c r="FM7" s="1614">
        <v>2</v>
      </c>
      <c r="FN7" s="1614"/>
      <c r="FO7" s="1614">
        <v>1</v>
      </c>
      <c r="FP7" s="1614"/>
      <c r="FQ7" s="1614">
        <v>2</v>
      </c>
      <c r="FR7" s="1614">
        <v>1</v>
      </c>
      <c r="FS7" s="1614"/>
      <c r="FT7" s="1614">
        <v>1</v>
      </c>
      <c r="FU7" s="1614">
        <v>1</v>
      </c>
      <c r="FV7" s="1614"/>
      <c r="FW7" s="1614">
        <v>2</v>
      </c>
      <c r="FX7" s="1614">
        <v>1</v>
      </c>
      <c r="FY7" s="1614"/>
      <c r="FZ7" s="1614"/>
      <c r="GA7" s="1614"/>
      <c r="GB7" s="1614"/>
      <c r="GC7" s="1614"/>
      <c r="GD7" s="1614"/>
      <c r="GE7" s="1614">
        <v>2</v>
      </c>
      <c r="GF7" s="1614">
        <v>2</v>
      </c>
      <c r="GG7" s="1614">
        <v>2</v>
      </c>
      <c r="GH7" s="1614">
        <v>2</v>
      </c>
      <c r="GI7" s="1614">
        <v>2</v>
      </c>
      <c r="GJ7" s="1614">
        <v>2</v>
      </c>
      <c r="GK7" s="1614">
        <v>2</v>
      </c>
      <c r="GL7" s="1614"/>
      <c r="GM7" s="1614">
        <v>2</v>
      </c>
      <c r="GN7" s="1614"/>
      <c r="GO7" s="1614">
        <v>1</v>
      </c>
      <c r="GP7" s="1614">
        <v>2</v>
      </c>
      <c r="GQ7" s="1614">
        <v>1</v>
      </c>
      <c r="GR7" s="1614">
        <v>2</v>
      </c>
      <c r="GS7" s="1614"/>
      <c r="GT7" s="1614">
        <v>3</v>
      </c>
      <c r="GU7" s="1614"/>
      <c r="GV7" s="1614">
        <v>2</v>
      </c>
      <c r="GW7" s="1669">
        <f>职业列表!K11</f>
        <v>0</v>
      </c>
      <c r="GX7" s="1614"/>
      <c r="GY7" s="1614">
        <v>1</v>
      </c>
      <c r="GZ7" s="1614">
        <v>2</v>
      </c>
      <c r="HA7" s="1614">
        <v>3</v>
      </c>
      <c r="HB7" s="1614">
        <v>2</v>
      </c>
      <c r="HC7" s="1614">
        <v>2</v>
      </c>
      <c r="HD7" s="1614">
        <v>1</v>
      </c>
      <c r="HE7" s="1614">
        <v>2</v>
      </c>
      <c r="HF7" s="1614">
        <v>2</v>
      </c>
      <c r="HG7" s="1614">
        <v>1</v>
      </c>
      <c r="HH7" s="1614">
        <v>1</v>
      </c>
      <c r="HI7" s="1614">
        <v>6</v>
      </c>
      <c r="HJ7" s="1614">
        <v>3</v>
      </c>
      <c r="HK7" s="1614"/>
      <c r="HL7" s="1614"/>
      <c r="HM7" s="1614">
        <v>1</v>
      </c>
      <c r="HN7" s="1614"/>
      <c r="HO7" s="1614">
        <v>1</v>
      </c>
      <c r="HP7" s="1614">
        <v>2</v>
      </c>
      <c r="HQ7" s="1614">
        <v>2</v>
      </c>
      <c r="HR7" s="1614"/>
      <c r="HS7" s="1614">
        <v>6</v>
      </c>
      <c r="HT7" s="1614">
        <v>6</v>
      </c>
      <c r="HU7" s="1614">
        <v>1</v>
      </c>
      <c r="HV7" s="1614">
        <v>1</v>
      </c>
      <c r="HW7" s="1614">
        <v>2</v>
      </c>
      <c r="HX7" s="1614"/>
    </row>
    <row r="8" ht="20" customHeight="1" spans="1:256">
      <c r="A8" s="1615" t="s">
        <v>69</v>
      </c>
      <c r="B8" s="1616" t="s">
        <v>101</v>
      </c>
      <c r="C8" s="1616"/>
      <c r="D8" s="1616"/>
      <c r="E8" s="1616"/>
      <c r="F8" s="1616"/>
      <c r="G8" s="1616"/>
      <c r="H8" s="1616"/>
      <c r="I8" s="1616"/>
      <c r="J8" s="1616" t="s">
        <v>101</v>
      </c>
      <c r="K8" s="1616"/>
      <c r="L8" s="1616" t="s">
        <v>101</v>
      </c>
      <c r="M8" s="1616"/>
      <c r="N8" s="1616"/>
      <c r="O8" s="1616"/>
      <c r="P8" s="1616"/>
      <c r="Q8" s="1616" t="s">
        <v>101</v>
      </c>
      <c r="R8" s="1616"/>
      <c r="S8" s="1616" t="s">
        <v>101</v>
      </c>
      <c r="T8" s="1616"/>
      <c r="U8" s="1616"/>
      <c r="V8" s="1651" t="s">
        <v>589</v>
      </c>
      <c r="W8" s="1616" t="s">
        <v>101</v>
      </c>
      <c r="X8" s="1616"/>
      <c r="Y8" s="1616"/>
      <c r="Z8" s="1616"/>
      <c r="AA8" s="1616" t="s">
        <v>101</v>
      </c>
      <c r="AB8" s="1616"/>
      <c r="AC8" s="1616"/>
      <c r="AD8" s="1616"/>
      <c r="AE8" s="1616"/>
      <c r="AF8" s="1616"/>
      <c r="AG8" s="1616"/>
      <c r="AH8" s="1616"/>
      <c r="AI8" s="1616" t="s">
        <v>101</v>
      </c>
      <c r="AJ8" s="1616" t="s">
        <v>101</v>
      </c>
      <c r="AK8" s="1616"/>
      <c r="AL8" s="1616"/>
      <c r="AM8" s="1616" t="s">
        <v>101</v>
      </c>
      <c r="AN8" s="1616"/>
      <c r="AO8" s="1616" t="s">
        <v>101</v>
      </c>
      <c r="AP8" s="1616"/>
      <c r="AQ8" s="1616"/>
      <c r="AR8" s="1616"/>
      <c r="AS8" s="1616"/>
      <c r="AT8" s="1616"/>
      <c r="AU8" s="1616" t="s">
        <v>101</v>
      </c>
      <c r="AV8" s="1616" t="s">
        <v>101</v>
      </c>
      <c r="AW8" s="1616" t="s">
        <v>101</v>
      </c>
      <c r="AX8" s="1616"/>
      <c r="AY8" s="1616"/>
      <c r="AZ8" s="1616"/>
      <c r="BA8" s="1616"/>
      <c r="BB8" s="1616"/>
      <c r="BC8" s="1616"/>
      <c r="BD8" s="1616"/>
      <c r="BE8" s="1616"/>
      <c r="BF8" s="1616"/>
      <c r="BG8" s="1649" t="s">
        <v>101</v>
      </c>
      <c r="BH8" s="1616"/>
      <c r="BI8" s="1616"/>
      <c r="BJ8" s="1616"/>
      <c r="BK8" s="1616"/>
      <c r="BL8" s="1616"/>
      <c r="BM8" s="1616"/>
      <c r="BN8" s="1616"/>
      <c r="BO8" s="1616"/>
      <c r="BP8" s="1616"/>
      <c r="BQ8" s="1616"/>
      <c r="BR8" s="1616"/>
      <c r="BS8" s="1616"/>
      <c r="BT8" s="1616" t="s">
        <v>101</v>
      </c>
      <c r="BU8" s="1616" t="s">
        <v>101</v>
      </c>
      <c r="BV8" s="1616"/>
      <c r="BW8" s="1616" t="s">
        <v>101</v>
      </c>
      <c r="BX8" s="1616"/>
      <c r="BY8" s="1616"/>
      <c r="BZ8" s="1616" t="s">
        <v>101</v>
      </c>
      <c r="CA8" s="1616"/>
      <c r="CB8" s="1616"/>
      <c r="CC8" s="1616"/>
      <c r="CD8" s="1616"/>
      <c r="CE8" s="1616"/>
      <c r="CF8" s="1616" t="s">
        <v>101</v>
      </c>
      <c r="CG8" s="1616"/>
      <c r="CH8" s="1616"/>
      <c r="CI8" s="1616"/>
      <c r="CJ8" s="1616" t="s">
        <v>101</v>
      </c>
      <c r="CK8" s="1616"/>
      <c r="CL8" s="1616"/>
      <c r="CM8" s="1616"/>
      <c r="CN8" s="1616"/>
      <c r="CO8" s="1616"/>
      <c r="CP8" s="1616"/>
      <c r="CQ8" s="1616"/>
      <c r="CR8" s="1616" t="s">
        <v>101</v>
      </c>
      <c r="CS8" s="1616"/>
      <c r="CT8" s="1616"/>
      <c r="CU8" s="1616"/>
      <c r="CV8" s="1616" t="s">
        <v>101</v>
      </c>
      <c r="CW8" s="1616"/>
      <c r="CX8" s="1616" t="s">
        <v>101</v>
      </c>
      <c r="CY8" s="1616" t="s">
        <v>101</v>
      </c>
      <c r="CZ8" s="1616"/>
      <c r="DA8" s="1616"/>
      <c r="DB8" s="1616"/>
      <c r="DC8" s="1616"/>
      <c r="DD8" s="1616"/>
      <c r="DE8" s="1616" t="s">
        <v>101</v>
      </c>
      <c r="DF8" s="1616" t="s">
        <v>101</v>
      </c>
      <c r="DG8" s="1616" t="s">
        <v>101</v>
      </c>
      <c r="DH8" s="1616" t="s">
        <v>101</v>
      </c>
      <c r="DI8" s="1616" t="s">
        <v>101</v>
      </c>
      <c r="DJ8" s="1616"/>
      <c r="DK8" s="1616" t="s">
        <v>101</v>
      </c>
      <c r="DL8" s="1616"/>
      <c r="DM8" s="1616"/>
      <c r="DN8" s="1616"/>
      <c r="DO8" s="1616"/>
      <c r="DP8" s="1616"/>
      <c r="DQ8" s="1616"/>
      <c r="DR8" s="1651" t="s">
        <v>101</v>
      </c>
      <c r="DS8" s="1651" t="s">
        <v>101</v>
      </c>
      <c r="DT8" s="1651" t="s">
        <v>101</v>
      </c>
      <c r="DU8" s="1616"/>
      <c r="DV8" s="1616"/>
      <c r="DW8" s="1616"/>
      <c r="DX8" s="1616"/>
      <c r="DY8" s="1651" t="s">
        <v>101</v>
      </c>
      <c r="DZ8" s="1651" t="s">
        <v>101</v>
      </c>
      <c r="EA8" s="1616"/>
      <c r="EB8" s="1651" t="s">
        <v>101</v>
      </c>
      <c r="EC8" s="1651" t="s">
        <v>101</v>
      </c>
      <c r="ED8" s="1616"/>
      <c r="EE8" s="1616"/>
      <c r="EF8" s="1616"/>
      <c r="EG8" s="1651" t="s">
        <v>101</v>
      </c>
      <c r="EH8" s="1651" t="s">
        <v>101</v>
      </c>
      <c r="EI8" s="1616"/>
      <c r="EJ8" s="1616"/>
      <c r="EK8" s="1651" t="s">
        <v>101</v>
      </c>
      <c r="EL8" s="1616"/>
      <c r="EM8" s="1651" t="s">
        <v>101</v>
      </c>
      <c r="EN8" s="1616"/>
      <c r="EO8" s="1616"/>
      <c r="EP8" s="1651" t="s">
        <v>101</v>
      </c>
      <c r="EQ8" s="1651" t="s">
        <v>101</v>
      </c>
      <c r="ER8" s="1651" t="s">
        <v>101</v>
      </c>
      <c r="ES8" s="1616"/>
      <c r="ET8" s="1651" t="s">
        <v>101</v>
      </c>
      <c r="EU8" s="1651" t="s">
        <v>101</v>
      </c>
      <c r="EV8" s="1616"/>
      <c r="EW8" s="1651" t="s">
        <v>101</v>
      </c>
      <c r="EX8" s="1616"/>
      <c r="EY8" s="1616"/>
      <c r="EZ8" s="1616"/>
      <c r="FA8" s="1616"/>
      <c r="FB8" s="1616"/>
      <c r="FC8" s="1616"/>
      <c r="FD8" s="1616"/>
      <c r="FE8" s="1616"/>
      <c r="FF8" s="1616"/>
      <c r="FG8" s="1616"/>
      <c r="FH8" s="1616"/>
      <c r="FI8" s="1616"/>
      <c r="FJ8" s="1616"/>
      <c r="FK8" s="1616"/>
      <c r="FL8" s="1616"/>
      <c r="FM8" s="1616"/>
      <c r="FN8" s="1616"/>
      <c r="FO8" s="1616"/>
      <c r="FP8" s="1616"/>
      <c r="FQ8" s="1651" t="s">
        <v>101</v>
      </c>
      <c r="FR8" s="1616"/>
      <c r="FS8" s="1616"/>
      <c r="FT8" s="1651" t="s">
        <v>101</v>
      </c>
      <c r="FU8" s="1616"/>
      <c r="FV8" s="1616"/>
      <c r="FW8" s="1616"/>
      <c r="FX8" s="1651" t="s">
        <v>101</v>
      </c>
      <c r="FY8" s="1616"/>
      <c r="FZ8" s="1616"/>
      <c r="GA8" s="1616"/>
      <c r="GB8" s="1616"/>
      <c r="GC8" s="1616"/>
      <c r="GD8" s="1616"/>
      <c r="GE8" s="1616"/>
      <c r="GF8" s="1616"/>
      <c r="GG8" s="1616"/>
      <c r="GH8" s="1616"/>
      <c r="GI8" s="1616"/>
      <c r="GJ8" s="1616"/>
      <c r="GK8" s="1616"/>
      <c r="GL8" s="1616"/>
      <c r="GM8" s="1616"/>
      <c r="GN8" s="1616"/>
      <c r="GO8" s="1616"/>
      <c r="GP8" s="1616"/>
      <c r="GQ8" s="1616"/>
      <c r="GR8" s="1616"/>
      <c r="GS8" s="1616"/>
      <c r="GT8" s="1616"/>
      <c r="GU8" s="1616"/>
      <c r="GV8" s="1616"/>
      <c r="GW8" s="1669">
        <f>IF(职业列表!$W$27=0,0,_xlfn.IFS(IF(IFERROR(VLOOKUP(A8,职业列表!$J$3:$K$10,1,FALSE),"%^&amp;@%##@^")=A8,1,0)=1,"★",IF(IFERROR(VLOOKUP(A8,职业列表!$J$31:$J$39,1,FALSE),"%^&amp;@%##@^")=A8,1,0)=1,职业列表!$V$25,IF(IFERROR(VLOOKUP(A8,职业列表!$J$43:$J$51,1,FALSE),"%^&amp;@%##@^")=A8,1,0)=1,职业列表!$V$26,IF(IFERROR(VLOOKUP(A8,职业列表!$J$55:$J$63,1,FALSE),"%^&amp;@%##@^")=A8,1,0)=1,职业列表!$V$27,IF(IFERROR(VLOOKUP(A8,职业列表!$J$3:$K$10,1,FALSE),"%^&amp;@%##@^")=A8,1,0)+IF(IFERROR(VLOOKUP(A8,职业列表!$J$31:$J$39,1,FALSE),"%^&amp;@%##@^")=A8,1,0)+IF(IFERROR(VLOOKUP(A8,职业列表!$J$43:$J$51,1,FALSE),"%^&amp;@%##@^")=A8,1,0)+IF(IFERROR(VLOOKUP(A8,职业列表!$J$55:$J$63,1,FALSE),"%^&amp;@%##@^")=A8,1,0)=0,0))</f>
        <v>0</v>
      </c>
      <c r="GX8" s="1616"/>
      <c r="GY8" s="1616"/>
      <c r="GZ8" s="1649" t="s">
        <v>101</v>
      </c>
      <c r="HA8" s="1616"/>
      <c r="HB8" s="1616"/>
      <c r="HC8" s="1616"/>
      <c r="HD8" s="1616"/>
      <c r="HE8" s="1616"/>
      <c r="HF8" s="1616"/>
      <c r="HG8" s="1649" t="s">
        <v>101</v>
      </c>
      <c r="HH8" s="1616"/>
      <c r="HI8" s="1616"/>
      <c r="HJ8" s="1616"/>
      <c r="HK8" s="1616"/>
      <c r="HL8" s="1616"/>
      <c r="HM8" s="1649" t="s">
        <v>101</v>
      </c>
      <c r="HN8" s="1616"/>
      <c r="HO8" s="1616"/>
      <c r="HP8" s="1651" t="s">
        <v>101</v>
      </c>
      <c r="HQ8" s="1616"/>
      <c r="HR8" s="1616"/>
      <c r="HS8" s="1616"/>
      <c r="HT8" s="1616"/>
      <c r="HU8" s="1616" t="s">
        <v>593</v>
      </c>
      <c r="HV8" s="1649" t="s">
        <v>101</v>
      </c>
      <c r="HW8" s="1616"/>
      <c r="HX8" s="1616"/>
      <c r="HY8" s="1681"/>
      <c r="HZ8" s="1681"/>
      <c r="IA8" s="1681"/>
      <c r="IB8" s="1681"/>
      <c r="IC8" s="1681"/>
      <c r="ID8" s="1681"/>
      <c r="IE8" s="1681"/>
      <c r="IF8" s="1681"/>
      <c r="IG8" s="1681"/>
      <c r="IH8" s="1681"/>
      <c r="II8" s="1681"/>
      <c r="IJ8" s="1681"/>
      <c r="IK8" s="1681"/>
      <c r="IL8" s="1681"/>
      <c r="IM8" s="1681"/>
      <c r="IN8" s="1681"/>
      <c r="IO8" s="1681"/>
      <c r="IP8" s="1681"/>
      <c r="IQ8" s="1681"/>
      <c r="IR8" s="1681"/>
      <c r="IS8" s="1681"/>
      <c r="IT8" s="1681"/>
      <c r="IU8" s="1681"/>
      <c r="IV8" s="1681"/>
    </row>
    <row r="9" ht="20" customHeight="1" spans="1:256">
      <c r="A9" s="1615" t="s">
        <v>71</v>
      </c>
      <c r="B9" s="1616"/>
      <c r="C9" s="1616"/>
      <c r="D9" s="1616"/>
      <c r="E9" s="1616"/>
      <c r="F9" s="1616"/>
      <c r="G9" s="1616"/>
      <c r="H9" s="1616"/>
      <c r="I9" s="1616"/>
      <c r="J9" s="1616"/>
      <c r="K9" s="1616"/>
      <c r="L9" s="1616"/>
      <c r="M9" s="1616"/>
      <c r="N9" s="1616"/>
      <c r="O9" s="1616"/>
      <c r="P9" s="1616"/>
      <c r="Q9" s="1616"/>
      <c r="R9" s="1616"/>
      <c r="S9" s="1616"/>
      <c r="T9" s="1616"/>
      <c r="U9" s="1616"/>
      <c r="V9" s="1616"/>
      <c r="W9" s="1616"/>
      <c r="X9" s="1616"/>
      <c r="Y9" s="1616"/>
      <c r="Z9" s="1616"/>
      <c r="AA9" s="1616"/>
      <c r="AB9" s="1616"/>
      <c r="AC9" s="1616"/>
      <c r="AD9" s="1616"/>
      <c r="AE9" s="1616"/>
      <c r="AF9" s="1616"/>
      <c r="AG9" s="1616"/>
      <c r="AH9" s="1616"/>
      <c r="AI9" s="1616"/>
      <c r="AJ9" s="1616"/>
      <c r="AK9" s="1616"/>
      <c r="AL9" s="1616"/>
      <c r="AM9" s="1616"/>
      <c r="AN9" s="1616"/>
      <c r="AO9" s="1616"/>
      <c r="AP9" s="1616"/>
      <c r="AQ9" s="1616"/>
      <c r="AR9" s="1616"/>
      <c r="AS9" s="1616"/>
      <c r="AT9" s="1616"/>
      <c r="AU9" s="1616"/>
      <c r="AV9" s="1616"/>
      <c r="AW9" s="1616"/>
      <c r="AX9" s="1616"/>
      <c r="AY9" s="1616"/>
      <c r="AZ9" s="1616"/>
      <c r="BA9" s="1616"/>
      <c r="BB9" s="1616"/>
      <c r="BC9" s="1616"/>
      <c r="BD9" s="1616"/>
      <c r="BE9" s="1616"/>
      <c r="BF9" s="1616"/>
      <c r="BG9" s="1616"/>
      <c r="BH9" s="1616"/>
      <c r="BI9" s="1616"/>
      <c r="BJ9" s="1616"/>
      <c r="BK9" s="1616"/>
      <c r="BL9" s="1616"/>
      <c r="BM9" s="1616"/>
      <c r="BN9" s="1616"/>
      <c r="BO9" s="1616"/>
      <c r="BP9" s="1616"/>
      <c r="BQ9" s="1616"/>
      <c r="BR9" s="1616"/>
      <c r="BS9" s="1616"/>
      <c r="BT9" s="1616"/>
      <c r="BU9" s="1616"/>
      <c r="BV9" s="1616"/>
      <c r="BW9" s="1616"/>
      <c r="BX9" s="1616"/>
      <c r="BY9" s="1616"/>
      <c r="BZ9" s="1616"/>
      <c r="CA9" s="1616"/>
      <c r="CB9" s="1616"/>
      <c r="CC9" s="1616" t="s">
        <v>101</v>
      </c>
      <c r="CD9" s="1616"/>
      <c r="CE9" s="1616" t="s">
        <v>101</v>
      </c>
      <c r="CF9" s="1616"/>
      <c r="CG9" s="1616"/>
      <c r="CH9" s="1616"/>
      <c r="CI9" s="1616"/>
      <c r="CJ9" s="1616"/>
      <c r="CK9" s="1616"/>
      <c r="CL9" s="1616"/>
      <c r="CM9" s="1616"/>
      <c r="CN9" s="1616"/>
      <c r="CO9" s="1616"/>
      <c r="CP9" s="1616"/>
      <c r="CQ9" s="1616"/>
      <c r="CR9" s="1616"/>
      <c r="CS9" s="1616"/>
      <c r="CT9" s="1616"/>
      <c r="CU9" s="1616"/>
      <c r="CV9" s="1616"/>
      <c r="CW9" s="1616"/>
      <c r="CX9" s="1616"/>
      <c r="CY9" s="1616"/>
      <c r="CZ9" s="1616"/>
      <c r="DA9" s="1616"/>
      <c r="DB9" s="1616"/>
      <c r="DC9" s="1616"/>
      <c r="DD9" s="1616"/>
      <c r="DE9" s="1616"/>
      <c r="DF9" s="1616"/>
      <c r="DG9" s="1616"/>
      <c r="DH9" s="1616"/>
      <c r="DI9" s="1616"/>
      <c r="DJ9" s="1616"/>
      <c r="DK9" s="1616"/>
      <c r="DL9" s="1616"/>
      <c r="DM9" s="1616"/>
      <c r="DN9" s="1616"/>
      <c r="DO9" s="1616"/>
      <c r="DP9" s="1616"/>
      <c r="DQ9" s="1616"/>
      <c r="DR9" s="1616"/>
      <c r="DS9" s="1616"/>
      <c r="DT9" s="1616"/>
      <c r="DU9" s="1616"/>
      <c r="DV9" s="1616"/>
      <c r="DW9" s="1616"/>
      <c r="DX9" s="1616"/>
      <c r="DY9" s="1616"/>
      <c r="DZ9" s="1616"/>
      <c r="EA9" s="1616"/>
      <c r="EB9" s="1616"/>
      <c r="EC9" s="1616"/>
      <c r="ED9" s="1616"/>
      <c r="EE9" s="1616"/>
      <c r="EF9" s="1616"/>
      <c r="EG9" s="1616"/>
      <c r="EH9" s="1616"/>
      <c r="EI9" s="1616"/>
      <c r="EJ9" s="1616"/>
      <c r="EK9" s="1616"/>
      <c r="EL9" s="1651" t="s">
        <v>101</v>
      </c>
      <c r="EM9" s="1616"/>
      <c r="EN9" s="1616"/>
      <c r="EO9" s="1616"/>
      <c r="EP9" s="1616"/>
      <c r="EQ9" s="1616"/>
      <c r="ER9" s="1616"/>
      <c r="ES9" s="1616"/>
      <c r="ET9" s="1616"/>
      <c r="EU9" s="1616"/>
      <c r="EV9" s="1616"/>
      <c r="EW9" s="1616"/>
      <c r="EX9" s="1616"/>
      <c r="EY9" s="1616"/>
      <c r="EZ9" s="1616"/>
      <c r="FA9" s="1616"/>
      <c r="FB9" s="1616"/>
      <c r="FC9" s="1616"/>
      <c r="FD9" s="1616"/>
      <c r="FE9" s="1616"/>
      <c r="FF9" s="1616"/>
      <c r="FG9" s="1616"/>
      <c r="FH9" s="1616"/>
      <c r="FI9" s="1616"/>
      <c r="FJ9" s="1616"/>
      <c r="FK9" s="1616"/>
      <c r="FL9" s="1616"/>
      <c r="FM9" s="1616"/>
      <c r="FN9" s="1616"/>
      <c r="FO9" s="1616"/>
      <c r="FP9" s="1616"/>
      <c r="FQ9" s="1616"/>
      <c r="FR9" s="1616"/>
      <c r="FS9" s="1616"/>
      <c r="FT9" s="1616"/>
      <c r="FU9" s="1616"/>
      <c r="FV9" s="1616"/>
      <c r="FW9" s="1616"/>
      <c r="FX9" s="1616"/>
      <c r="FY9" s="1616"/>
      <c r="FZ9" s="1616"/>
      <c r="GA9" s="1616"/>
      <c r="GB9" s="1616"/>
      <c r="GC9" s="1616"/>
      <c r="GD9" s="1616"/>
      <c r="GE9" s="1616"/>
      <c r="GF9" s="1616"/>
      <c r="GG9" s="1616"/>
      <c r="GH9" s="1616"/>
      <c r="GI9" s="1616"/>
      <c r="GJ9" s="1616"/>
      <c r="GK9" s="1616"/>
      <c r="GL9" s="1616"/>
      <c r="GM9" s="1616"/>
      <c r="GN9" s="1616"/>
      <c r="GO9" s="1616"/>
      <c r="GP9" s="1616"/>
      <c r="GQ9" s="1616"/>
      <c r="GR9" s="1616"/>
      <c r="GS9" s="1616"/>
      <c r="GT9" s="1616"/>
      <c r="GU9" s="1616"/>
      <c r="GV9" s="1616"/>
      <c r="GW9" s="1669">
        <f>IF(职业列表!$W$27=0,0,_xlfn.IFS(IF(IFERROR(VLOOKUP(A9,职业列表!$J$3:$K$10,1,FALSE),"%^&amp;@%##@^")=A9,1,0)=1,"★",IF(IFERROR(VLOOKUP(A9,职业列表!$J$31:$J$39,1,FALSE),"%^&amp;@%##@^")=A9,1,0)=1,职业列表!$V$25,IF(IFERROR(VLOOKUP(A9,职业列表!$J$43:$J$51,1,FALSE),"%^&amp;@%##@^")=A9,1,0)=1,职业列表!$V$26,IF(IFERROR(VLOOKUP(A9,职业列表!$J$55:$J$63,1,FALSE),"%^&amp;@%##@^")=A9,1,0)=1,职业列表!$V$27,IF(IFERROR(VLOOKUP(A9,职业列表!$J$3:$K$10,1,FALSE),"%^&amp;@%##@^")=A9,1,0)+IF(IFERROR(VLOOKUP(A9,职业列表!$J$31:$J$39,1,FALSE),"%^&amp;@%##@^")=A9,1,0)+IF(IFERROR(VLOOKUP(A9,职业列表!$J$43:$J$51,1,FALSE),"%^&amp;@%##@^")=A9,1,0)+IF(IFERROR(VLOOKUP(A9,职业列表!$J$55:$J$63,1,FALSE),"%^&amp;@%##@^")=A9,1,0)=0,0))</f>
        <v>0</v>
      </c>
      <c r="GX9" s="1616"/>
      <c r="GY9" s="1616"/>
      <c r="GZ9" s="1616"/>
      <c r="HA9" s="1616"/>
      <c r="HB9" s="1616"/>
      <c r="HC9" s="1616"/>
      <c r="HD9" s="1616"/>
      <c r="HE9" s="1616"/>
      <c r="HF9" s="1649" t="s">
        <v>101</v>
      </c>
      <c r="HG9" s="1616"/>
      <c r="HH9" s="1616"/>
      <c r="HI9" s="1616"/>
      <c r="HJ9" s="1616"/>
      <c r="HK9" s="1616"/>
      <c r="HL9" s="1649" t="s">
        <v>101</v>
      </c>
      <c r="HM9" s="1616"/>
      <c r="HN9" s="1616"/>
      <c r="HO9" s="1616"/>
      <c r="HP9" s="1616"/>
      <c r="HQ9" s="1616"/>
      <c r="HR9" s="1616"/>
      <c r="HS9" s="1616"/>
      <c r="HT9" s="1616"/>
      <c r="HU9" s="1616"/>
      <c r="HV9" s="1616"/>
      <c r="HW9" s="1616"/>
      <c r="HX9" s="1616"/>
      <c r="HY9" s="1681"/>
      <c r="HZ9" s="1681"/>
      <c r="IA9" s="1681"/>
      <c r="IB9" s="1681"/>
      <c r="IC9" s="1681"/>
      <c r="ID9" s="1681"/>
      <c r="IE9" s="1681"/>
      <c r="IF9" s="1681"/>
      <c r="IG9" s="1681"/>
      <c r="IH9" s="1681"/>
      <c r="II9" s="1681"/>
      <c r="IJ9" s="1681"/>
      <c r="IK9" s="1681"/>
      <c r="IL9" s="1681"/>
      <c r="IM9" s="1681"/>
      <c r="IN9" s="1681"/>
      <c r="IO9" s="1681"/>
      <c r="IP9" s="1681"/>
      <c r="IQ9" s="1681"/>
      <c r="IR9" s="1681"/>
      <c r="IS9" s="1681"/>
      <c r="IT9" s="1681"/>
      <c r="IU9" s="1681"/>
      <c r="IV9" s="1681"/>
    </row>
    <row r="10" ht="20" customHeight="1" spans="1:256">
      <c r="A10" s="1615" t="s">
        <v>75</v>
      </c>
      <c r="B10" s="1616"/>
      <c r="C10" s="1616"/>
      <c r="D10" s="1616"/>
      <c r="E10" s="1616"/>
      <c r="F10" s="1616"/>
      <c r="G10" s="1616"/>
      <c r="H10" s="1616"/>
      <c r="I10" s="1616" t="s">
        <v>101</v>
      </c>
      <c r="J10" s="1616" t="s">
        <v>101</v>
      </c>
      <c r="K10" s="1616" t="s">
        <v>101</v>
      </c>
      <c r="L10" s="1616"/>
      <c r="M10" s="1616"/>
      <c r="N10" s="1616"/>
      <c r="O10" s="1616"/>
      <c r="P10" s="1616"/>
      <c r="Q10" s="1616"/>
      <c r="R10" s="1616"/>
      <c r="S10" s="1616" t="s">
        <v>101</v>
      </c>
      <c r="T10" s="1616"/>
      <c r="U10" s="1616"/>
      <c r="V10" s="1651" t="s">
        <v>589</v>
      </c>
      <c r="W10" s="1616"/>
      <c r="X10" s="1616"/>
      <c r="Y10" s="1616"/>
      <c r="Z10" s="1616"/>
      <c r="AA10" s="1616"/>
      <c r="AB10" s="1616"/>
      <c r="AC10" s="1616"/>
      <c r="AD10" s="1616"/>
      <c r="AE10" s="1616" t="s">
        <v>101</v>
      </c>
      <c r="AF10" s="1616" t="s">
        <v>101</v>
      </c>
      <c r="AG10" s="1616" t="s">
        <v>101</v>
      </c>
      <c r="AH10" s="1616"/>
      <c r="AI10" s="1616" t="s">
        <v>101</v>
      </c>
      <c r="AJ10" s="1616" t="s">
        <v>101</v>
      </c>
      <c r="AK10" s="1616"/>
      <c r="AL10" s="1616"/>
      <c r="AM10" s="1616"/>
      <c r="AN10" s="1616"/>
      <c r="AO10" s="1616"/>
      <c r="AP10" s="1616"/>
      <c r="AQ10" s="1616"/>
      <c r="AR10" s="1616"/>
      <c r="AS10" s="1616"/>
      <c r="AT10" s="1616"/>
      <c r="AU10" s="1616"/>
      <c r="AV10" s="1616"/>
      <c r="AW10" s="1616"/>
      <c r="AX10" s="1616"/>
      <c r="AY10" s="1616"/>
      <c r="AZ10" s="1616"/>
      <c r="BA10" s="1616"/>
      <c r="BB10" s="1616"/>
      <c r="BC10" s="1616"/>
      <c r="BD10" s="1616"/>
      <c r="BE10" s="1616"/>
      <c r="BF10" s="1616"/>
      <c r="BG10" s="1616"/>
      <c r="BH10" s="1616"/>
      <c r="BI10" s="1616"/>
      <c r="BJ10" s="1616"/>
      <c r="BK10" s="1616"/>
      <c r="BL10" s="1616"/>
      <c r="BM10" s="1616"/>
      <c r="BN10" s="1616"/>
      <c r="BO10" s="1616"/>
      <c r="BP10" s="1616"/>
      <c r="BQ10" s="1616"/>
      <c r="BR10" s="1616"/>
      <c r="BS10" s="1616"/>
      <c r="BT10" s="1616"/>
      <c r="BU10" s="1616"/>
      <c r="BV10" s="1616"/>
      <c r="BW10" s="1616"/>
      <c r="BX10" s="1616"/>
      <c r="BY10" s="1616"/>
      <c r="BZ10" s="1616" t="s">
        <v>101</v>
      </c>
      <c r="CA10" s="1616"/>
      <c r="CB10" s="1616"/>
      <c r="CC10" s="1616"/>
      <c r="CD10" s="1616"/>
      <c r="CE10" s="1616"/>
      <c r="CF10" s="1616"/>
      <c r="CG10" s="1616"/>
      <c r="CH10" s="1616"/>
      <c r="CI10" s="1616"/>
      <c r="CJ10" s="1616"/>
      <c r="CK10" s="1616"/>
      <c r="CL10" s="1616"/>
      <c r="CM10" s="1616"/>
      <c r="CN10" s="1616"/>
      <c r="CO10" s="1616"/>
      <c r="CP10" s="1616"/>
      <c r="CQ10" s="1616"/>
      <c r="CR10" s="1616"/>
      <c r="CS10" s="1616"/>
      <c r="CT10" s="1616"/>
      <c r="CU10" s="1616"/>
      <c r="CV10" s="1616"/>
      <c r="CW10" s="1616"/>
      <c r="CX10" s="1616"/>
      <c r="CY10" s="1616"/>
      <c r="CZ10" s="1616"/>
      <c r="DA10" s="1616"/>
      <c r="DB10" s="1616"/>
      <c r="DC10" s="1616"/>
      <c r="DD10" s="1616"/>
      <c r="DE10" s="1616"/>
      <c r="DF10" s="1616"/>
      <c r="DG10" s="1616"/>
      <c r="DH10" s="1616"/>
      <c r="DI10" s="1616"/>
      <c r="DJ10" s="1616"/>
      <c r="DK10" s="1616"/>
      <c r="DL10" s="1616"/>
      <c r="DM10" s="1616"/>
      <c r="DN10" s="1616"/>
      <c r="DO10" s="1616"/>
      <c r="DP10" s="1616"/>
      <c r="DQ10" s="1616"/>
      <c r="DR10" s="1616"/>
      <c r="DS10" s="1616"/>
      <c r="DT10" s="1616"/>
      <c r="DU10" s="1616"/>
      <c r="DV10" s="1616"/>
      <c r="DW10" s="1616"/>
      <c r="DX10" s="1616"/>
      <c r="DY10" s="1616"/>
      <c r="DZ10" s="1651" t="s">
        <v>101</v>
      </c>
      <c r="EA10" s="1616"/>
      <c r="EB10" s="1616"/>
      <c r="EC10" s="1616"/>
      <c r="ED10" s="1616"/>
      <c r="EE10" s="1616"/>
      <c r="EF10" s="1616"/>
      <c r="EG10" s="1616"/>
      <c r="EH10" s="1616"/>
      <c r="EI10" s="1616"/>
      <c r="EJ10" s="1616"/>
      <c r="EK10" s="1616"/>
      <c r="EL10" s="1616"/>
      <c r="EM10" s="1616"/>
      <c r="EN10" s="1616"/>
      <c r="EO10" s="1616"/>
      <c r="EP10" s="1616"/>
      <c r="EQ10" s="1616"/>
      <c r="ER10" s="1616"/>
      <c r="ES10" s="1616"/>
      <c r="ET10" s="1651" t="s">
        <v>101</v>
      </c>
      <c r="EU10" s="1616"/>
      <c r="EV10" s="1616"/>
      <c r="EW10" s="1616"/>
      <c r="EX10" s="1616"/>
      <c r="EY10" s="1616"/>
      <c r="EZ10" s="1651" t="s">
        <v>101</v>
      </c>
      <c r="FA10" s="1616"/>
      <c r="FB10" s="1616"/>
      <c r="FC10" s="1616"/>
      <c r="FD10" s="1616"/>
      <c r="FE10" s="1616"/>
      <c r="FF10" s="1616"/>
      <c r="FG10" s="1616"/>
      <c r="FH10" s="1616"/>
      <c r="FI10" s="1616"/>
      <c r="FJ10" s="1616"/>
      <c r="FK10" s="1616"/>
      <c r="FL10" s="1616"/>
      <c r="FM10" s="1616"/>
      <c r="FN10" s="1616"/>
      <c r="FO10" s="1616"/>
      <c r="FP10" s="1616"/>
      <c r="FQ10" s="1616"/>
      <c r="FR10" s="1616"/>
      <c r="FS10" s="1616"/>
      <c r="FT10" s="1616"/>
      <c r="FU10" s="1616"/>
      <c r="FV10" s="1616"/>
      <c r="FW10" s="1616"/>
      <c r="FX10" s="1616"/>
      <c r="FY10" s="1616"/>
      <c r="FZ10" s="1616"/>
      <c r="GA10" s="1616"/>
      <c r="GB10" s="1616"/>
      <c r="GC10" s="1616"/>
      <c r="GD10" s="1616"/>
      <c r="GE10" s="1616"/>
      <c r="GF10" s="1616"/>
      <c r="GG10" s="1616"/>
      <c r="GH10" s="1616"/>
      <c r="GI10" s="1616"/>
      <c r="GJ10" s="1616"/>
      <c r="GK10" s="1616"/>
      <c r="GL10" s="1616"/>
      <c r="GM10" s="1616"/>
      <c r="GN10" s="1616"/>
      <c r="GO10" s="1616"/>
      <c r="GP10" s="1616"/>
      <c r="GQ10" s="1616"/>
      <c r="GR10" s="1616"/>
      <c r="GS10" s="1616"/>
      <c r="GT10" s="1616"/>
      <c r="GU10" s="1616"/>
      <c r="GV10" s="1616"/>
      <c r="GW10" s="1669">
        <f>IF(职业列表!$W$27=0,0,_xlfn.IFS(IF(IFERROR(VLOOKUP(A10,职业列表!$J$3:$K$10,1,FALSE),"%^&amp;@%##@^")=A10,1,0)=1,"★",IF(IFERROR(VLOOKUP(A10,职业列表!$J$31:$J$39,1,FALSE),"%^&amp;@%##@^")=A10,1,0)=1,职业列表!$V$25,IF(IFERROR(VLOOKUP(A10,职业列表!$J$43:$J$51,1,FALSE),"%^&amp;@%##@^")=A10,1,0)=1,职业列表!$V$26,IF(IFERROR(VLOOKUP(A10,职业列表!$J$55:$J$63,1,FALSE),"%^&amp;@%##@^")=A10,1,0)=1,职业列表!$V$27,IF(IFERROR(VLOOKUP(A10,职业列表!$J$3:$K$10,1,FALSE),"%^&amp;@%##@^")=A10,1,0)+IF(IFERROR(VLOOKUP(A10,职业列表!$J$31:$J$39,1,FALSE),"%^&amp;@%##@^")=A10,1,0)+IF(IFERROR(VLOOKUP(A10,职业列表!$J$43:$J$51,1,FALSE),"%^&amp;@%##@^")=A10,1,0)+IF(IFERROR(VLOOKUP(A10,职业列表!$J$55:$J$63,1,FALSE),"%^&amp;@%##@^")=A10,1,0)=0,0))</f>
        <v>0</v>
      </c>
      <c r="GX10" s="1616"/>
      <c r="GY10" s="1649" t="s">
        <v>101</v>
      </c>
      <c r="GZ10" s="1616" t="s">
        <v>101</v>
      </c>
      <c r="HA10" s="1616"/>
      <c r="HB10" s="1649" t="s">
        <v>101</v>
      </c>
      <c r="HC10" s="1616"/>
      <c r="HD10" s="1616"/>
      <c r="HE10" s="1616"/>
      <c r="HF10" s="1616" t="s">
        <v>101</v>
      </c>
      <c r="HG10" s="1649" t="s">
        <v>101</v>
      </c>
      <c r="HH10" s="1649" t="s">
        <v>101</v>
      </c>
      <c r="HI10" s="1616"/>
      <c r="HJ10" s="1616"/>
      <c r="HK10" s="1616"/>
      <c r="HL10" s="1649" t="s">
        <v>101</v>
      </c>
      <c r="HM10" s="1616"/>
      <c r="HN10" s="1649" t="s">
        <v>101</v>
      </c>
      <c r="HO10" s="1677" t="s">
        <v>101</v>
      </c>
      <c r="HP10" s="1651" t="s">
        <v>101</v>
      </c>
      <c r="HQ10" s="1616"/>
      <c r="HR10" s="1616"/>
      <c r="HS10" s="1616"/>
      <c r="HT10" s="1616"/>
      <c r="HU10" s="1616" t="s">
        <v>593</v>
      </c>
      <c r="HV10" s="1616" t="s">
        <v>101</v>
      </c>
      <c r="HW10" s="1616"/>
      <c r="HX10" s="1616"/>
      <c r="HY10" s="1681"/>
      <c r="HZ10" s="1681"/>
      <c r="IA10" s="1681"/>
      <c r="IB10" s="1681"/>
      <c r="IC10" s="1681"/>
      <c r="ID10" s="1681"/>
      <c r="IE10" s="1681"/>
      <c r="IF10" s="1681"/>
      <c r="IG10" s="1681"/>
      <c r="IH10" s="1681"/>
      <c r="II10" s="1681"/>
      <c r="IJ10" s="1681"/>
      <c r="IK10" s="1681"/>
      <c r="IL10" s="1681"/>
      <c r="IM10" s="1681"/>
      <c r="IN10" s="1681"/>
      <c r="IO10" s="1681"/>
      <c r="IP10" s="1681"/>
      <c r="IQ10" s="1681"/>
      <c r="IR10" s="1681"/>
      <c r="IS10" s="1681"/>
      <c r="IT10" s="1681"/>
      <c r="IU10" s="1681"/>
      <c r="IV10" s="1681"/>
    </row>
    <row r="11" ht="20" customHeight="1" spans="1:256">
      <c r="A11" s="1615" t="s">
        <v>78</v>
      </c>
      <c r="B11" s="1616"/>
      <c r="C11" s="1616"/>
      <c r="D11" s="1616"/>
      <c r="E11" s="1616"/>
      <c r="F11" s="1616"/>
      <c r="G11" s="1616"/>
      <c r="H11" s="1616"/>
      <c r="I11" s="1616"/>
      <c r="J11" s="1616"/>
      <c r="K11" s="1616" t="s">
        <v>101</v>
      </c>
      <c r="L11" s="1616"/>
      <c r="M11" s="1616"/>
      <c r="N11" s="1616"/>
      <c r="O11" s="1616"/>
      <c r="P11" s="1616"/>
      <c r="Q11" s="1616"/>
      <c r="R11" s="1616"/>
      <c r="S11" s="1616"/>
      <c r="T11" s="1616"/>
      <c r="U11" s="1616"/>
      <c r="V11" s="1616"/>
      <c r="W11" s="1616"/>
      <c r="X11" s="1616"/>
      <c r="Y11" s="1616"/>
      <c r="Z11" s="1616"/>
      <c r="AA11" s="1616"/>
      <c r="AB11" s="1616"/>
      <c r="AC11" s="1616"/>
      <c r="AD11" s="1616"/>
      <c r="AE11" s="1616"/>
      <c r="AF11" s="1616"/>
      <c r="AG11" s="1616"/>
      <c r="AH11" s="1616"/>
      <c r="AI11" s="1616"/>
      <c r="AJ11" s="1616"/>
      <c r="AK11" s="1616"/>
      <c r="AL11" s="1616"/>
      <c r="AM11" s="1616"/>
      <c r="AN11" s="1616"/>
      <c r="AO11" s="1616"/>
      <c r="AP11" s="1616"/>
      <c r="AQ11" s="1616"/>
      <c r="AR11" s="1616"/>
      <c r="AS11" s="1616"/>
      <c r="AT11" s="1616"/>
      <c r="AU11" s="1616"/>
      <c r="AV11" s="1616"/>
      <c r="AW11" s="1616"/>
      <c r="AX11" s="1616"/>
      <c r="AY11" s="1616"/>
      <c r="AZ11" s="1616"/>
      <c r="BA11" s="1616"/>
      <c r="BB11" s="1616"/>
      <c r="BC11" s="1616"/>
      <c r="BD11" s="1616"/>
      <c r="BE11" s="1616"/>
      <c r="BF11" s="1616"/>
      <c r="BG11" s="1616"/>
      <c r="BH11" s="1616"/>
      <c r="BI11" s="1616"/>
      <c r="BJ11" s="1616"/>
      <c r="BK11" s="1616"/>
      <c r="BL11" s="1616"/>
      <c r="BM11" s="1616"/>
      <c r="BN11" s="1616"/>
      <c r="BO11" s="1616"/>
      <c r="BP11" s="1616"/>
      <c r="BQ11" s="1616"/>
      <c r="BR11" s="1616"/>
      <c r="BS11" s="1616"/>
      <c r="BT11" s="1616"/>
      <c r="BU11" s="1616"/>
      <c r="BV11" s="1616"/>
      <c r="BW11" s="1616"/>
      <c r="BX11" s="1616"/>
      <c r="BY11" s="1616"/>
      <c r="BZ11" s="1616" t="s">
        <v>101</v>
      </c>
      <c r="CA11" s="1616"/>
      <c r="CB11" s="1616"/>
      <c r="CC11" s="1616"/>
      <c r="CD11" s="1616"/>
      <c r="CE11" s="1616"/>
      <c r="CF11" s="1616"/>
      <c r="CG11" s="1616"/>
      <c r="CH11" s="1616"/>
      <c r="CI11" s="1616"/>
      <c r="CJ11" s="1616"/>
      <c r="CK11" s="1616"/>
      <c r="CL11" s="1616"/>
      <c r="CM11" s="1616"/>
      <c r="CN11" s="1616"/>
      <c r="CO11" s="1616"/>
      <c r="CP11" s="1616"/>
      <c r="CQ11" s="1616"/>
      <c r="CR11" s="1616"/>
      <c r="CS11" s="1616"/>
      <c r="CT11" s="1616"/>
      <c r="CU11" s="1616"/>
      <c r="CV11" s="1616"/>
      <c r="CW11" s="1616"/>
      <c r="CX11" s="1616"/>
      <c r="CY11" s="1616"/>
      <c r="CZ11" s="1616"/>
      <c r="DA11" s="1616"/>
      <c r="DB11" s="1616"/>
      <c r="DC11" s="1616"/>
      <c r="DD11" s="1616"/>
      <c r="DE11" s="1616"/>
      <c r="DF11" s="1616"/>
      <c r="DG11" s="1616"/>
      <c r="DH11" s="1616"/>
      <c r="DI11" s="1616"/>
      <c r="DJ11" s="1616"/>
      <c r="DK11" s="1616"/>
      <c r="DL11" s="1616"/>
      <c r="DM11" s="1616"/>
      <c r="DN11" s="1616"/>
      <c r="DO11" s="1616"/>
      <c r="DP11" s="1616"/>
      <c r="DQ11" s="1616"/>
      <c r="DR11" s="1616"/>
      <c r="DS11" s="1616"/>
      <c r="DT11" s="1616"/>
      <c r="DU11" s="1616"/>
      <c r="DV11" s="1616"/>
      <c r="DW11" s="1616"/>
      <c r="DX11" s="1616"/>
      <c r="DY11" s="1616"/>
      <c r="DZ11" s="1616"/>
      <c r="EA11" s="1616"/>
      <c r="EB11" s="1616"/>
      <c r="EC11" s="1616"/>
      <c r="ED11" s="1616"/>
      <c r="EE11" s="1616"/>
      <c r="EF11" s="1616"/>
      <c r="EG11" s="1616"/>
      <c r="EH11" s="1616"/>
      <c r="EI11" s="1616"/>
      <c r="EJ11" s="1616"/>
      <c r="EK11" s="1616"/>
      <c r="EL11" s="1616"/>
      <c r="EM11" s="1616"/>
      <c r="EN11" s="1616"/>
      <c r="EO11" s="1616"/>
      <c r="EP11" s="1616"/>
      <c r="EQ11" s="1616"/>
      <c r="ER11" s="1616"/>
      <c r="ES11" s="1616"/>
      <c r="ET11" s="1616"/>
      <c r="EU11" s="1616"/>
      <c r="EV11" s="1616"/>
      <c r="EW11" s="1616"/>
      <c r="EX11" s="1616"/>
      <c r="EY11" s="1616"/>
      <c r="EZ11" s="1616"/>
      <c r="FA11" s="1616"/>
      <c r="FB11" s="1616"/>
      <c r="FC11" s="1616"/>
      <c r="FD11" s="1616"/>
      <c r="FE11" s="1616"/>
      <c r="FF11" s="1616"/>
      <c r="FG11" s="1616"/>
      <c r="FH11" s="1616"/>
      <c r="FI11" s="1616"/>
      <c r="FJ11" s="1616"/>
      <c r="FK11" s="1616"/>
      <c r="FL11" s="1616"/>
      <c r="FM11" s="1616"/>
      <c r="FN11" s="1616"/>
      <c r="FO11" s="1616"/>
      <c r="FP11" s="1616"/>
      <c r="FQ11" s="1616"/>
      <c r="FR11" s="1616"/>
      <c r="FS11" s="1616"/>
      <c r="FT11" s="1616"/>
      <c r="FU11" s="1616"/>
      <c r="FV11" s="1616"/>
      <c r="FW11" s="1616"/>
      <c r="FX11" s="1616"/>
      <c r="FY11" s="1616"/>
      <c r="FZ11" s="1616"/>
      <c r="GA11" s="1616"/>
      <c r="GB11" s="1616"/>
      <c r="GC11" s="1616"/>
      <c r="GD11" s="1616"/>
      <c r="GE11" s="1616"/>
      <c r="GF11" s="1616"/>
      <c r="GG11" s="1616"/>
      <c r="GH11" s="1616"/>
      <c r="GI11" s="1616"/>
      <c r="GJ11" s="1616"/>
      <c r="GK11" s="1616"/>
      <c r="GL11" s="1616"/>
      <c r="GM11" s="1616"/>
      <c r="GN11" s="1616"/>
      <c r="GO11" s="1616"/>
      <c r="GP11" s="1616"/>
      <c r="GQ11" s="1616"/>
      <c r="GR11" s="1616"/>
      <c r="GS11" s="1616"/>
      <c r="GT11" s="1616"/>
      <c r="GU11" s="1616"/>
      <c r="GV11" s="1616"/>
      <c r="GW11" s="1669">
        <f>IF(职业列表!$W$27=0,0,_xlfn.IFS(IF(IFERROR(VLOOKUP(A11,职业列表!$J$3:$K$10,1,FALSE),"%^&amp;@%##@^")=A11,1,0)=1,"★",IF(IFERROR(VLOOKUP(A11,职业列表!$J$31:$J$39,1,FALSE),"%^&amp;@%##@^")=A11,1,0)=1,职业列表!$V$25,IF(IFERROR(VLOOKUP(A11,职业列表!$J$43:$J$51,1,FALSE),"%^&amp;@%##@^")=A11,1,0)=1,职业列表!$V$26,IF(IFERROR(VLOOKUP(A11,职业列表!$J$55:$J$63,1,FALSE),"%^&amp;@%##@^")=A11,1,0)=1,职业列表!$V$27,IF(IFERROR(VLOOKUP(A11,职业列表!$J$3:$K$10,1,FALSE),"%^&amp;@%##@^")=A11,1,0)+IF(IFERROR(VLOOKUP(A11,职业列表!$J$31:$J$39,1,FALSE),"%^&amp;@%##@^")=A11,1,0)+IF(IFERROR(VLOOKUP(A11,职业列表!$J$43:$J$51,1,FALSE),"%^&amp;@%##@^")=A11,1,0)+IF(IFERROR(VLOOKUP(A11,职业列表!$J$55:$J$63,1,FALSE),"%^&amp;@%##@^")=A11,1,0)=0,0))</f>
        <v>0</v>
      </c>
      <c r="GX11" s="1616"/>
      <c r="GY11" s="1616"/>
      <c r="GZ11" s="1616"/>
      <c r="HA11" s="1616"/>
      <c r="HB11" s="1616"/>
      <c r="HC11" s="1616"/>
      <c r="HD11" s="1616"/>
      <c r="HE11" s="1616"/>
      <c r="HF11" s="1616"/>
      <c r="HG11" s="1616"/>
      <c r="HH11" s="1616"/>
      <c r="HI11" s="1616"/>
      <c r="HJ11" s="1616"/>
      <c r="HK11" s="1616"/>
      <c r="HL11" s="1616" t="s">
        <v>101</v>
      </c>
      <c r="HM11" s="1616"/>
      <c r="HN11" s="1616"/>
      <c r="HO11" s="1616"/>
      <c r="HP11" s="1616"/>
      <c r="HQ11" s="1616"/>
      <c r="HR11" s="1616"/>
      <c r="HS11" s="1616"/>
      <c r="HT11" s="1616"/>
      <c r="HU11" s="1616"/>
      <c r="HV11" s="1616"/>
      <c r="HW11" s="1616"/>
      <c r="HX11" s="1616"/>
      <c r="HY11" s="1681"/>
      <c r="HZ11" s="1681"/>
      <c r="IA11" s="1681"/>
      <c r="IB11" s="1681"/>
      <c r="IC11" s="1681"/>
      <c r="ID11" s="1681"/>
      <c r="IE11" s="1681"/>
      <c r="IF11" s="1681"/>
      <c r="IG11" s="1681"/>
      <c r="IH11" s="1681"/>
      <c r="II11" s="1681"/>
      <c r="IJ11" s="1681"/>
      <c r="IK11" s="1681"/>
      <c r="IL11" s="1681"/>
      <c r="IM11" s="1681"/>
      <c r="IN11" s="1681"/>
      <c r="IO11" s="1681"/>
      <c r="IP11" s="1681"/>
      <c r="IQ11" s="1681"/>
      <c r="IR11" s="1681"/>
      <c r="IS11" s="1681"/>
      <c r="IT11" s="1681"/>
      <c r="IU11" s="1681"/>
      <c r="IV11" s="1681"/>
    </row>
    <row r="12" s="1596" customFormat="1" ht="20" customHeight="1" spans="1:256">
      <c r="A12" s="1617" t="s">
        <v>80</v>
      </c>
      <c r="B12" s="1618"/>
      <c r="C12" s="1618"/>
      <c r="D12" s="1619" t="s">
        <v>3435</v>
      </c>
      <c r="E12" s="1619" t="s">
        <v>3435</v>
      </c>
      <c r="F12" s="1618"/>
      <c r="G12" s="1618"/>
      <c r="H12" s="1618"/>
      <c r="I12" s="1619" t="s">
        <v>101</v>
      </c>
      <c r="J12" s="1618"/>
      <c r="K12" s="1618"/>
      <c r="L12" s="1650" t="s">
        <v>3436</v>
      </c>
      <c r="M12" s="1618" t="s">
        <v>101</v>
      </c>
      <c r="N12" s="1618"/>
      <c r="O12" s="1618"/>
      <c r="P12" s="1650" t="s">
        <v>3437</v>
      </c>
      <c r="Q12" s="1618"/>
      <c r="R12" s="1618"/>
      <c r="S12" s="1618"/>
      <c r="T12" s="1618"/>
      <c r="U12" s="1618"/>
      <c r="V12" s="1618" t="s">
        <v>101</v>
      </c>
      <c r="W12" s="1618"/>
      <c r="X12" s="1618"/>
      <c r="Y12" s="1618"/>
      <c r="Z12" s="1618"/>
      <c r="AA12" s="1618" t="s">
        <v>101</v>
      </c>
      <c r="AB12" s="1618"/>
      <c r="AC12" s="1618"/>
      <c r="AD12" s="1618"/>
      <c r="AE12" s="1618"/>
      <c r="AF12" s="1619" t="s">
        <v>3435</v>
      </c>
      <c r="AG12" s="1618" t="s">
        <v>3438</v>
      </c>
      <c r="AH12" s="1618" t="s">
        <v>101</v>
      </c>
      <c r="AI12" s="1619" t="s">
        <v>3439</v>
      </c>
      <c r="AJ12" s="1619" t="s">
        <v>3439</v>
      </c>
      <c r="AK12" s="1618"/>
      <c r="AL12" s="1618"/>
      <c r="AM12" s="1618"/>
      <c r="AN12" s="1618"/>
      <c r="AO12" s="1619" t="s">
        <v>3440</v>
      </c>
      <c r="AP12" s="1618" t="s">
        <v>101</v>
      </c>
      <c r="AQ12" s="1618"/>
      <c r="AR12" s="1618"/>
      <c r="AS12" s="1618"/>
      <c r="AT12" s="1618"/>
      <c r="AU12" s="1618"/>
      <c r="AV12" s="1618"/>
      <c r="AW12" s="1618"/>
      <c r="AX12" s="1618"/>
      <c r="AY12" s="1650" t="s">
        <v>3436</v>
      </c>
      <c r="AZ12" s="1650" t="s">
        <v>3435</v>
      </c>
      <c r="BA12" s="1618"/>
      <c r="BB12" s="1650" t="s">
        <v>3441</v>
      </c>
      <c r="BC12" s="1618"/>
      <c r="BD12" s="1618"/>
      <c r="BE12" s="1618"/>
      <c r="BF12" s="1618"/>
      <c r="BG12" s="1619" t="s">
        <v>3435</v>
      </c>
      <c r="BH12" s="1618"/>
      <c r="BI12" s="1618"/>
      <c r="BJ12" s="1618" t="s">
        <v>101</v>
      </c>
      <c r="BK12" s="1618" t="s">
        <v>101</v>
      </c>
      <c r="BL12" s="1618"/>
      <c r="BM12" s="1619" t="s">
        <v>3442</v>
      </c>
      <c r="BN12" s="1619" t="s">
        <v>3435</v>
      </c>
      <c r="BO12" s="1618"/>
      <c r="BP12" s="1618"/>
      <c r="BQ12" s="1618"/>
      <c r="BR12" s="1618"/>
      <c r="BS12" s="1618"/>
      <c r="BT12" s="1618"/>
      <c r="BU12" s="1618"/>
      <c r="BV12" s="1618" t="s">
        <v>101</v>
      </c>
      <c r="BW12" s="1618"/>
      <c r="BX12" s="1618" t="s">
        <v>101</v>
      </c>
      <c r="BY12" s="1618"/>
      <c r="BZ12" s="1618"/>
      <c r="CA12" s="1619" t="s">
        <v>3443</v>
      </c>
      <c r="CB12" s="1618"/>
      <c r="CC12" s="1618"/>
      <c r="CD12" s="1618"/>
      <c r="CE12" s="1619" t="s">
        <v>3440</v>
      </c>
      <c r="CF12" s="1618"/>
      <c r="CG12" s="1619" t="s">
        <v>3440</v>
      </c>
      <c r="CH12" s="1619" t="s">
        <v>3440</v>
      </c>
      <c r="CI12" s="1618"/>
      <c r="CJ12" s="1618"/>
      <c r="CK12" s="1619" t="s">
        <v>3444</v>
      </c>
      <c r="CL12" s="1618"/>
      <c r="CM12" s="1619" t="s">
        <v>3440</v>
      </c>
      <c r="CN12" s="1618"/>
      <c r="CO12" s="1618"/>
      <c r="CP12" s="1618" t="s">
        <v>101</v>
      </c>
      <c r="CQ12" s="1618"/>
      <c r="CR12" s="1618"/>
      <c r="CS12" s="1618"/>
      <c r="CT12" s="1618"/>
      <c r="CU12" s="1618"/>
      <c r="CV12" s="1618"/>
      <c r="CW12" s="1618"/>
      <c r="CX12" s="1618"/>
      <c r="CY12" s="1618"/>
      <c r="CZ12" s="1618"/>
      <c r="DA12" s="1619" t="s">
        <v>3444</v>
      </c>
      <c r="DB12" s="1618"/>
      <c r="DC12" s="1618"/>
      <c r="DD12" s="1618"/>
      <c r="DE12" s="1618"/>
      <c r="DF12" s="1618"/>
      <c r="DG12" s="1650" t="s">
        <v>101</v>
      </c>
      <c r="DH12" s="1618"/>
      <c r="DI12" s="1618"/>
      <c r="DJ12" s="1618"/>
      <c r="DK12" s="1619" t="s">
        <v>3445</v>
      </c>
      <c r="DL12" s="1618"/>
      <c r="DM12" s="1618"/>
      <c r="DN12" s="1618"/>
      <c r="DO12" s="1618"/>
      <c r="DP12" s="1618"/>
      <c r="DQ12" s="1618"/>
      <c r="DR12" s="1618"/>
      <c r="DS12" s="1618"/>
      <c r="DT12" s="1618"/>
      <c r="DU12" s="1618"/>
      <c r="DV12" s="1618"/>
      <c r="DW12" s="1618"/>
      <c r="DX12" s="1650" t="s">
        <v>3437</v>
      </c>
      <c r="DY12" s="1618"/>
      <c r="DZ12" s="1618"/>
      <c r="EA12" s="1618"/>
      <c r="EB12" s="1618"/>
      <c r="EC12" s="1618"/>
      <c r="ED12" s="1618"/>
      <c r="EE12" s="1618"/>
      <c r="EF12" s="1618"/>
      <c r="EG12" s="1618"/>
      <c r="EH12" s="1618"/>
      <c r="EI12" s="1650" t="s">
        <v>101</v>
      </c>
      <c r="EJ12" s="1650" t="s">
        <v>3440</v>
      </c>
      <c r="EK12" s="1618"/>
      <c r="EL12" s="1618"/>
      <c r="EM12" s="1650" t="s">
        <v>3443</v>
      </c>
      <c r="EN12" s="1618"/>
      <c r="EO12" s="1650" t="s">
        <v>3435</v>
      </c>
      <c r="EP12" s="1618"/>
      <c r="EQ12" s="1618"/>
      <c r="ER12" s="1618"/>
      <c r="ES12" s="1650" t="s">
        <v>101</v>
      </c>
      <c r="ET12" s="1618"/>
      <c r="EU12" s="1650" t="s">
        <v>3440</v>
      </c>
      <c r="EV12" s="1618"/>
      <c r="EW12" s="1618"/>
      <c r="EX12" s="1650" t="s">
        <v>3440</v>
      </c>
      <c r="EY12" s="1618"/>
      <c r="EZ12" s="1618"/>
      <c r="FA12" s="1618"/>
      <c r="FB12" s="1618"/>
      <c r="FC12" s="1650" t="s">
        <v>3446</v>
      </c>
      <c r="FD12" s="1650" t="s">
        <v>3446</v>
      </c>
      <c r="FE12" s="1650" t="s">
        <v>101</v>
      </c>
      <c r="FF12" s="1618"/>
      <c r="FG12" s="1618"/>
      <c r="FH12" s="1650" t="s">
        <v>3435</v>
      </c>
      <c r="FI12" s="1650" t="s">
        <v>3446</v>
      </c>
      <c r="FJ12" s="1618"/>
      <c r="FK12" s="1618"/>
      <c r="FL12" s="1618"/>
      <c r="FM12" s="1618"/>
      <c r="FN12" s="1618"/>
      <c r="FO12" s="1650" t="s">
        <v>101</v>
      </c>
      <c r="FP12" s="1650" t="s">
        <v>101</v>
      </c>
      <c r="FQ12" s="1650" t="s">
        <v>3447</v>
      </c>
      <c r="FR12" s="1618"/>
      <c r="FS12" s="1618"/>
      <c r="FT12" s="1618"/>
      <c r="FU12" s="1650" t="s">
        <v>3440</v>
      </c>
      <c r="FV12" s="1618"/>
      <c r="FW12" s="1650" t="s">
        <v>3448</v>
      </c>
      <c r="FX12" s="1650" t="s">
        <v>3440</v>
      </c>
      <c r="FY12" s="1618"/>
      <c r="FZ12" s="1618"/>
      <c r="GA12" s="1618"/>
      <c r="GB12" s="1618"/>
      <c r="GC12" s="1618"/>
      <c r="GD12" s="1618"/>
      <c r="GE12" s="1650" t="s">
        <v>3435</v>
      </c>
      <c r="GF12" s="1650" t="s">
        <v>3449</v>
      </c>
      <c r="GG12" s="1650" t="s">
        <v>3435</v>
      </c>
      <c r="GH12" s="1618"/>
      <c r="GI12" s="1650" t="s">
        <v>3435</v>
      </c>
      <c r="GJ12" s="1650" t="s">
        <v>3435</v>
      </c>
      <c r="GK12" s="1650" t="s">
        <v>3435</v>
      </c>
      <c r="GL12" s="1650" t="s">
        <v>3435</v>
      </c>
      <c r="GM12" s="1618"/>
      <c r="GN12" s="1650" t="s">
        <v>3440</v>
      </c>
      <c r="GO12" s="1650" t="s">
        <v>3435</v>
      </c>
      <c r="GP12" s="1650" t="s">
        <v>3447</v>
      </c>
      <c r="GQ12" s="1650" t="s">
        <v>3450</v>
      </c>
      <c r="GR12" s="1618"/>
      <c r="GS12" s="1618"/>
      <c r="GT12" s="1618"/>
      <c r="GU12" s="1618"/>
      <c r="GV12" s="1650" t="s">
        <v>3451</v>
      </c>
      <c r="GW12" s="1669">
        <f>IF(职业列表!$W$27=0,0,_xlfn.IFS(IF(IFERROR(VLOOKUP(A12,职业列表!$J$3:$K$10,1,FALSE),"%^&amp;@%##@^")=A12,1,0)=1,"★",IF(IFERROR(VLOOKUP(A12,职业列表!$J$31:$J$39,1,FALSE),"%^&amp;@%##@^")=A12,1,0)=1,职业列表!$V$25,IF(IFERROR(VLOOKUP(A12,职业列表!$J$43:$J$51,1,FALSE),"%^&amp;@%##@^")=A12,1,0)=1,职业列表!$V$26,IF(IFERROR(VLOOKUP(A12,职业列表!$J$55:$J$63,1,FALSE),"%^&amp;@%##@^")=A12,1,0)=1,职业列表!$V$27,IF(IFERROR(VLOOKUP(A12,职业列表!$J$3:$K$10,1,FALSE),"%^&amp;@%##@^")=A12,1,0)+IF(IFERROR(VLOOKUP(A12,职业列表!$J$31:$J$39,1,FALSE),"%^&amp;@%##@^")=A12,1,0)+IF(IFERROR(VLOOKUP(A12,职业列表!$J$43:$J$51,1,FALSE),"%^&amp;@%##@^")=A12,1,0)+IF(IFERROR(VLOOKUP(A12,职业列表!$J$55:$J$63,1,FALSE),"%^&amp;@%##@^")=A12,1,0)=0,0))</f>
        <v>0</v>
      </c>
      <c r="GX12" s="1618"/>
      <c r="GY12" s="1619" t="s">
        <v>101</v>
      </c>
      <c r="GZ12" s="1619" t="s">
        <v>101</v>
      </c>
      <c r="HA12" s="1618"/>
      <c r="HB12" s="1619" t="s">
        <v>101</v>
      </c>
      <c r="HC12" s="1619" t="s">
        <v>3452</v>
      </c>
      <c r="HD12" s="1618"/>
      <c r="HE12" s="1618"/>
      <c r="HF12" s="1650"/>
      <c r="HG12" s="1618" t="s">
        <v>101</v>
      </c>
      <c r="HH12" s="1618"/>
      <c r="HI12" s="1618"/>
      <c r="HJ12" s="1650" t="s">
        <v>101</v>
      </c>
      <c r="HK12" s="1618"/>
      <c r="HL12" s="1618"/>
      <c r="HM12" s="1619" t="s">
        <v>3440</v>
      </c>
      <c r="HN12" s="1619" t="s">
        <v>3440</v>
      </c>
      <c r="HO12" s="1618" t="s">
        <v>593</v>
      </c>
      <c r="HP12" s="1618"/>
      <c r="HQ12" s="1618"/>
      <c r="HR12" s="1618"/>
      <c r="HS12" s="1618"/>
      <c r="HT12" s="1619" t="s">
        <v>101</v>
      </c>
      <c r="HU12" s="1619" t="s">
        <v>101</v>
      </c>
      <c r="HV12" s="1619" t="s">
        <v>101</v>
      </c>
      <c r="HW12" s="1618"/>
      <c r="HX12" s="1618"/>
      <c r="HY12" s="1682"/>
      <c r="HZ12" s="1682"/>
      <c r="IA12" s="1682"/>
      <c r="IB12" s="1682"/>
      <c r="IC12" s="1682"/>
      <c r="ID12" s="1682"/>
      <c r="IE12" s="1682"/>
      <c r="IF12" s="1682"/>
      <c r="IG12" s="1682"/>
      <c r="IH12" s="1682"/>
      <c r="II12" s="1682"/>
      <c r="IJ12" s="1682"/>
      <c r="IK12" s="1682"/>
      <c r="IL12" s="1682"/>
      <c r="IM12" s="1682"/>
      <c r="IN12" s="1682"/>
      <c r="IO12" s="1682"/>
      <c r="IP12" s="1682"/>
      <c r="IQ12" s="1682"/>
      <c r="IR12" s="1682"/>
      <c r="IS12" s="1682"/>
      <c r="IT12" s="1682"/>
      <c r="IU12" s="1682"/>
      <c r="IV12" s="1682"/>
    </row>
    <row r="13" ht="20" customHeight="1" spans="1:256">
      <c r="A13" s="1620" t="s">
        <v>82</v>
      </c>
      <c r="B13" s="1621"/>
      <c r="C13" s="1621"/>
      <c r="D13" s="1621"/>
      <c r="E13" s="1621"/>
      <c r="F13" s="1621"/>
      <c r="G13" s="1621"/>
      <c r="H13" s="1621"/>
      <c r="I13" s="1621"/>
      <c r="J13" s="1621"/>
      <c r="K13" s="1621"/>
      <c r="L13" s="1616"/>
      <c r="M13" s="1621"/>
      <c r="N13" s="1621"/>
      <c r="O13" s="1621"/>
      <c r="P13" s="1621"/>
      <c r="Q13" s="1621"/>
      <c r="R13" s="1621"/>
      <c r="S13" s="1621"/>
      <c r="T13" s="1621"/>
      <c r="U13" s="1621"/>
      <c r="V13" s="1621"/>
      <c r="W13" s="1621"/>
      <c r="X13" s="1621"/>
      <c r="Y13" s="1621"/>
      <c r="Z13" s="1621"/>
      <c r="AA13" s="1616" t="s">
        <v>101</v>
      </c>
      <c r="AB13" s="1621"/>
      <c r="AC13" s="1621"/>
      <c r="AD13" s="1621"/>
      <c r="AE13" s="1621"/>
      <c r="AF13" s="1621"/>
      <c r="AG13" s="1621"/>
      <c r="AH13" s="1621"/>
      <c r="AI13" s="1621"/>
      <c r="AJ13" s="1621"/>
      <c r="AK13" s="1621"/>
      <c r="AL13" s="1621"/>
      <c r="AM13" s="1621"/>
      <c r="AN13" s="1621"/>
      <c r="AO13" s="1616" t="s">
        <v>101</v>
      </c>
      <c r="AP13" s="1621"/>
      <c r="AQ13" s="1621"/>
      <c r="AR13" s="1621"/>
      <c r="AS13" s="1621"/>
      <c r="AT13" s="1621"/>
      <c r="AU13" s="1621"/>
      <c r="AV13" s="1621"/>
      <c r="AW13" s="1621"/>
      <c r="AX13" s="1621"/>
      <c r="AY13" s="1616"/>
      <c r="AZ13" s="1665" t="s">
        <v>3453</v>
      </c>
      <c r="BA13" s="1621"/>
      <c r="BB13" s="1621"/>
      <c r="BC13" s="1621"/>
      <c r="BD13" s="1621"/>
      <c r="BE13" s="1621"/>
      <c r="BF13" s="1621"/>
      <c r="BG13" s="1621"/>
      <c r="BH13" s="1621"/>
      <c r="BI13" s="1621"/>
      <c r="BJ13" s="1621"/>
      <c r="BK13" s="1621"/>
      <c r="BL13" s="1621"/>
      <c r="BM13" s="1665" t="s">
        <v>3454</v>
      </c>
      <c r="BN13" s="1621"/>
      <c r="BO13" s="1621"/>
      <c r="BP13" s="1621"/>
      <c r="BQ13" s="1621"/>
      <c r="BR13" s="1621"/>
      <c r="BS13" s="1621"/>
      <c r="BT13" s="1621"/>
      <c r="BU13" s="1621"/>
      <c r="BV13" s="1616" t="s">
        <v>101</v>
      </c>
      <c r="BW13" s="1621"/>
      <c r="BX13" s="1621"/>
      <c r="BY13" s="1621"/>
      <c r="BZ13" s="1621"/>
      <c r="CA13" s="1621"/>
      <c r="CB13" s="1621"/>
      <c r="CC13" s="1621"/>
      <c r="CD13" s="1621"/>
      <c r="CE13" s="1621"/>
      <c r="CF13" s="1621"/>
      <c r="CG13" s="1621"/>
      <c r="CH13" s="1621"/>
      <c r="CI13" s="1621"/>
      <c r="CJ13" s="1621"/>
      <c r="CK13" s="1621"/>
      <c r="CL13" s="1621"/>
      <c r="CM13" s="1621"/>
      <c r="CN13" s="1621"/>
      <c r="CO13" s="1621"/>
      <c r="CP13" s="1621"/>
      <c r="CQ13" s="1621"/>
      <c r="CR13" s="1621"/>
      <c r="CS13" s="1621"/>
      <c r="CT13" s="1621"/>
      <c r="CU13" s="1621"/>
      <c r="CV13" s="1621"/>
      <c r="CW13" s="1621"/>
      <c r="CX13" s="1648" t="s">
        <v>3455</v>
      </c>
      <c r="CY13" s="1621"/>
      <c r="CZ13" s="1621"/>
      <c r="DA13" s="1621"/>
      <c r="DB13" s="1621"/>
      <c r="DC13" s="1621"/>
      <c r="DD13" s="1621"/>
      <c r="DE13" s="1621"/>
      <c r="DF13" s="1621"/>
      <c r="DG13" s="1621"/>
      <c r="DH13" s="1621"/>
      <c r="DI13" s="1621"/>
      <c r="DJ13" s="1621"/>
      <c r="DK13" s="1621"/>
      <c r="DL13" s="1616"/>
      <c r="DM13" s="1616"/>
      <c r="DN13" s="1616"/>
      <c r="DO13" s="1616"/>
      <c r="DP13" s="1616"/>
      <c r="DQ13" s="1616"/>
      <c r="DR13" s="1616"/>
      <c r="DS13" s="1616"/>
      <c r="DT13" s="1616"/>
      <c r="DU13" s="1616"/>
      <c r="DV13" s="1616"/>
      <c r="DW13" s="1616"/>
      <c r="DX13" s="1616"/>
      <c r="DY13" s="1616"/>
      <c r="DZ13" s="1616"/>
      <c r="EA13" s="1616"/>
      <c r="EB13" s="1616"/>
      <c r="EC13" s="1616"/>
      <c r="ED13" s="1616"/>
      <c r="EE13" s="1616"/>
      <c r="EF13" s="1616"/>
      <c r="EG13" s="1616"/>
      <c r="EH13" s="1616"/>
      <c r="EI13" s="1616"/>
      <c r="EJ13" s="1616"/>
      <c r="EK13" s="1616"/>
      <c r="EL13" s="1616"/>
      <c r="EM13" s="1616"/>
      <c r="EN13" s="1616"/>
      <c r="EO13" s="1616"/>
      <c r="EP13" s="1616"/>
      <c r="EQ13" s="1616"/>
      <c r="ER13" s="1616"/>
      <c r="ES13" s="1616"/>
      <c r="ET13" s="1616"/>
      <c r="EU13" s="1616"/>
      <c r="EV13" s="1616"/>
      <c r="EW13" s="1616"/>
      <c r="EX13" s="1616"/>
      <c r="EY13" s="1616"/>
      <c r="EZ13" s="1616"/>
      <c r="FA13" s="1616"/>
      <c r="FB13" s="1616"/>
      <c r="FC13" s="1616"/>
      <c r="FD13" s="1651" t="s">
        <v>101</v>
      </c>
      <c r="FE13" s="1616"/>
      <c r="FF13" s="1616"/>
      <c r="FG13" s="1616"/>
      <c r="FH13" s="1616"/>
      <c r="FI13" s="1651" t="s">
        <v>101</v>
      </c>
      <c r="FJ13" s="1616"/>
      <c r="FK13" s="1616"/>
      <c r="FL13" s="1616"/>
      <c r="FM13" s="1616"/>
      <c r="FN13" s="1616"/>
      <c r="FO13" s="1616"/>
      <c r="FP13" s="1616"/>
      <c r="FQ13" s="1616"/>
      <c r="FR13" s="1616"/>
      <c r="FS13" s="1616"/>
      <c r="FT13" s="1616"/>
      <c r="FU13" s="1616"/>
      <c r="FV13" s="1616"/>
      <c r="FW13" s="1651" t="s">
        <v>3456</v>
      </c>
      <c r="FX13" s="1651"/>
      <c r="FY13" s="1616"/>
      <c r="FZ13" s="1616"/>
      <c r="GA13" s="1616"/>
      <c r="GB13" s="1616"/>
      <c r="GC13" s="1616"/>
      <c r="GD13" s="1616"/>
      <c r="GE13" s="1651" t="s">
        <v>3449</v>
      </c>
      <c r="GF13" s="1651" t="s">
        <v>3457</v>
      </c>
      <c r="GG13" s="1651" t="s">
        <v>3458</v>
      </c>
      <c r="GH13" s="1616"/>
      <c r="GI13" s="1616"/>
      <c r="GJ13" s="1616"/>
      <c r="GK13" s="1616"/>
      <c r="GL13" s="1651" t="s">
        <v>3449</v>
      </c>
      <c r="GM13" s="1616"/>
      <c r="GN13" s="1616"/>
      <c r="GO13" s="1616"/>
      <c r="GP13" s="1651" t="s">
        <v>3459</v>
      </c>
      <c r="GQ13" s="1616"/>
      <c r="GR13" s="1616"/>
      <c r="GS13" s="1616"/>
      <c r="GT13" s="1616"/>
      <c r="GU13" s="1616"/>
      <c r="GV13" s="1616"/>
      <c r="GW13" s="1669">
        <f>IF(职业列表!$W$27=0,0,_xlfn.IFS(IF(IFERROR(VLOOKUP(A13,职业列表!$J$3:$K$10,1,FALSE),"%^&amp;@%##@^")=A13,1,0)=1,"★",IF(IFERROR(VLOOKUP(A13,职业列表!$J$31:$J$39,1,FALSE),"%^&amp;@%##@^")=A13,1,0)=1,职业列表!$V$25,IF(IFERROR(VLOOKUP(A13,职业列表!$J$43:$J$51,1,FALSE),"%^&amp;@%##@^")=A13,1,0)=1,职业列表!$V$26,IF(IFERROR(VLOOKUP(A13,职业列表!$J$55:$J$63,1,FALSE),"%^&amp;@%##@^")=A13,1,0)=1,职业列表!$V$27,IF(IFERROR(VLOOKUP(A13,职业列表!$J$3:$K$10,1,FALSE),"%^&amp;@%##@^")=A13,1,0)+IF(IFERROR(VLOOKUP(A13,职业列表!$J$31:$J$39,1,FALSE),"%^&amp;@%##@^")=A13,1,0)+IF(IFERROR(VLOOKUP(A13,职业列表!$J$43:$J$51,1,FALSE),"%^&amp;@%##@^")=A13,1,0)+IF(IFERROR(VLOOKUP(A13,职业列表!$J$55:$J$63,1,FALSE),"%^&amp;@%##@^")=A13,1,0)=0,0))</f>
        <v>0</v>
      </c>
      <c r="GX13" s="1616"/>
      <c r="GY13" s="1621"/>
      <c r="GZ13" s="1621"/>
      <c r="HA13" s="1621"/>
      <c r="HB13" s="1621"/>
      <c r="HC13" s="1621"/>
      <c r="HD13" s="1621"/>
      <c r="HE13" s="1621"/>
      <c r="HF13" s="1616"/>
      <c r="HG13" s="1621"/>
      <c r="HH13" s="1621"/>
      <c r="HI13" s="1621"/>
      <c r="HJ13" s="1621"/>
      <c r="HK13" s="1621"/>
      <c r="HL13" s="1621"/>
      <c r="HM13" s="1621"/>
      <c r="HN13" s="1621"/>
      <c r="HO13" s="1621"/>
      <c r="HP13" s="1621"/>
      <c r="HQ13" s="1621"/>
      <c r="HR13" s="1621"/>
      <c r="HS13" s="1621"/>
      <c r="HT13" s="1621"/>
      <c r="HU13" s="1616"/>
      <c r="HV13" s="1621"/>
      <c r="HW13" s="1621"/>
      <c r="HX13" s="1621"/>
      <c r="HY13" s="1681"/>
      <c r="HZ13" s="1681"/>
      <c r="IA13" s="1681"/>
      <c r="IB13" s="1681"/>
      <c r="IC13" s="1681"/>
      <c r="ID13" s="1681"/>
      <c r="IE13" s="1681"/>
      <c r="IF13" s="1681"/>
      <c r="IG13" s="1681"/>
      <c r="IH13" s="1681"/>
      <c r="II13" s="1681"/>
      <c r="IJ13" s="1681"/>
      <c r="IK13" s="1681"/>
      <c r="IL13" s="1681"/>
      <c r="IM13" s="1681"/>
      <c r="IN13" s="1681"/>
      <c r="IO13" s="1681"/>
      <c r="IP13" s="1681"/>
      <c r="IQ13" s="1681"/>
      <c r="IR13" s="1681"/>
      <c r="IS13" s="1681"/>
      <c r="IT13" s="1681"/>
      <c r="IU13" s="1681"/>
      <c r="IV13" s="1681"/>
    </row>
    <row r="14" ht="20" customHeight="1" spans="1:256">
      <c r="A14" s="1620" t="s">
        <v>84</v>
      </c>
      <c r="B14" s="1621"/>
      <c r="C14" s="1621"/>
      <c r="D14" s="1621"/>
      <c r="E14" s="1621"/>
      <c r="F14" s="1621"/>
      <c r="G14" s="1621"/>
      <c r="H14" s="1621"/>
      <c r="I14" s="1621"/>
      <c r="J14" s="1621"/>
      <c r="K14" s="1621"/>
      <c r="L14" s="1621"/>
      <c r="M14" s="1621"/>
      <c r="N14" s="1621"/>
      <c r="O14" s="1621"/>
      <c r="P14" s="1621"/>
      <c r="Q14" s="1621"/>
      <c r="R14" s="1621"/>
      <c r="S14" s="1621"/>
      <c r="T14" s="1621"/>
      <c r="U14" s="1621"/>
      <c r="V14" s="1621"/>
      <c r="W14" s="1621"/>
      <c r="X14" s="1621"/>
      <c r="Y14" s="1621"/>
      <c r="Z14" s="1621"/>
      <c r="AA14" s="1621"/>
      <c r="AB14" s="1621"/>
      <c r="AC14" s="1621"/>
      <c r="AD14" s="1621"/>
      <c r="AE14" s="1621"/>
      <c r="AF14" s="1621"/>
      <c r="AG14" s="1621"/>
      <c r="AH14" s="1621"/>
      <c r="AI14" s="1621"/>
      <c r="AJ14" s="1621"/>
      <c r="AK14" s="1621"/>
      <c r="AL14" s="1621"/>
      <c r="AM14" s="1621"/>
      <c r="AN14" s="1621"/>
      <c r="AO14" s="1621"/>
      <c r="AP14" s="1621"/>
      <c r="AQ14" s="1621"/>
      <c r="AR14" s="1621"/>
      <c r="AS14" s="1621"/>
      <c r="AT14" s="1621"/>
      <c r="AU14" s="1621"/>
      <c r="AV14" s="1621"/>
      <c r="AW14" s="1621"/>
      <c r="AX14" s="1621"/>
      <c r="AY14" s="1621"/>
      <c r="AZ14" s="1665" t="s">
        <v>3460</v>
      </c>
      <c r="BA14" s="1621"/>
      <c r="BB14" s="1621"/>
      <c r="BC14" s="1621"/>
      <c r="BD14" s="1621"/>
      <c r="BE14" s="1621"/>
      <c r="BF14" s="1621"/>
      <c r="BG14" s="1621"/>
      <c r="BH14" s="1621"/>
      <c r="BI14" s="1621"/>
      <c r="BJ14" s="1621"/>
      <c r="BK14" s="1621"/>
      <c r="BL14" s="1621"/>
      <c r="BM14" s="1621"/>
      <c r="BN14" s="1621"/>
      <c r="BO14" s="1621"/>
      <c r="BP14" s="1621"/>
      <c r="BQ14" s="1621"/>
      <c r="BR14" s="1621"/>
      <c r="BS14" s="1621"/>
      <c r="BT14" s="1621"/>
      <c r="BU14" s="1621"/>
      <c r="BV14" s="1616" t="s">
        <v>101</v>
      </c>
      <c r="BW14" s="1621"/>
      <c r="BX14" s="1621"/>
      <c r="BY14" s="1621"/>
      <c r="BZ14" s="1621"/>
      <c r="CA14" s="1621"/>
      <c r="CB14" s="1621"/>
      <c r="CC14" s="1621"/>
      <c r="CD14" s="1621"/>
      <c r="CE14" s="1621"/>
      <c r="CF14" s="1621"/>
      <c r="CG14" s="1621"/>
      <c r="CH14" s="1621"/>
      <c r="CI14" s="1621"/>
      <c r="CJ14" s="1621"/>
      <c r="CK14" s="1621"/>
      <c r="CL14" s="1621"/>
      <c r="CM14" s="1621"/>
      <c r="CN14" s="1621"/>
      <c r="CO14" s="1621"/>
      <c r="CP14" s="1621"/>
      <c r="CQ14" s="1621"/>
      <c r="CR14" s="1621"/>
      <c r="CS14" s="1621"/>
      <c r="CT14" s="1621"/>
      <c r="CU14" s="1621"/>
      <c r="CV14" s="1621"/>
      <c r="CW14" s="1621"/>
      <c r="CX14" s="1648" t="s">
        <v>3461</v>
      </c>
      <c r="CY14" s="1621"/>
      <c r="CZ14" s="1621"/>
      <c r="DA14" s="1621"/>
      <c r="DB14" s="1621"/>
      <c r="DC14" s="1621"/>
      <c r="DD14" s="1621"/>
      <c r="DE14" s="1621"/>
      <c r="DF14" s="1621"/>
      <c r="DG14" s="1621"/>
      <c r="DH14" s="1621"/>
      <c r="DI14" s="1621"/>
      <c r="DJ14" s="1621"/>
      <c r="DK14" s="1621"/>
      <c r="DL14" s="1616"/>
      <c r="DM14" s="1616"/>
      <c r="DN14" s="1616"/>
      <c r="DO14" s="1616"/>
      <c r="DP14" s="1616"/>
      <c r="DQ14" s="1616"/>
      <c r="DR14" s="1616"/>
      <c r="DS14" s="1616"/>
      <c r="DT14" s="1616"/>
      <c r="DU14" s="1616"/>
      <c r="DV14" s="1616"/>
      <c r="DW14" s="1616"/>
      <c r="DX14" s="1616"/>
      <c r="DY14" s="1616"/>
      <c r="DZ14" s="1616"/>
      <c r="EA14" s="1616"/>
      <c r="EB14" s="1616"/>
      <c r="EC14" s="1616"/>
      <c r="ED14" s="1616"/>
      <c r="EE14" s="1616"/>
      <c r="EF14" s="1616"/>
      <c r="EG14" s="1616"/>
      <c r="EH14" s="1616"/>
      <c r="EI14" s="1616"/>
      <c r="EJ14" s="1616"/>
      <c r="EK14" s="1616"/>
      <c r="EL14" s="1616"/>
      <c r="EM14" s="1616"/>
      <c r="EN14" s="1616"/>
      <c r="EO14" s="1616"/>
      <c r="EP14" s="1616"/>
      <c r="EQ14" s="1616"/>
      <c r="ER14" s="1616"/>
      <c r="ES14" s="1616"/>
      <c r="ET14" s="1616"/>
      <c r="EU14" s="1616"/>
      <c r="EV14" s="1616"/>
      <c r="EW14" s="1616"/>
      <c r="EX14" s="1616"/>
      <c r="EY14" s="1616"/>
      <c r="EZ14" s="1616"/>
      <c r="FA14" s="1616"/>
      <c r="FB14" s="1616"/>
      <c r="FC14" s="1616"/>
      <c r="FD14" s="1616"/>
      <c r="FE14" s="1616"/>
      <c r="FF14" s="1616"/>
      <c r="FG14" s="1616"/>
      <c r="FH14" s="1616"/>
      <c r="FI14" s="1616"/>
      <c r="FJ14" s="1616"/>
      <c r="FK14" s="1616"/>
      <c r="FL14" s="1616"/>
      <c r="FM14" s="1616"/>
      <c r="FN14" s="1616"/>
      <c r="FO14" s="1616"/>
      <c r="FP14" s="1616"/>
      <c r="FQ14" s="1616"/>
      <c r="FR14" s="1616"/>
      <c r="FS14" s="1616"/>
      <c r="FT14" s="1616"/>
      <c r="FU14" s="1616"/>
      <c r="FV14" s="1616"/>
      <c r="FW14" s="1651" t="s">
        <v>3462</v>
      </c>
      <c r="FX14" s="1616"/>
      <c r="FY14" s="1616"/>
      <c r="FZ14" s="1616"/>
      <c r="GA14" s="1616"/>
      <c r="GB14" s="1616"/>
      <c r="GC14" s="1616"/>
      <c r="GD14" s="1616"/>
      <c r="GE14" s="1651" t="s">
        <v>3457</v>
      </c>
      <c r="GF14" s="1651" t="s">
        <v>3443</v>
      </c>
      <c r="GG14" s="1651" t="s">
        <v>3463</v>
      </c>
      <c r="GH14" s="1616"/>
      <c r="GI14" s="1616"/>
      <c r="GJ14" s="1616"/>
      <c r="GK14" s="1616"/>
      <c r="GL14" s="1651" t="s">
        <v>3458</v>
      </c>
      <c r="GM14" s="1616"/>
      <c r="GN14" s="1616"/>
      <c r="GO14" s="1616"/>
      <c r="GP14" s="1651" t="s">
        <v>3464</v>
      </c>
      <c r="GQ14" s="1616"/>
      <c r="GR14" s="1616"/>
      <c r="GS14" s="1616"/>
      <c r="GT14" s="1616"/>
      <c r="GU14" s="1616"/>
      <c r="GV14" s="1616"/>
      <c r="GW14" s="1669">
        <f>IF(职业列表!$W$27=0,0,_xlfn.IFS(IF(IFERROR(VLOOKUP(A14,职业列表!$J$3:$K$10,1,FALSE),"%^&amp;@%##@^")=A14,1,0)=1,"★",IF(IFERROR(VLOOKUP(A14,职业列表!$J$31:$J$39,1,FALSE),"%^&amp;@%##@^")=A14,1,0)=1,职业列表!$V$25,IF(IFERROR(VLOOKUP(A14,职业列表!$J$43:$J$51,1,FALSE),"%^&amp;@%##@^")=A14,1,0)=1,职业列表!$V$26,IF(IFERROR(VLOOKUP(A14,职业列表!$J$55:$J$63,1,FALSE),"%^&amp;@%##@^")=A14,1,0)=1,职业列表!$V$27,IF(IFERROR(VLOOKUP(A14,职业列表!$J$3:$K$10,1,FALSE),"%^&amp;@%##@^")=A14,1,0)+IF(IFERROR(VLOOKUP(A14,职业列表!$J$31:$J$39,1,FALSE),"%^&amp;@%##@^")=A14,1,0)+IF(IFERROR(VLOOKUP(A14,职业列表!$J$43:$J$51,1,FALSE),"%^&amp;@%##@^")=A14,1,0)+IF(IFERROR(VLOOKUP(A14,职业列表!$J$55:$J$63,1,FALSE),"%^&amp;@%##@^")=A14,1,0)=0,0))</f>
        <v>0</v>
      </c>
      <c r="GX14" s="1616"/>
      <c r="GY14" s="1621"/>
      <c r="GZ14" s="1621"/>
      <c r="HA14" s="1621"/>
      <c r="HB14" s="1621"/>
      <c r="HC14" s="1621"/>
      <c r="HD14" s="1621"/>
      <c r="HE14" s="1621"/>
      <c r="HF14" s="1621"/>
      <c r="HG14" s="1621"/>
      <c r="HH14" s="1621"/>
      <c r="HI14" s="1621"/>
      <c r="HJ14" s="1621"/>
      <c r="HK14" s="1621"/>
      <c r="HL14" s="1621"/>
      <c r="HM14" s="1621"/>
      <c r="HN14" s="1621"/>
      <c r="HO14" s="1621"/>
      <c r="HP14" s="1621"/>
      <c r="HQ14" s="1621"/>
      <c r="HR14" s="1621"/>
      <c r="HS14" s="1621"/>
      <c r="HT14" s="1621"/>
      <c r="HU14" s="1621"/>
      <c r="HV14" s="1621"/>
      <c r="HW14" s="1621"/>
      <c r="HX14" s="1621"/>
      <c r="HY14" s="1681"/>
      <c r="HZ14" s="1681"/>
      <c r="IA14" s="1681"/>
      <c r="IB14" s="1681"/>
      <c r="IC14" s="1681"/>
      <c r="ID14" s="1681"/>
      <c r="IE14" s="1681"/>
      <c r="IF14" s="1681"/>
      <c r="IG14" s="1681"/>
      <c r="IH14" s="1681"/>
      <c r="II14" s="1681"/>
      <c r="IJ14" s="1681"/>
      <c r="IK14" s="1681"/>
      <c r="IL14" s="1681"/>
      <c r="IM14" s="1681"/>
      <c r="IN14" s="1681"/>
      <c r="IO14" s="1681"/>
      <c r="IP14" s="1681"/>
      <c r="IQ14" s="1681"/>
      <c r="IR14" s="1681"/>
      <c r="IS14" s="1681"/>
      <c r="IT14" s="1681"/>
      <c r="IU14" s="1681"/>
      <c r="IV14" s="1681"/>
    </row>
    <row r="15" s="1597" customFormat="1" ht="20" customHeight="1" spans="1:256">
      <c r="A15" s="1622" t="s">
        <v>87</v>
      </c>
      <c r="B15" s="1623"/>
      <c r="C15" s="1623"/>
      <c r="D15" s="1624" t="s">
        <v>597</v>
      </c>
      <c r="E15" s="1623" t="s">
        <v>597</v>
      </c>
      <c r="F15" s="1623" t="s">
        <v>597</v>
      </c>
      <c r="G15" s="1623"/>
      <c r="H15" s="1623"/>
      <c r="I15" s="1623" t="s">
        <v>597</v>
      </c>
      <c r="J15" s="1623" t="s">
        <v>597</v>
      </c>
      <c r="K15" s="1623"/>
      <c r="L15" s="1623"/>
      <c r="M15" s="1623" t="s">
        <v>597</v>
      </c>
      <c r="N15" s="1624" t="s">
        <v>597</v>
      </c>
      <c r="O15" s="1623" t="s">
        <v>597</v>
      </c>
      <c r="P15" s="1623"/>
      <c r="Q15" s="1623" t="s">
        <v>597</v>
      </c>
      <c r="R15" s="1623"/>
      <c r="S15" s="1623" t="s">
        <v>597</v>
      </c>
      <c r="T15" s="1623" t="s">
        <v>597</v>
      </c>
      <c r="U15" s="1623"/>
      <c r="V15" s="1623"/>
      <c r="W15" s="1654" t="s">
        <v>597</v>
      </c>
      <c r="X15" s="1623"/>
      <c r="Y15" s="1654" t="s">
        <v>597</v>
      </c>
      <c r="Z15" s="1623"/>
      <c r="AA15" s="1623"/>
      <c r="AB15" s="1623"/>
      <c r="AC15" s="1623"/>
      <c r="AD15" s="1654" t="s">
        <v>597</v>
      </c>
      <c r="AE15" s="1623"/>
      <c r="AF15" s="1654" t="s">
        <v>597</v>
      </c>
      <c r="AG15" s="1654" t="s">
        <v>597</v>
      </c>
      <c r="AH15" s="1654" t="s">
        <v>597</v>
      </c>
      <c r="AI15" s="1654" t="s">
        <v>597</v>
      </c>
      <c r="AJ15" s="1623"/>
      <c r="AK15" s="1654" t="s">
        <v>597</v>
      </c>
      <c r="AL15" s="1654" t="s">
        <v>597</v>
      </c>
      <c r="AM15" s="1654" t="s">
        <v>597</v>
      </c>
      <c r="AN15" s="1654" t="s">
        <v>597</v>
      </c>
      <c r="AO15" s="1660"/>
      <c r="AP15" s="1654" t="s">
        <v>597</v>
      </c>
      <c r="AQ15" s="1623"/>
      <c r="AR15" s="1623"/>
      <c r="AS15" s="1654" t="s">
        <v>597</v>
      </c>
      <c r="AT15" s="1654" t="s">
        <v>597</v>
      </c>
      <c r="AU15" s="1654" t="s">
        <v>597</v>
      </c>
      <c r="AV15" s="1623"/>
      <c r="AW15" s="1654" t="s">
        <v>597</v>
      </c>
      <c r="AX15" s="1623" t="s">
        <v>101</v>
      </c>
      <c r="AY15" s="1623"/>
      <c r="AZ15" s="1654" t="s">
        <v>597</v>
      </c>
      <c r="BA15" s="1623"/>
      <c r="BB15" s="1654" t="s">
        <v>597</v>
      </c>
      <c r="BC15" s="1623"/>
      <c r="BD15" s="1623"/>
      <c r="BE15" s="1654" t="s">
        <v>597</v>
      </c>
      <c r="BF15" s="1623"/>
      <c r="BG15" s="1654" t="s">
        <v>597</v>
      </c>
      <c r="BH15" s="1654" t="s">
        <v>597</v>
      </c>
      <c r="BI15" s="1654" t="s">
        <v>597</v>
      </c>
      <c r="BJ15" s="1654" t="s">
        <v>597</v>
      </c>
      <c r="BK15" s="1623"/>
      <c r="BL15" s="1654" t="s">
        <v>597</v>
      </c>
      <c r="BM15" s="1654" t="s">
        <v>597</v>
      </c>
      <c r="BN15" s="1654" t="s">
        <v>597</v>
      </c>
      <c r="BO15" s="1623"/>
      <c r="BP15" s="1623"/>
      <c r="BQ15" s="1623"/>
      <c r="BR15" s="1623"/>
      <c r="BS15" s="1660"/>
      <c r="BT15" s="1654" t="s">
        <v>597</v>
      </c>
      <c r="BU15" s="1623"/>
      <c r="BV15" s="1623"/>
      <c r="BW15" s="1654" t="s">
        <v>597</v>
      </c>
      <c r="BX15" s="1654" t="s">
        <v>597</v>
      </c>
      <c r="BY15" s="1623"/>
      <c r="BZ15" s="1623"/>
      <c r="CA15" s="1654" t="s">
        <v>597</v>
      </c>
      <c r="CB15" s="1654" t="s">
        <v>597</v>
      </c>
      <c r="CC15" s="1654" t="s">
        <v>597</v>
      </c>
      <c r="CD15" s="1623"/>
      <c r="CE15" s="1623"/>
      <c r="CF15" s="1654" t="s">
        <v>597</v>
      </c>
      <c r="CG15" s="1654" t="s">
        <v>597</v>
      </c>
      <c r="CH15" s="1654" t="s">
        <v>597</v>
      </c>
      <c r="CI15" s="1623"/>
      <c r="CJ15" s="1623"/>
      <c r="CK15" s="1654" t="s">
        <v>597</v>
      </c>
      <c r="CL15" s="1623" t="s">
        <v>597</v>
      </c>
      <c r="CM15" s="1654" t="s">
        <v>597</v>
      </c>
      <c r="CN15" s="1623"/>
      <c r="CO15" s="1654"/>
      <c r="CP15" s="1654" t="s">
        <v>597</v>
      </c>
      <c r="CQ15" s="1623"/>
      <c r="CR15" s="1623"/>
      <c r="CS15" s="1654" t="s">
        <v>597</v>
      </c>
      <c r="CT15" s="1623"/>
      <c r="CU15" s="1654" t="s">
        <v>597</v>
      </c>
      <c r="CV15" s="1654" t="s">
        <v>597</v>
      </c>
      <c r="CW15" s="1654" t="s">
        <v>597</v>
      </c>
      <c r="CX15" s="1623" t="s">
        <v>597</v>
      </c>
      <c r="CY15" s="1654" t="s">
        <v>597</v>
      </c>
      <c r="CZ15" s="1623"/>
      <c r="DA15" s="1654" t="s">
        <v>597</v>
      </c>
      <c r="DB15" s="1623"/>
      <c r="DC15" s="1623"/>
      <c r="DD15" s="1623"/>
      <c r="DE15" s="1654" t="s">
        <v>597</v>
      </c>
      <c r="DF15" s="1654" t="s">
        <v>597</v>
      </c>
      <c r="DG15" s="1654" t="s">
        <v>597</v>
      </c>
      <c r="DH15" s="1654" t="s">
        <v>597</v>
      </c>
      <c r="DI15" s="1654" t="s">
        <v>597</v>
      </c>
      <c r="DJ15" s="1654" t="s">
        <v>597</v>
      </c>
      <c r="DK15" s="1623"/>
      <c r="DL15" s="1654" t="s">
        <v>101</v>
      </c>
      <c r="DM15" s="1654" t="s">
        <v>597</v>
      </c>
      <c r="DN15" s="1654" t="s">
        <v>597</v>
      </c>
      <c r="DO15" s="1654" t="s">
        <v>597</v>
      </c>
      <c r="DP15" s="1654" t="s">
        <v>597</v>
      </c>
      <c r="DQ15" s="1654" t="s">
        <v>597</v>
      </c>
      <c r="DR15" s="1654" t="s">
        <v>597</v>
      </c>
      <c r="DS15" s="1654" t="s">
        <v>597</v>
      </c>
      <c r="DT15" s="1654" t="s">
        <v>597</v>
      </c>
      <c r="DU15" s="1654" t="s">
        <v>597</v>
      </c>
      <c r="DV15" s="1654" t="s">
        <v>597</v>
      </c>
      <c r="DW15" s="1654" t="s">
        <v>597</v>
      </c>
      <c r="DX15" s="1654" t="s">
        <v>597</v>
      </c>
      <c r="DY15" s="1654" t="s">
        <v>597</v>
      </c>
      <c r="DZ15" s="1654" t="s">
        <v>597</v>
      </c>
      <c r="EA15" s="1654" t="s">
        <v>597</v>
      </c>
      <c r="EB15" s="1623"/>
      <c r="EC15" s="1654" t="s">
        <v>597</v>
      </c>
      <c r="ED15" s="1623"/>
      <c r="EE15" s="1623"/>
      <c r="EF15" s="1623"/>
      <c r="EG15" s="1654" t="s">
        <v>597</v>
      </c>
      <c r="EH15" s="1654" t="s">
        <v>597</v>
      </c>
      <c r="EI15" s="1654" t="s">
        <v>597</v>
      </c>
      <c r="EJ15" s="1623"/>
      <c r="EK15" s="1654" t="s">
        <v>597</v>
      </c>
      <c r="EL15" s="1623"/>
      <c r="EM15" s="1654" t="s">
        <v>597</v>
      </c>
      <c r="EN15" s="1623"/>
      <c r="EO15" s="1654" t="s">
        <v>101</v>
      </c>
      <c r="EP15" s="1654" t="s">
        <v>597</v>
      </c>
      <c r="EQ15" s="1654" t="s">
        <v>597</v>
      </c>
      <c r="ER15" s="1654" t="s">
        <v>597</v>
      </c>
      <c r="ES15" s="1654" t="s">
        <v>597</v>
      </c>
      <c r="ET15" s="1654" t="s">
        <v>597</v>
      </c>
      <c r="EU15" s="1623"/>
      <c r="EV15" s="1654" t="s">
        <v>597</v>
      </c>
      <c r="EW15" s="1654" t="s">
        <v>597</v>
      </c>
      <c r="EX15" s="1623"/>
      <c r="EY15" s="1654" t="s">
        <v>597</v>
      </c>
      <c r="EZ15" s="1654" t="s">
        <v>597</v>
      </c>
      <c r="FA15" s="1623"/>
      <c r="FB15" s="1623"/>
      <c r="FC15" s="1654" t="s">
        <v>597</v>
      </c>
      <c r="FD15" s="1654" t="s">
        <v>597</v>
      </c>
      <c r="FE15" s="1654" t="s">
        <v>597</v>
      </c>
      <c r="FF15" s="1623"/>
      <c r="FG15" s="1623"/>
      <c r="FH15" s="1623"/>
      <c r="FI15" s="1623"/>
      <c r="FJ15" s="1623"/>
      <c r="FK15" s="1654" t="s">
        <v>597</v>
      </c>
      <c r="FL15" s="1623"/>
      <c r="FM15" s="1623"/>
      <c r="FN15" s="1623"/>
      <c r="FO15" s="1654" t="s">
        <v>597</v>
      </c>
      <c r="FP15" s="1654" t="s">
        <v>597</v>
      </c>
      <c r="FQ15" s="1623"/>
      <c r="FR15" s="1623"/>
      <c r="FS15" s="1623"/>
      <c r="FT15" s="1654" t="s">
        <v>597</v>
      </c>
      <c r="FU15" s="1623"/>
      <c r="FV15" s="1623"/>
      <c r="FW15" s="1654" t="s">
        <v>597</v>
      </c>
      <c r="FX15" s="1623"/>
      <c r="FY15" s="1623"/>
      <c r="FZ15" s="1654" t="s">
        <v>597</v>
      </c>
      <c r="GA15" s="1623"/>
      <c r="GB15" s="1623"/>
      <c r="GC15" s="1623"/>
      <c r="GD15" s="1654" t="s">
        <v>597</v>
      </c>
      <c r="GE15" s="1654" t="s">
        <v>597</v>
      </c>
      <c r="GF15" s="1654" t="s">
        <v>597</v>
      </c>
      <c r="GG15" s="1654" t="s">
        <v>597</v>
      </c>
      <c r="GH15" s="1623"/>
      <c r="GI15" s="1654" t="s">
        <v>101</v>
      </c>
      <c r="GJ15" s="1654" t="s">
        <v>101</v>
      </c>
      <c r="GK15" s="1654" t="s">
        <v>101</v>
      </c>
      <c r="GL15" s="1654" t="s">
        <v>597</v>
      </c>
      <c r="GM15" s="1654" t="s">
        <v>597</v>
      </c>
      <c r="GN15" s="1654" t="s">
        <v>597</v>
      </c>
      <c r="GO15" s="1654" t="s">
        <v>597</v>
      </c>
      <c r="GP15" s="1623"/>
      <c r="GQ15" s="1623"/>
      <c r="GR15" s="1654" t="s">
        <v>597</v>
      </c>
      <c r="GS15" s="1623"/>
      <c r="GT15" s="1623"/>
      <c r="GU15" s="1654" t="s">
        <v>597</v>
      </c>
      <c r="GV15" s="1654" t="s">
        <v>597</v>
      </c>
      <c r="GW15" s="1669">
        <f>IF(职业列表!$W$27=0,0,_xlfn.IFS(IF(IFERROR(VLOOKUP(A15,职业列表!$J$3:$K$10,1,FALSE),"%^&amp;@%##@^")=A15,1,0)=1,"★",IF(IFERROR(VLOOKUP(A15,职业列表!$J$31:$J$39,1,FALSE),"%^&amp;@%##@^")=A15,1,0)=1,职业列表!$V$25,IF(IFERROR(VLOOKUP(A15,职业列表!$J$43:$J$51,1,FALSE),"%^&amp;@%##@^")=A15,1,0)=1,职业列表!$V$26,IF(IFERROR(VLOOKUP(A15,职业列表!$J$55:$J$63,1,FALSE),"%^&amp;@%##@^")=A15,1,0)=1,职业列表!$V$27,IF(IFERROR(VLOOKUP(A15,职业列表!$J$3:$K$10,1,FALSE),"%^&amp;@%##@^")=A15,1,0)+IF(IFERROR(VLOOKUP(A15,职业列表!$J$31:$J$39,1,FALSE),"%^&amp;@%##@^")=A15,1,0)+IF(IFERROR(VLOOKUP(A15,职业列表!$J$43:$J$51,1,FALSE),"%^&amp;@%##@^")=A15,1,0)+IF(IFERROR(VLOOKUP(A15,职业列表!$J$55:$J$63,1,FALSE),"%^&amp;@%##@^")=A15,1,0)=0,0))</f>
        <v>0</v>
      </c>
      <c r="GX15" s="1623"/>
      <c r="GY15" s="1624" t="s">
        <v>597</v>
      </c>
      <c r="GZ15" s="1623" t="s">
        <v>597</v>
      </c>
      <c r="HA15" s="1623" t="s">
        <v>597</v>
      </c>
      <c r="HB15" s="1623"/>
      <c r="HC15" s="1623" t="s">
        <v>597</v>
      </c>
      <c r="HD15" s="1623"/>
      <c r="HE15" s="1623" t="s">
        <v>597</v>
      </c>
      <c r="HF15" s="1623"/>
      <c r="HG15" s="1624" t="s">
        <v>597</v>
      </c>
      <c r="HH15" s="1623" t="s">
        <v>597</v>
      </c>
      <c r="HI15" s="1623"/>
      <c r="HJ15" s="1623" t="s">
        <v>597</v>
      </c>
      <c r="HK15" s="1624" t="s">
        <v>597</v>
      </c>
      <c r="HL15" s="1623"/>
      <c r="HM15" s="1623" t="s">
        <v>597</v>
      </c>
      <c r="HN15" s="1624" t="s">
        <v>597</v>
      </c>
      <c r="HO15" s="1624" t="s">
        <v>597</v>
      </c>
      <c r="HP15" s="1623" t="s">
        <v>597</v>
      </c>
      <c r="HQ15" s="1654"/>
      <c r="HR15" s="1624" t="s">
        <v>597</v>
      </c>
      <c r="HS15" s="1623" t="s">
        <v>597</v>
      </c>
      <c r="HT15" s="1623" t="s">
        <v>597</v>
      </c>
      <c r="HU15" s="1623"/>
      <c r="HV15" s="1624" t="s">
        <v>597</v>
      </c>
      <c r="HW15" s="1623"/>
      <c r="HX15" s="1654" t="s">
        <v>597</v>
      </c>
      <c r="HY15" s="1683"/>
      <c r="HZ15" s="1683"/>
      <c r="IA15" s="1684" t="s">
        <v>597</v>
      </c>
      <c r="IB15" s="1683" t="s">
        <v>597</v>
      </c>
      <c r="IC15" s="1683"/>
      <c r="ID15" s="1683"/>
      <c r="IE15" s="1683"/>
      <c r="IF15" s="1683"/>
      <c r="IG15" s="1683"/>
      <c r="IH15" s="1683"/>
      <c r="II15" s="1683"/>
      <c r="IJ15" s="1683"/>
      <c r="IK15" s="1683"/>
      <c r="IL15" s="1683"/>
      <c r="IM15" s="1683"/>
      <c r="IN15" s="1683"/>
      <c r="IO15" s="1683"/>
      <c r="IP15" s="1683"/>
      <c r="IQ15" s="1683"/>
      <c r="IR15" s="1683"/>
      <c r="IS15" s="1683"/>
      <c r="IT15" s="1683"/>
      <c r="IU15" s="1683"/>
      <c r="IV15" s="1683"/>
    </row>
    <row r="16" ht="20" customHeight="1" spans="1:256">
      <c r="A16" s="1615" t="s">
        <v>90</v>
      </c>
      <c r="B16" s="1616"/>
      <c r="C16" s="1616" t="s">
        <v>101</v>
      </c>
      <c r="D16" s="1616"/>
      <c r="E16" s="1616"/>
      <c r="F16" s="1616"/>
      <c r="G16" s="1616"/>
      <c r="H16" s="1616"/>
      <c r="I16" s="1616"/>
      <c r="J16" s="1616"/>
      <c r="K16" s="1616"/>
      <c r="L16" s="1616"/>
      <c r="M16" s="1616"/>
      <c r="N16" s="1616"/>
      <c r="O16" s="1616" t="s">
        <v>101</v>
      </c>
      <c r="P16" s="1616"/>
      <c r="Q16" s="1616"/>
      <c r="R16" s="1616"/>
      <c r="S16" s="1616"/>
      <c r="T16" s="1616"/>
      <c r="U16" s="1616"/>
      <c r="V16" s="1616"/>
      <c r="W16" s="1616"/>
      <c r="X16" s="1616"/>
      <c r="Y16" s="1616"/>
      <c r="Z16" s="1616"/>
      <c r="AA16" s="1616"/>
      <c r="AB16" s="1616"/>
      <c r="AC16" s="1616"/>
      <c r="AD16" s="1616"/>
      <c r="AE16" s="1616" t="s">
        <v>101</v>
      </c>
      <c r="AF16" s="1616"/>
      <c r="AG16" s="1616"/>
      <c r="AH16" s="1616"/>
      <c r="AI16" s="1616"/>
      <c r="AJ16" s="1616"/>
      <c r="AK16" s="1616"/>
      <c r="AL16" s="1616" t="s">
        <v>101</v>
      </c>
      <c r="AM16" s="1616"/>
      <c r="AN16" s="1616"/>
      <c r="AO16" s="1616"/>
      <c r="AP16" s="1616"/>
      <c r="AQ16" s="1616"/>
      <c r="AR16" s="1616"/>
      <c r="AS16" s="1616" t="s">
        <v>101</v>
      </c>
      <c r="AT16" s="1616"/>
      <c r="AU16" s="1616"/>
      <c r="AV16" s="1616"/>
      <c r="AW16" s="1616"/>
      <c r="AX16" s="1616"/>
      <c r="AY16" s="1616"/>
      <c r="AZ16" s="1616"/>
      <c r="BA16" s="1616" t="s">
        <v>589</v>
      </c>
      <c r="BB16" s="1616"/>
      <c r="BC16" s="1616"/>
      <c r="BD16" s="1616" t="s">
        <v>101</v>
      </c>
      <c r="BE16" s="1616"/>
      <c r="BF16" s="1616"/>
      <c r="BG16" s="1616"/>
      <c r="BH16" s="1616"/>
      <c r="BI16" s="1616"/>
      <c r="BJ16" s="1616"/>
      <c r="BK16" s="1616" t="s">
        <v>101</v>
      </c>
      <c r="BL16" s="1616"/>
      <c r="BM16" s="1616"/>
      <c r="BN16" s="1616"/>
      <c r="BO16" s="1616"/>
      <c r="BP16" s="1616"/>
      <c r="BQ16" s="1616"/>
      <c r="BR16" s="1616" t="s">
        <v>101</v>
      </c>
      <c r="BS16" s="1616" t="s">
        <v>101</v>
      </c>
      <c r="BT16" s="1616"/>
      <c r="BU16" s="1616"/>
      <c r="BV16" s="1616" t="s">
        <v>101</v>
      </c>
      <c r="BW16" s="1616"/>
      <c r="BX16" s="1616"/>
      <c r="BY16" s="1616" t="s">
        <v>101</v>
      </c>
      <c r="BZ16" s="1616"/>
      <c r="CA16" s="1616"/>
      <c r="CB16" s="1616"/>
      <c r="CC16" s="1616"/>
      <c r="CD16" s="1616"/>
      <c r="CE16" s="1616"/>
      <c r="CF16" s="1616"/>
      <c r="CG16" s="1616"/>
      <c r="CH16" s="1616" t="s">
        <v>101</v>
      </c>
      <c r="CI16" s="1616"/>
      <c r="CJ16" s="1616"/>
      <c r="CK16" s="1616"/>
      <c r="CL16" s="1616"/>
      <c r="CM16" s="1616"/>
      <c r="CN16" s="1616"/>
      <c r="CO16" s="1616" t="s">
        <v>101</v>
      </c>
      <c r="CP16" s="1616"/>
      <c r="CQ16" s="1616"/>
      <c r="CR16" s="1616"/>
      <c r="CS16" s="1616"/>
      <c r="CT16" s="1616"/>
      <c r="CU16" s="1616"/>
      <c r="CV16" s="1616"/>
      <c r="CW16" s="1616"/>
      <c r="CX16" s="1616"/>
      <c r="CY16" s="1616"/>
      <c r="CZ16" s="1616" t="s">
        <v>589</v>
      </c>
      <c r="DA16" s="1616"/>
      <c r="DB16" s="1616"/>
      <c r="DC16" s="1616" t="s">
        <v>101</v>
      </c>
      <c r="DD16" s="1616" t="s">
        <v>101</v>
      </c>
      <c r="DE16" s="1616"/>
      <c r="DF16" s="1616"/>
      <c r="DG16" s="1616"/>
      <c r="DH16" s="1616"/>
      <c r="DI16" s="1616"/>
      <c r="DJ16" s="1616"/>
      <c r="DK16" s="1616"/>
      <c r="DL16" s="1616"/>
      <c r="DM16" s="1651" t="s">
        <v>101</v>
      </c>
      <c r="DN16" s="1651" t="s">
        <v>101</v>
      </c>
      <c r="DO16" s="1616"/>
      <c r="DP16" s="1651" t="s">
        <v>101</v>
      </c>
      <c r="DQ16" s="1616"/>
      <c r="DR16" s="1616"/>
      <c r="DS16" s="1616"/>
      <c r="DT16" s="1616"/>
      <c r="DU16" s="1616"/>
      <c r="DV16" s="1616"/>
      <c r="DW16" s="1616"/>
      <c r="DX16" s="1616"/>
      <c r="DY16" s="1616"/>
      <c r="DZ16" s="1616"/>
      <c r="EA16" s="1616"/>
      <c r="EB16" s="1616"/>
      <c r="EC16" s="1616"/>
      <c r="ED16" s="1616"/>
      <c r="EE16" s="1616"/>
      <c r="EF16" s="1616"/>
      <c r="EG16" s="1616"/>
      <c r="EH16" s="1651" t="s">
        <v>589</v>
      </c>
      <c r="EI16" s="1651" t="s">
        <v>101</v>
      </c>
      <c r="EJ16" s="1616"/>
      <c r="EK16" s="1616"/>
      <c r="EL16" s="1651" t="s">
        <v>101</v>
      </c>
      <c r="EM16" s="1616"/>
      <c r="EN16" s="1616"/>
      <c r="EO16" s="1616"/>
      <c r="EP16" s="1616"/>
      <c r="EQ16" s="1616"/>
      <c r="ER16" s="1616"/>
      <c r="ES16" s="1616"/>
      <c r="ET16" s="1616"/>
      <c r="EU16" s="1616"/>
      <c r="EV16" s="1616"/>
      <c r="EW16" s="1616"/>
      <c r="EX16" s="1616"/>
      <c r="EY16" s="1616"/>
      <c r="EZ16" s="1651" t="s">
        <v>101</v>
      </c>
      <c r="FA16" s="1616"/>
      <c r="FB16" s="1616"/>
      <c r="FC16" s="1616"/>
      <c r="FD16" s="1616"/>
      <c r="FE16" s="1616"/>
      <c r="FF16" s="1616"/>
      <c r="FG16" s="1651" t="s">
        <v>101</v>
      </c>
      <c r="FH16" s="1616"/>
      <c r="FI16" s="1616"/>
      <c r="FJ16" s="1616"/>
      <c r="FK16" s="1616"/>
      <c r="FL16" s="1616"/>
      <c r="FM16" s="1616"/>
      <c r="FN16" s="1616"/>
      <c r="FO16" s="1616"/>
      <c r="FP16" s="1616"/>
      <c r="FQ16" s="1616"/>
      <c r="FR16" s="1616"/>
      <c r="FS16" s="1651" t="s">
        <v>101</v>
      </c>
      <c r="FT16" s="1616"/>
      <c r="FU16" s="1616"/>
      <c r="FV16" s="1651" t="s">
        <v>101</v>
      </c>
      <c r="FW16" s="1616"/>
      <c r="FX16" s="1616"/>
      <c r="FY16" s="1616"/>
      <c r="FZ16" s="1616"/>
      <c r="GA16" s="1651" t="s">
        <v>589</v>
      </c>
      <c r="GB16" s="1651" t="s">
        <v>589</v>
      </c>
      <c r="GC16" s="1651" t="s">
        <v>589</v>
      </c>
      <c r="GD16" s="1616"/>
      <c r="GE16" s="1616"/>
      <c r="GF16" s="1616"/>
      <c r="GG16" s="1616"/>
      <c r="GH16" s="1651" t="s">
        <v>101</v>
      </c>
      <c r="GI16" s="1616"/>
      <c r="GJ16" s="1616"/>
      <c r="GK16" s="1616"/>
      <c r="GL16" s="1616"/>
      <c r="GM16" s="1616"/>
      <c r="GN16" s="1616"/>
      <c r="GO16" s="1616"/>
      <c r="GP16" s="1651" t="s">
        <v>101</v>
      </c>
      <c r="GQ16" s="1616"/>
      <c r="GR16" s="1616"/>
      <c r="GS16" s="1651" t="s">
        <v>589</v>
      </c>
      <c r="GT16" s="1616"/>
      <c r="GU16" s="1616"/>
      <c r="GV16" s="1616"/>
      <c r="GW16" s="1669">
        <f>IF(职业列表!$W$27=0,0,_xlfn.IFS(IF(IFERROR(VLOOKUP(A16,职业列表!$J$3:$K$10,1,FALSE),"%^&amp;@%##@^")=A16,1,0)=1,"★",IF(IFERROR(VLOOKUP(A16,职业列表!$J$31:$J$39,1,FALSE),"%^&amp;@%##@^")=A16,1,0)=1,职业列表!$V$25,IF(IFERROR(VLOOKUP(A16,职业列表!$J$43:$J$51,1,FALSE),"%^&amp;@%##@^")=A16,1,0)=1,职业列表!$V$26,IF(IFERROR(VLOOKUP(A16,职业列表!$J$55:$J$63,1,FALSE),"%^&amp;@%##@^")=A16,1,0)=1,职业列表!$V$27,IF(IFERROR(VLOOKUP(A16,职业列表!$J$3:$K$10,1,FALSE),"%^&amp;@%##@^")=A16,1,0)+IF(IFERROR(VLOOKUP(A16,职业列表!$J$31:$J$39,1,FALSE),"%^&amp;@%##@^")=A16,1,0)+IF(IFERROR(VLOOKUP(A16,职业列表!$J$43:$J$51,1,FALSE),"%^&amp;@%##@^")=A16,1,0)+IF(IFERROR(VLOOKUP(A16,职业列表!$J$55:$J$63,1,FALSE),"%^&amp;@%##@^")=A16,1,0)=0,0))</f>
        <v>0</v>
      </c>
      <c r="GX16" s="1616"/>
      <c r="GY16" s="1616"/>
      <c r="GZ16" s="1616"/>
      <c r="HA16" s="1616"/>
      <c r="HB16" s="1616"/>
      <c r="HC16" s="1616"/>
      <c r="HD16" s="1616"/>
      <c r="HE16" s="1616"/>
      <c r="HF16" s="1616"/>
      <c r="HG16" s="1616"/>
      <c r="HH16" s="1616"/>
      <c r="HI16" s="1616"/>
      <c r="HJ16" s="1616"/>
      <c r="HK16" s="1616" t="s">
        <v>589</v>
      </c>
      <c r="HL16" s="1616" t="s">
        <v>101</v>
      </c>
      <c r="HM16" s="1616"/>
      <c r="HN16" s="1616"/>
      <c r="HO16" s="1616" t="s">
        <v>593</v>
      </c>
      <c r="HP16" s="1616"/>
      <c r="HQ16" s="1616"/>
      <c r="HR16" s="1616"/>
      <c r="HS16" s="1616"/>
      <c r="HT16" s="1616"/>
      <c r="HU16" s="1616"/>
      <c r="HV16" s="1616"/>
      <c r="HW16" s="1616"/>
      <c r="HX16" s="1616"/>
      <c r="HY16" s="1649" t="s">
        <v>101</v>
      </c>
      <c r="HZ16" s="1649" t="s">
        <v>101</v>
      </c>
      <c r="IA16" s="1649" t="s">
        <v>101</v>
      </c>
      <c r="IB16" s="1649" t="s">
        <v>101</v>
      </c>
      <c r="IC16" s="1681"/>
      <c r="ID16" s="1681"/>
      <c r="IE16" s="1681"/>
      <c r="IF16" s="1681"/>
      <c r="IG16" s="1681"/>
      <c r="IH16" s="1681"/>
      <c r="II16" s="1681"/>
      <c r="IJ16" s="1681"/>
      <c r="IK16" s="1681"/>
      <c r="IL16" s="1681"/>
      <c r="IM16" s="1681"/>
      <c r="IN16" s="1681"/>
      <c r="IO16" s="1681"/>
      <c r="IP16" s="1681"/>
      <c r="IQ16" s="1681"/>
      <c r="IR16" s="1681"/>
      <c r="IS16" s="1681"/>
      <c r="IT16" s="1681"/>
      <c r="IU16" s="1681"/>
      <c r="IV16" s="1681"/>
    </row>
    <row r="17" ht="20" customHeight="1" spans="1:256">
      <c r="A17" s="1625" t="s">
        <v>95</v>
      </c>
      <c r="B17" s="1616"/>
      <c r="C17" s="1616"/>
      <c r="D17" s="1616"/>
      <c r="E17" s="1616"/>
      <c r="F17" s="1616"/>
      <c r="G17" s="1616"/>
      <c r="H17" s="1616"/>
      <c r="I17" s="1616"/>
      <c r="J17" s="1616"/>
      <c r="K17" s="1616"/>
      <c r="L17" s="1651" t="s">
        <v>589</v>
      </c>
      <c r="M17" s="1616"/>
      <c r="N17" s="1616"/>
      <c r="O17" s="1616"/>
      <c r="P17" s="1616"/>
      <c r="Q17" s="1616"/>
      <c r="R17" s="1616"/>
      <c r="S17" s="1616"/>
      <c r="T17" s="1616"/>
      <c r="U17" s="1616"/>
      <c r="V17" s="1616"/>
      <c r="W17" s="1616"/>
      <c r="X17" s="1616" t="s">
        <v>101</v>
      </c>
      <c r="Y17" s="1616" t="s">
        <v>101</v>
      </c>
      <c r="Z17" s="1616"/>
      <c r="AA17" s="1616"/>
      <c r="AB17" s="1616"/>
      <c r="AC17" s="1616"/>
      <c r="AD17" s="1616"/>
      <c r="AE17" s="1616"/>
      <c r="AF17" s="1616"/>
      <c r="AG17" s="1616"/>
      <c r="AH17" s="1616"/>
      <c r="AI17" s="1616"/>
      <c r="AJ17" s="1616"/>
      <c r="AK17" s="1616"/>
      <c r="AL17" s="1616"/>
      <c r="AM17" s="1616"/>
      <c r="AN17" s="1616"/>
      <c r="AO17" s="1651" t="s">
        <v>589</v>
      </c>
      <c r="AP17" s="1616"/>
      <c r="AQ17" s="1616"/>
      <c r="AR17" s="1616"/>
      <c r="AS17" s="1616"/>
      <c r="AT17" s="1616"/>
      <c r="AU17" s="1616"/>
      <c r="AV17" s="1616"/>
      <c r="AW17" s="1616"/>
      <c r="AX17" s="1616"/>
      <c r="AY17" s="1616"/>
      <c r="AZ17" s="1616"/>
      <c r="BA17" s="1616"/>
      <c r="BB17" s="1616"/>
      <c r="BC17" s="1616"/>
      <c r="BD17" s="1616"/>
      <c r="BE17" s="1616"/>
      <c r="BF17" s="1616"/>
      <c r="BG17" s="1616"/>
      <c r="BH17" s="1616"/>
      <c r="BI17" s="1616"/>
      <c r="BJ17" s="1616"/>
      <c r="BK17" s="1616"/>
      <c r="BL17" s="1616"/>
      <c r="BM17" s="1616"/>
      <c r="BN17" s="1616"/>
      <c r="BO17" s="1616"/>
      <c r="BP17" s="1616" t="s">
        <v>589</v>
      </c>
      <c r="BQ17" s="1616"/>
      <c r="BR17" s="1616"/>
      <c r="BS17" s="1616"/>
      <c r="BT17" s="1616"/>
      <c r="BU17" s="1616"/>
      <c r="BV17" s="1616"/>
      <c r="BW17" s="1616"/>
      <c r="BX17" s="1616"/>
      <c r="BY17" s="1616"/>
      <c r="BZ17" s="1616"/>
      <c r="CA17" s="1616"/>
      <c r="CB17" s="1616"/>
      <c r="CC17" s="1616"/>
      <c r="CD17" s="1616"/>
      <c r="CE17" s="1616"/>
      <c r="CF17" s="1616"/>
      <c r="CG17" s="1616"/>
      <c r="CH17" s="1616"/>
      <c r="CI17" s="1616"/>
      <c r="CJ17" s="1616"/>
      <c r="CK17" s="1616"/>
      <c r="CL17" s="1616"/>
      <c r="CM17" s="1616"/>
      <c r="CN17" s="1616"/>
      <c r="CO17" s="1616"/>
      <c r="CP17" s="1616"/>
      <c r="CQ17" s="1616"/>
      <c r="CR17" s="1616"/>
      <c r="CS17" s="1616"/>
      <c r="CT17" s="1616"/>
      <c r="CU17" s="1616"/>
      <c r="CV17" s="1616"/>
      <c r="CW17" s="1616" t="s">
        <v>589</v>
      </c>
      <c r="CX17" s="1649" t="s">
        <v>601</v>
      </c>
      <c r="CY17" s="1616"/>
      <c r="CZ17" s="1616"/>
      <c r="DA17" s="1616"/>
      <c r="DB17" s="1616"/>
      <c r="DC17" s="1616"/>
      <c r="DD17" s="1616"/>
      <c r="DE17" s="1616"/>
      <c r="DF17" s="1616"/>
      <c r="DG17" s="1616"/>
      <c r="DH17" s="1616" t="s">
        <v>589</v>
      </c>
      <c r="DI17" s="1616"/>
      <c r="DJ17" s="1616"/>
      <c r="DK17" s="1616"/>
      <c r="DL17" s="1616"/>
      <c r="DM17" s="1616"/>
      <c r="DN17" s="1616"/>
      <c r="DO17" s="1616"/>
      <c r="DP17" s="1616"/>
      <c r="DQ17" s="1616"/>
      <c r="DR17" s="1616"/>
      <c r="DS17" s="1616"/>
      <c r="DT17" s="1616"/>
      <c r="DU17" s="1616"/>
      <c r="DV17" s="1616"/>
      <c r="DW17" s="1616"/>
      <c r="DX17" s="1616"/>
      <c r="DY17" s="1616"/>
      <c r="DZ17" s="1616"/>
      <c r="EA17" s="1616"/>
      <c r="EB17" s="1616"/>
      <c r="EC17" s="1616"/>
      <c r="ED17" s="1616"/>
      <c r="EE17" s="1616"/>
      <c r="EF17" s="1616"/>
      <c r="EG17" s="1616"/>
      <c r="EH17" s="1616"/>
      <c r="EI17" s="1616"/>
      <c r="EJ17" s="1616"/>
      <c r="EK17" s="1616"/>
      <c r="EL17" s="1616"/>
      <c r="EM17" s="1616"/>
      <c r="EN17" s="1616"/>
      <c r="EO17" s="1616"/>
      <c r="EP17" s="1616"/>
      <c r="EQ17" s="1616"/>
      <c r="ER17" s="1616"/>
      <c r="ES17" s="1616"/>
      <c r="ET17" s="1616"/>
      <c r="EU17" s="1616"/>
      <c r="EV17" s="1616"/>
      <c r="EW17" s="1616"/>
      <c r="EX17" s="1616"/>
      <c r="EY17" s="1616"/>
      <c r="EZ17" s="1616"/>
      <c r="FA17" s="1616"/>
      <c r="FB17" s="1616"/>
      <c r="FC17" s="1616"/>
      <c r="FD17" s="1616"/>
      <c r="FE17" s="1616"/>
      <c r="FF17" s="1616"/>
      <c r="FG17" s="1616"/>
      <c r="FH17" s="1658"/>
      <c r="FI17" s="1616"/>
      <c r="FJ17" s="1616"/>
      <c r="FK17" s="1616"/>
      <c r="FL17" s="1616"/>
      <c r="FM17" s="1616"/>
      <c r="FN17" s="1616"/>
      <c r="FO17" s="1616"/>
      <c r="FP17" s="1616"/>
      <c r="FQ17" s="1616"/>
      <c r="FR17" s="1616"/>
      <c r="FS17" s="1616"/>
      <c r="FT17" s="1616"/>
      <c r="FU17" s="1616"/>
      <c r="FV17" s="1616"/>
      <c r="FW17" s="1616"/>
      <c r="FX17" s="1651" t="s">
        <v>589</v>
      </c>
      <c r="FY17" s="1616"/>
      <c r="FZ17" s="1616"/>
      <c r="GA17" s="1616"/>
      <c r="GB17" s="1616"/>
      <c r="GC17" s="1616"/>
      <c r="GD17" s="1616"/>
      <c r="GE17" s="1616"/>
      <c r="GF17" s="1616"/>
      <c r="GG17" s="1616"/>
      <c r="GH17" s="1616"/>
      <c r="GI17" s="1616"/>
      <c r="GJ17" s="1616"/>
      <c r="GK17" s="1616"/>
      <c r="GL17" s="1651" t="s">
        <v>101</v>
      </c>
      <c r="GM17" s="1616"/>
      <c r="GN17" s="1616"/>
      <c r="GO17" s="1616"/>
      <c r="GP17" s="1616"/>
      <c r="GQ17" s="1616"/>
      <c r="GR17" s="1651" t="s">
        <v>101</v>
      </c>
      <c r="GS17" s="1616"/>
      <c r="GT17" s="1651" t="s">
        <v>101</v>
      </c>
      <c r="GU17" s="1616"/>
      <c r="GV17" s="1651" t="s">
        <v>101</v>
      </c>
      <c r="GW17" s="1669">
        <f>IF(职业列表!$W$27=0,0,_xlfn.IFS(IF(IFERROR(VLOOKUP(A17,职业列表!$J$3:$K$10,1,FALSE),"%^&amp;@%##@^")=A17,1,0)=1,"★",IF(IFERROR(VLOOKUP(A17,职业列表!$J$31:$J$39,1,FALSE),"%^&amp;@%##@^")=A17,1,0)=1,职业列表!$V$25,IF(IFERROR(VLOOKUP(A17,职业列表!$J$43:$J$51,1,FALSE),"%^&amp;@%##@^")=A17,1,0)=1,职业列表!$V$26,IF(IFERROR(VLOOKUP(A17,职业列表!$J$55:$J$63,1,FALSE),"%^&amp;@%##@^")=A17,1,0)=1,职业列表!$V$27,IF(IFERROR(VLOOKUP(A17,职业列表!$J$3:$K$10,1,FALSE),"%^&amp;@%##@^")=A17,1,0)+IF(IFERROR(VLOOKUP(A17,职业列表!$J$31:$J$39,1,FALSE),"%^&amp;@%##@^")=A17,1,0)+IF(IFERROR(VLOOKUP(A17,职业列表!$J$43:$J$51,1,FALSE),"%^&amp;@%##@^")=A17,1,0)+IF(IFERROR(VLOOKUP(A17,职业列表!$J$55:$J$63,1,FALSE),"%^&amp;@%##@^")=A17,1,0)=0,0))</f>
        <v>0</v>
      </c>
      <c r="GX17" s="1616"/>
      <c r="GY17" s="1616" t="s">
        <v>237</v>
      </c>
      <c r="GZ17" s="1616"/>
      <c r="HA17" s="1616"/>
      <c r="HB17" s="1616"/>
      <c r="HC17" s="1616"/>
      <c r="HD17" s="1616"/>
      <c r="HE17" s="1616"/>
      <c r="HF17" s="1651"/>
      <c r="HG17" s="1616"/>
      <c r="HH17" s="1616"/>
      <c r="HI17" s="1616"/>
      <c r="HJ17" s="1616"/>
      <c r="HK17" s="1616"/>
      <c r="HL17" s="1616"/>
      <c r="HM17" s="1616"/>
      <c r="HN17" s="1616"/>
      <c r="HO17" s="1616"/>
      <c r="HP17" s="1616"/>
      <c r="HQ17" s="1616"/>
      <c r="HR17" s="1616"/>
      <c r="HS17" s="1616"/>
      <c r="HT17" s="1616"/>
      <c r="HU17" s="1616"/>
      <c r="HV17" s="1616"/>
      <c r="HW17" s="1616"/>
      <c r="HX17" s="1616"/>
      <c r="HY17" s="1681"/>
      <c r="HZ17" s="1681"/>
      <c r="IA17" s="1681"/>
      <c r="IB17" s="1681"/>
      <c r="IC17" s="1681"/>
      <c r="ID17" s="1681"/>
      <c r="IE17" s="1681"/>
      <c r="IF17" s="1681"/>
      <c r="IG17" s="1681"/>
      <c r="IH17" s="1681"/>
      <c r="II17" s="1681"/>
      <c r="IJ17" s="1681"/>
      <c r="IK17" s="1681"/>
      <c r="IL17" s="1681"/>
      <c r="IM17" s="1681"/>
      <c r="IN17" s="1681"/>
      <c r="IO17" s="1681"/>
      <c r="IP17" s="1681"/>
      <c r="IQ17" s="1681"/>
      <c r="IR17" s="1681"/>
      <c r="IS17" s="1681"/>
      <c r="IT17" s="1681"/>
      <c r="IU17" s="1681"/>
      <c r="IV17" s="1681"/>
    </row>
    <row r="18" ht="20" customHeight="1" spans="1:256">
      <c r="A18" s="1625" t="s">
        <v>104</v>
      </c>
      <c r="B18" s="1616"/>
      <c r="C18" s="1616"/>
      <c r="D18" s="1616"/>
      <c r="E18" s="1616"/>
      <c r="F18" s="1616"/>
      <c r="G18" s="1616"/>
      <c r="H18" s="1616"/>
      <c r="I18" s="1616"/>
      <c r="J18" s="1616"/>
      <c r="K18" s="1616"/>
      <c r="L18" s="1616"/>
      <c r="M18" s="1616"/>
      <c r="N18" s="1616"/>
      <c r="O18" s="1616"/>
      <c r="P18" s="1616"/>
      <c r="Q18" s="1616"/>
      <c r="R18" s="1616"/>
      <c r="S18" s="1616"/>
      <c r="T18" s="1616"/>
      <c r="U18" s="1616"/>
      <c r="V18" s="1616"/>
      <c r="W18" s="1616"/>
      <c r="X18" s="1616"/>
      <c r="Y18" s="1616"/>
      <c r="Z18" s="1616"/>
      <c r="AA18" s="1616"/>
      <c r="AB18" s="1616"/>
      <c r="AC18" s="1616"/>
      <c r="AD18" s="1616"/>
      <c r="AE18" s="1616"/>
      <c r="AF18" s="1616"/>
      <c r="AG18" s="1616"/>
      <c r="AH18" s="1616"/>
      <c r="AI18" s="1616"/>
      <c r="AJ18" s="1616"/>
      <c r="AK18" s="1616"/>
      <c r="AL18" s="1616"/>
      <c r="AM18" s="1616"/>
      <c r="AN18" s="1616"/>
      <c r="AO18" s="1616"/>
      <c r="AP18" s="1616"/>
      <c r="AQ18" s="1616"/>
      <c r="AR18" s="1616"/>
      <c r="AS18" s="1616"/>
      <c r="AT18" s="1616"/>
      <c r="AU18" s="1616"/>
      <c r="AV18" s="1616"/>
      <c r="AW18" s="1616"/>
      <c r="AX18" s="1616"/>
      <c r="AY18" s="1616"/>
      <c r="AZ18" s="1616"/>
      <c r="BA18" s="1616"/>
      <c r="BB18" s="1616"/>
      <c r="BC18" s="1616"/>
      <c r="BD18" s="1616"/>
      <c r="BE18" s="1616"/>
      <c r="BF18" s="1616"/>
      <c r="BG18" s="1616"/>
      <c r="BH18" s="1616"/>
      <c r="BI18" s="1616"/>
      <c r="BJ18" s="1616"/>
      <c r="BK18" s="1616"/>
      <c r="BL18" s="1616"/>
      <c r="BM18" s="1616"/>
      <c r="BN18" s="1616"/>
      <c r="BO18" s="1616"/>
      <c r="BP18" s="1616"/>
      <c r="BQ18" s="1616"/>
      <c r="BR18" s="1616"/>
      <c r="BS18" s="1616"/>
      <c r="BT18" s="1616"/>
      <c r="BU18" s="1616"/>
      <c r="BV18" s="1616"/>
      <c r="BW18" s="1616"/>
      <c r="BX18" s="1616"/>
      <c r="BY18" s="1616"/>
      <c r="BZ18" s="1616"/>
      <c r="CA18" s="1616"/>
      <c r="CB18" s="1616"/>
      <c r="CC18" s="1616"/>
      <c r="CD18" s="1616"/>
      <c r="CE18" s="1616"/>
      <c r="CF18" s="1616"/>
      <c r="CG18" s="1616"/>
      <c r="CH18" s="1616"/>
      <c r="CI18" s="1616"/>
      <c r="CJ18" s="1616"/>
      <c r="CK18" s="1616"/>
      <c r="CL18" s="1616"/>
      <c r="CM18" s="1616"/>
      <c r="CN18" s="1616"/>
      <c r="CO18" s="1616"/>
      <c r="CP18" s="1616"/>
      <c r="CQ18" s="1616"/>
      <c r="CR18" s="1616"/>
      <c r="CS18" s="1616"/>
      <c r="CT18" s="1616"/>
      <c r="CU18" s="1616"/>
      <c r="CV18" s="1616"/>
      <c r="CW18" s="1616"/>
      <c r="CX18" s="1616"/>
      <c r="CY18" s="1616"/>
      <c r="CZ18" s="1616"/>
      <c r="DA18" s="1616"/>
      <c r="DB18" s="1616"/>
      <c r="DC18" s="1616"/>
      <c r="DD18" s="1616"/>
      <c r="DE18" s="1616"/>
      <c r="DF18" s="1616"/>
      <c r="DG18" s="1616"/>
      <c r="DH18" s="1616"/>
      <c r="DI18" s="1616"/>
      <c r="DJ18" s="1616"/>
      <c r="DK18" s="1616"/>
      <c r="DL18" s="1616"/>
      <c r="DM18" s="1616"/>
      <c r="DN18" s="1616"/>
      <c r="DO18" s="1616"/>
      <c r="DP18" s="1616"/>
      <c r="DQ18" s="1616"/>
      <c r="DR18" s="1616"/>
      <c r="DS18" s="1616"/>
      <c r="DT18" s="1616"/>
      <c r="DU18" s="1616"/>
      <c r="DV18" s="1616"/>
      <c r="DW18" s="1616"/>
      <c r="DX18" s="1616"/>
      <c r="DY18" s="1616"/>
      <c r="DZ18" s="1616"/>
      <c r="EA18" s="1616"/>
      <c r="EB18" s="1616"/>
      <c r="EC18" s="1616"/>
      <c r="ED18" s="1616"/>
      <c r="EE18" s="1616"/>
      <c r="EF18" s="1616"/>
      <c r="EG18" s="1616"/>
      <c r="EH18" s="1616"/>
      <c r="EI18" s="1616"/>
      <c r="EJ18" s="1616"/>
      <c r="EK18" s="1616"/>
      <c r="EL18" s="1616"/>
      <c r="EM18" s="1616"/>
      <c r="EN18" s="1616"/>
      <c r="EO18" s="1616"/>
      <c r="EP18" s="1616"/>
      <c r="EQ18" s="1616"/>
      <c r="ER18" s="1616"/>
      <c r="ES18" s="1616"/>
      <c r="ET18" s="1616"/>
      <c r="EU18" s="1616"/>
      <c r="EV18" s="1616"/>
      <c r="EW18" s="1616"/>
      <c r="EX18" s="1616"/>
      <c r="EY18" s="1616"/>
      <c r="EZ18" s="1616"/>
      <c r="FA18" s="1616"/>
      <c r="FB18" s="1616"/>
      <c r="FC18" s="1616"/>
      <c r="FD18" s="1616"/>
      <c r="FE18" s="1616"/>
      <c r="FF18" s="1616"/>
      <c r="FG18" s="1616"/>
      <c r="FH18" s="1616"/>
      <c r="FI18" s="1616"/>
      <c r="FJ18" s="1616"/>
      <c r="FK18" s="1616"/>
      <c r="FL18" s="1616"/>
      <c r="FM18" s="1616"/>
      <c r="FN18" s="1616"/>
      <c r="FO18" s="1616"/>
      <c r="FP18" s="1616"/>
      <c r="FQ18" s="1616"/>
      <c r="FR18" s="1616"/>
      <c r="FS18" s="1616"/>
      <c r="FT18" s="1616"/>
      <c r="FU18" s="1616"/>
      <c r="FV18" s="1616"/>
      <c r="FW18" s="1616"/>
      <c r="FX18" s="1616"/>
      <c r="FY18" s="1616"/>
      <c r="FZ18" s="1616"/>
      <c r="GA18" s="1616"/>
      <c r="GB18" s="1616"/>
      <c r="GC18" s="1616"/>
      <c r="GD18" s="1616"/>
      <c r="GE18" s="1616"/>
      <c r="GF18" s="1616"/>
      <c r="GG18" s="1616"/>
      <c r="GH18" s="1616"/>
      <c r="GI18" s="1616"/>
      <c r="GJ18" s="1616"/>
      <c r="GK18" s="1616"/>
      <c r="GL18" s="1616"/>
      <c r="GM18" s="1616"/>
      <c r="GN18" s="1616"/>
      <c r="GO18" s="1616"/>
      <c r="GP18" s="1616"/>
      <c r="GQ18" s="1616"/>
      <c r="GR18" s="1616"/>
      <c r="GS18" s="1616"/>
      <c r="GT18" s="1616"/>
      <c r="GU18" s="1616"/>
      <c r="GV18" s="1616"/>
      <c r="GW18" s="1669">
        <f>IF(职业列表!$W$27=0,0,_xlfn.IFS(IF(IFERROR(VLOOKUP(A18,职业列表!$J$3:$K$10,1,FALSE),"%^&amp;@%##@^")=A18,1,0)=1,"★",IF(IFERROR(VLOOKUP(A18,职业列表!$J$31:$J$39,1,FALSE),"%^&amp;@%##@^")=A18,1,0)=1,职业列表!$V$25,IF(IFERROR(VLOOKUP(A18,职业列表!$J$43:$J$51,1,FALSE),"%^&amp;@%##@^")=A18,1,0)=1,职业列表!$V$26,IF(IFERROR(VLOOKUP(A18,职业列表!$J$55:$J$63,1,FALSE),"%^&amp;@%##@^")=A18,1,0)=1,职业列表!$V$27,IF(IFERROR(VLOOKUP(A18,职业列表!$J$3:$K$10,1,FALSE),"%^&amp;@%##@^")=A18,1,0)+IF(IFERROR(VLOOKUP(A18,职业列表!$J$31:$J$39,1,FALSE),"%^&amp;@%##@^")=A18,1,0)+IF(IFERROR(VLOOKUP(A18,职业列表!$J$43:$J$51,1,FALSE),"%^&amp;@%##@^")=A18,1,0)+IF(IFERROR(VLOOKUP(A18,职业列表!$J$55:$J$63,1,FALSE),"%^&amp;@%##@^")=A18,1,0)=0,0))</f>
        <v>0</v>
      </c>
      <c r="GX18" s="1616"/>
      <c r="GY18" s="1616"/>
      <c r="GZ18" s="1616"/>
      <c r="HA18" s="1616"/>
      <c r="HB18" s="1616"/>
      <c r="HC18" s="1616"/>
      <c r="HD18" s="1616"/>
      <c r="HE18" s="1616"/>
      <c r="HF18" s="1616"/>
      <c r="HG18" s="1616"/>
      <c r="HH18" s="1616"/>
      <c r="HI18" s="1616"/>
      <c r="HJ18" s="1616"/>
      <c r="HK18" s="1616"/>
      <c r="HL18" s="1616"/>
      <c r="HM18" s="1616"/>
      <c r="HN18" s="1616"/>
      <c r="HO18" s="1616"/>
      <c r="HP18" s="1616"/>
      <c r="HQ18" s="1616"/>
      <c r="HR18" s="1616"/>
      <c r="HS18" s="1616"/>
      <c r="HT18" s="1616"/>
      <c r="HU18" s="1616"/>
      <c r="HV18" s="1616"/>
      <c r="HW18" s="1616"/>
      <c r="HX18" s="1616"/>
      <c r="HY18" s="1681"/>
      <c r="HZ18" s="1681"/>
      <c r="IA18" s="1681"/>
      <c r="IB18" s="1681"/>
      <c r="IC18" s="1681"/>
      <c r="ID18" s="1681"/>
      <c r="IE18" s="1681"/>
      <c r="IF18" s="1681"/>
      <c r="IG18" s="1681"/>
      <c r="IH18" s="1681"/>
      <c r="II18" s="1681"/>
      <c r="IJ18" s="1681"/>
      <c r="IK18" s="1681"/>
      <c r="IL18" s="1681"/>
      <c r="IM18" s="1681"/>
      <c r="IN18" s="1681"/>
      <c r="IO18" s="1681"/>
      <c r="IP18" s="1681"/>
      <c r="IQ18" s="1681"/>
      <c r="IR18" s="1681"/>
      <c r="IS18" s="1681"/>
      <c r="IT18" s="1681"/>
      <c r="IU18" s="1681"/>
      <c r="IV18" s="1681"/>
    </row>
    <row r="19" ht="20" customHeight="1" spans="1:256">
      <c r="A19" s="1625" t="s">
        <v>137</v>
      </c>
      <c r="B19" s="1616"/>
      <c r="C19" s="1616"/>
      <c r="D19" s="1616"/>
      <c r="E19" s="1616"/>
      <c r="F19" s="1616"/>
      <c r="G19" s="1616"/>
      <c r="H19" s="1616"/>
      <c r="I19" s="1616"/>
      <c r="J19" s="1616"/>
      <c r="K19" s="1616"/>
      <c r="L19" s="1616"/>
      <c r="M19" s="1616"/>
      <c r="N19" s="1616"/>
      <c r="O19" s="1616"/>
      <c r="P19" s="1616"/>
      <c r="Q19" s="1616"/>
      <c r="R19" s="1616"/>
      <c r="S19" s="1616"/>
      <c r="T19" s="1616"/>
      <c r="U19" s="1616"/>
      <c r="V19" s="1616"/>
      <c r="W19" s="1616"/>
      <c r="X19" s="1616"/>
      <c r="Y19" s="1616"/>
      <c r="Z19" s="1616"/>
      <c r="AA19" s="1616"/>
      <c r="AB19" s="1616"/>
      <c r="AC19" s="1616"/>
      <c r="AD19" s="1616"/>
      <c r="AE19" s="1616"/>
      <c r="AF19" s="1616"/>
      <c r="AG19" s="1616"/>
      <c r="AH19" s="1616"/>
      <c r="AI19" s="1616"/>
      <c r="AJ19" s="1616"/>
      <c r="AK19" s="1616"/>
      <c r="AL19" s="1616"/>
      <c r="AM19" s="1616"/>
      <c r="AN19" s="1616"/>
      <c r="AO19" s="1616"/>
      <c r="AP19" s="1616"/>
      <c r="AQ19" s="1616"/>
      <c r="AR19" s="1616"/>
      <c r="AS19" s="1616"/>
      <c r="AT19" s="1616"/>
      <c r="AU19" s="1616"/>
      <c r="AV19" s="1616"/>
      <c r="AW19" s="1616"/>
      <c r="AX19" s="1616"/>
      <c r="AY19" s="1616"/>
      <c r="AZ19" s="1616"/>
      <c r="BA19" s="1616"/>
      <c r="BB19" s="1616"/>
      <c r="BC19" s="1616"/>
      <c r="BD19" s="1616"/>
      <c r="BE19" s="1616"/>
      <c r="BF19" s="1616"/>
      <c r="BG19" s="1616"/>
      <c r="BH19" s="1616"/>
      <c r="BI19" s="1616"/>
      <c r="BJ19" s="1616"/>
      <c r="BK19" s="1616"/>
      <c r="BL19" s="1616"/>
      <c r="BM19" s="1616"/>
      <c r="BN19" s="1616"/>
      <c r="BO19" s="1616"/>
      <c r="BP19" s="1616"/>
      <c r="BQ19" s="1616"/>
      <c r="BR19" s="1616"/>
      <c r="BS19" s="1616"/>
      <c r="BT19" s="1616"/>
      <c r="BU19" s="1616"/>
      <c r="BV19" s="1616"/>
      <c r="BW19" s="1616"/>
      <c r="BX19" s="1616"/>
      <c r="BY19" s="1616"/>
      <c r="BZ19" s="1616"/>
      <c r="CA19" s="1616"/>
      <c r="CB19" s="1616"/>
      <c r="CC19" s="1616"/>
      <c r="CD19" s="1616"/>
      <c r="CE19" s="1616"/>
      <c r="CF19" s="1616"/>
      <c r="CG19" s="1616"/>
      <c r="CH19" s="1616"/>
      <c r="CI19" s="1616"/>
      <c r="CJ19" s="1616"/>
      <c r="CK19" s="1616"/>
      <c r="CL19" s="1616"/>
      <c r="CM19" s="1616"/>
      <c r="CN19" s="1616"/>
      <c r="CO19" s="1616"/>
      <c r="CP19" s="1616"/>
      <c r="CQ19" s="1616"/>
      <c r="CR19" s="1616"/>
      <c r="CS19" s="1616"/>
      <c r="CT19" s="1616"/>
      <c r="CU19" s="1616"/>
      <c r="CV19" s="1616"/>
      <c r="CW19" s="1616"/>
      <c r="CX19" s="1616"/>
      <c r="CY19" s="1616"/>
      <c r="CZ19" s="1616"/>
      <c r="DA19" s="1616"/>
      <c r="DB19" s="1616"/>
      <c r="DC19" s="1616"/>
      <c r="DD19" s="1616"/>
      <c r="DE19" s="1616"/>
      <c r="DF19" s="1616"/>
      <c r="DG19" s="1616"/>
      <c r="DH19" s="1616"/>
      <c r="DI19" s="1616"/>
      <c r="DJ19" s="1616"/>
      <c r="DK19" s="1616"/>
      <c r="DL19" s="1616"/>
      <c r="DM19" s="1616"/>
      <c r="DN19" s="1616"/>
      <c r="DO19" s="1616"/>
      <c r="DP19" s="1616"/>
      <c r="DQ19" s="1616"/>
      <c r="DR19" s="1616"/>
      <c r="DS19" s="1616"/>
      <c r="DT19" s="1616"/>
      <c r="DU19" s="1616"/>
      <c r="DV19" s="1616"/>
      <c r="DW19" s="1616"/>
      <c r="DX19" s="1616"/>
      <c r="DY19" s="1616"/>
      <c r="DZ19" s="1616"/>
      <c r="EA19" s="1616"/>
      <c r="EB19" s="1616"/>
      <c r="EC19" s="1616"/>
      <c r="ED19" s="1616"/>
      <c r="EE19" s="1616"/>
      <c r="EF19" s="1616"/>
      <c r="EG19" s="1616"/>
      <c r="EH19" s="1616"/>
      <c r="EI19" s="1616"/>
      <c r="EJ19" s="1616"/>
      <c r="EK19" s="1616"/>
      <c r="EL19" s="1616"/>
      <c r="EM19" s="1616"/>
      <c r="EN19" s="1616"/>
      <c r="EO19" s="1616"/>
      <c r="EP19" s="1616"/>
      <c r="EQ19" s="1616"/>
      <c r="ER19" s="1616"/>
      <c r="ES19" s="1616"/>
      <c r="ET19" s="1616"/>
      <c r="EU19" s="1616"/>
      <c r="EV19" s="1616"/>
      <c r="EW19" s="1616"/>
      <c r="EX19" s="1616"/>
      <c r="EY19" s="1616"/>
      <c r="EZ19" s="1616"/>
      <c r="FA19" s="1616"/>
      <c r="FB19" s="1616"/>
      <c r="FC19" s="1616"/>
      <c r="FD19" s="1616"/>
      <c r="FE19" s="1616"/>
      <c r="FF19" s="1616"/>
      <c r="FG19" s="1616"/>
      <c r="FH19" s="1616"/>
      <c r="FI19" s="1616"/>
      <c r="FJ19" s="1616"/>
      <c r="FK19" s="1616"/>
      <c r="FL19" s="1616"/>
      <c r="FM19" s="1616"/>
      <c r="FN19" s="1616"/>
      <c r="FO19" s="1616"/>
      <c r="FP19" s="1616"/>
      <c r="FQ19" s="1616"/>
      <c r="FR19" s="1616"/>
      <c r="FS19" s="1616"/>
      <c r="FT19" s="1616"/>
      <c r="FU19" s="1616"/>
      <c r="FV19" s="1616"/>
      <c r="FW19" s="1616"/>
      <c r="FX19" s="1616"/>
      <c r="FY19" s="1616"/>
      <c r="FZ19" s="1616"/>
      <c r="GA19" s="1616"/>
      <c r="GB19" s="1616"/>
      <c r="GC19" s="1616"/>
      <c r="GD19" s="1616"/>
      <c r="GE19" s="1616"/>
      <c r="GF19" s="1616"/>
      <c r="GG19" s="1616"/>
      <c r="GH19" s="1616"/>
      <c r="GI19" s="1616"/>
      <c r="GJ19" s="1616"/>
      <c r="GK19" s="1616"/>
      <c r="GL19" s="1616"/>
      <c r="GM19" s="1616"/>
      <c r="GN19" s="1616"/>
      <c r="GO19" s="1616"/>
      <c r="GP19" s="1616"/>
      <c r="GQ19" s="1616"/>
      <c r="GR19" s="1616"/>
      <c r="GS19" s="1616"/>
      <c r="GT19" s="1616"/>
      <c r="GU19" s="1616"/>
      <c r="GV19" s="1616"/>
      <c r="GW19" s="1669">
        <f>IF(职业列表!$W$27=0,0,_xlfn.IFS(IF(IFERROR(VLOOKUP(A19,职业列表!$J$3:$K$10,1,FALSE),"%^&amp;@%##@^")=A19,1,0)=1,"★",IF(IFERROR(VLOOKUP(A19,职业列表!$J$31:$J$39,1,FALSE),"%^&amp;@%##@^")=A19,1,0)=1,职业列表!$V$25,IF(IFERROR(VLOOKUP(A19,职业列表!$J$43:$J$51,1,FALSE),"%^&amp;@%##@^")=A19,1,0)=1,职业列表!$V$26,IF(IFERROR(VLOOKUP(A19,职业列表!$J$55:$J$63,1,FALSE),"%^&amp;@%##@^")=A19,1,0)=1,职业列表!$V$27,IF(IFERROR(VLOOKUP(A19,职业列表!$J$3:$K$10,1,FALSE),"%^&amp;@%##@^")=A19,1,0)+IF(IFERROR(VLOOKUP(A19,职业列表!$J$31:$J$39,1,FALSE),"%^&amp;@%##@^")=A19,1,0)+IF(IFERROR(VLOOKUP(A19,职业列表!$J$43:$J$51,1,FALSE),"%^&amp;@%##@^")=A19,1,0)+IF(IFERROR(VLOOKUP(A19,职业列表!$J$55:$J$63,1,FALSE),"%^&amp;@%##@^")=A19,1,0)=0,0))</f>
        <v>0</v>
      </c>
      <c r="GX19" s="1616"/>
      <c r="GY19" s="1616"/>
      <c r="GZ19" s="1616"/>
      <c r="HA19" s="1616"/>
      <c r="HB19" s="1616"/>
      <c r="HC19" s="1616"/>
      <c r="HD19" s="1616"/>
      <c r="HE19" s="1616"/>
      <c r="HF19" s="1616"/>
      <c r="HG19" s="1616"/>
      <c r="HH19" s="1616"/>
      <c r="HI19" s="1616"/>
      <c r="HJ19" s="1616"/>
      <c r="HK19" s="1616"/>
      <c r="HL19" s="1616"/>
      <c r="HM19" s="1616"/>
      <c r="HN19" s="1616"/>
      <c r="HO19" s="1616"/>
      <c r="HP19" s="1616"/>
      <c r="HQ19" s="1616"/>
      <c r="HR19" s="1616"/>
      <c r="HS19" s="1616"/>
      <c r="HT19" s="1616"/>
      <c r="HU19" s="1616"/>
      <c r="HV19" s="1616"/>
      <c r="HW19" s="1616"/>
      <c r="HX19" s="1616"/>
      <c r="HY19" s="1681"/>
      <c r="HZ19" s="1681"/>
      <c r="IA19" s="1681"/>
      <c r="IB19" s="1681"/>
      <c r="IC19" s="1681"/>
      <c r="ID19" s="1681"/>
      <c r="IE19" s="1681"/>
      <c r="IF19" s="1681"/>
      <c r="IG19" s="1681"/>
      <c r="IH19" s="1681"/>
      <c r="II19" s="1681"/>
      <c r="IJ19" s="1681"/>
      <c r="IK19" s="1681"/>
      <c r="IL19" s="1681"/>
      <c r="IM19" s="1681"/>
      <c r="IN19" s="1681"/>
      <c r="IO19" s="1681"/>
      <c r="IP19" s="1681"/>
      <c r="IQ19" s="1681"/>
      <c r="IR19" s="1681"/>
      <c r="IS19" s="1681"/>
      <c r="IT19" s="1681"/>
      <c r="IU19" s="1681"/>
      <c r="IV19" s="1681"/>
    </row>
    <row r="20" ht="20" customHeight="1" spans="1:256">
      <c r="A20" s="1615" t="s">
        <v>111</v>
      </c>
      <c r="B20" s="1616"/>
      <c r="C20" s="1616"/>
      <c r="D20" s="1616" t="s">
        <v>101</v>
      </c>
      <c r="E20" s="1616" t="s">
        <v>101</v>
      </c>
      <c r="F20" s="1616"/>
      <c r="G20" s="1616"/>
      <c r="H20" s="1616"/>
      <c r="I20" s="1616"/>
      <c r="J20" s="1616"/>
      <c r="K20" s="1616"/>
      <c r="L20" s="1616"/>
      <c r="M20" s="1616"/>
      <c r="N20" s="1616"/>
      <c r="O20" s="1616"/>
      <c r="P20" s="1616"/>
      <c r="Q20" s="1616"/>
      <c r="R20" s="1616"/>
      <c r="S20" s="1616"/>
      <c r="T20" s="1616"/>
      <c r="U20" s="1616"/>
      <c r="V20" s="1616"/>
      <c r="W20" s="1616"/>
      <c r="X20" s="1616"/>
      <c r="Y20" s="1616"/>
      <c r="Z20" s="1616"/>
      <c r="AA20" s="1616"/>
      <c r="AB20" s="1616" t="s">
        <v>101</v>
      </c>
      <c r="AC20" s="1616"/>
      <c r="AD20" s="1616"/>
      <c r="AE20" s="1616"/>
      <c r="AF20" s="1616"/>
      <c r="AG20" s="1651" t="s">
        <v>589</v>
      </c>
      <c r="AH20" s="1616"/>
      <c r="AI20" s="1616"/>
      <c r="AJ20" s="1616"/>
      <c r="AK20" s="1616"/>
      <c r="AL20" s="1616"/>
      <c r="AM20" s="1616"/>
      <c r="AN20" s="1616"/>
      <c r="AO20" s="1616"/>
      <c r="AP20" s="1616"/>
      <c r="AQ20" s="1616"/>
      <c r="AR20" s="1616"/>
      <c r="AS20" s="1616"/>
      <c r="AT20" s="1616"/>
      <c r="AU20" s="1616"/>
      <c r="AV20" s="1616"/>
      <c r="AW20" s="1616"/>
      <c r="AX20" s="1616"/>
      <c r="AY20" s="1616"/>
      <c r="AZ20" s="1616" t="s">
        <v>101</v>
      </c>
      <c r="BA20" s="1616"/>
      <c r="BB20" s="1616"/>
      <c r="BC20" s="1616"/>
      <c r="BD20" s="1616"/>
      <c r="BE20" s="1616"/>
      <c r="BF20" s="1616"/>
      <c r="BG20" s="1616"/>
      <c r="BH20" s="1616"/>
      <c r="BI20" s="1616"/>
      <c r="BJ20" s="1616"/>
      <c r="BK20" s="1616"/>
      <c r="BL20" s="1616"/>
      <c r="BM20" s="1616"/>
      <c r="BN20" s="1616"/>
      <c r="BO20" s="1616"/>
      <c r="BP20" s="1616"/>
      <c r="BQ20" s="1616"/>
      <c r="BR20" s="1616"/>
      <c r="BS20" s="1616"/>
      <c r="BT20" s="1616"/>
      <c r="BU20" s="1616"/>
      <c r="BV20" s="1616"/>
      <c r="BW20" s="1616"/>
      <c r="BX20" s="1616"/>
      <c r="BY20" s="1616"/>
      <c r="BZ20" s="1616"/>
      <c r="CA20" s="1616"/>
      <c r="CB20" s="1616"/>
      <c r="CC20" s="1616"/>
      <c r="CD20" s="1616"/>
      <c r="CE20" s="1616"/>
      <c r="CF20" s="1616"/>
      <c r="CG20" s="1616"/>
      <c r="CH20" s="1616"/>
      <c r="CI20" s="1616"/>
      <c r="CJ20" s="1616"/>
      <c r="CK20" s="1616" t="s">
        <v>589</v>
      </c>
      <c r="CL20" s="1616"/>
      <c r="CM20" s="1616" t="s">
        <v>101</v>
      </c>
      <c r="CN20" s="1616"/>
      <c r="CO20" s="1616"/>
      <c r="CP20" s="1616"/>
      <c r="CQ20" s="1616"/>
      <c r="CR20" s="1616"/>
      <c r="CS20" s="1616"/>
      <c r="CT20" s="1616"/>
      <c r="CU20" s="1616"/>
      <c r="CV20" s="1616"/>
      <c r="CW20" s="1616"/>
      <c r="CX20" s="1616"/>
      <c r="CY20" s="1616"/>
      <c r="CZ20" s="1616"/>
      <c r="DA20" s="1616" t="s">
        <v>589</v>
      </c>
      <c r="DB20" s="1616"/>
      <c r="DC20" s="1616"/>
      <c r="DD20" s="1616"/>
      <c r="DE20" s="1616"/>
      <c r="DF20" s="1616"/>
      <c r="DG20" s="1616"/>
      <c r="DH20" s="1616"/>
      <c r="DI20" s="1616"/>
      <c r="DJ20" s="1616"/>
      <c r="DK20" s="1616"/>
      <c r="DL20" s="1616"/>
      <c r="DM20" s="1616"/>
      <c r="DN20" s="1616"/>
      <c r="DO20" s="1616"/>
      <c r="DP20" s="1616"/>
      <c r="DQ20" s="1651" t="s">
        <v>101</v>
      </c>
      <c r="DR20" s="1616"/>
      <c r="DS20" s="1616"/>
      <c r="DT20" s="1616"/>
      <c r="DU20" s="1616"/>
      <c r="DV20" s="1651" t="s">
        <v>101</v>
      </c>
      <c r="DW20" s="1616"/>
      <c r="DX20" s="1616"/>
      <c r="DY20" s="1616"/>
      <c r="DZ20" s="1616"/>
      <c r="EA20" s="1651" t="s">
        <v>101</v>
      </c>
      <c r="EB20" s="1616"/>
      <c r="EC20" s="1616"/>
      <c r="ED20" s="1616"/>
      <c r="EE20" s="1616"/>
      <c r="EF20" s="1616"/>
      <c r="EG20" s="1616"/>
      <c r="EH20" s="1616"/>
      <c r="EI20" s="1616"/>
      <c r="EJ20" s="1616"/>
      <c r="EK20" s="1616"/>
      <c r="EL20" s="1616"/>
      <c r="EM20" s="1616"/>
      <c r="EN20" s="1616"/>
      <c r="EO20" s="1616"/>
      <c r="EP20" s="1616"/>
      <c r="EQ20" s="1616"/>
      <c r="ER20" s="1616"/>
      <c r="ES20" s="1651" t="s">
        <v>101</v>
      </c>
      <c r="ET20" s="1616"/>
      <c r="EU20" s="1616"/>
      <c r="EV20" s="1616"/>
      <c r="EW20" s="1616"/>
      <c r="EX20" s="1616"/>
      <c r="EY20" s="1616"/>
      <c r="EZ20" s="1616"/>
      <c r="FA20" s="1616"/>
      <c r="FB20" s="1616"/>
      <c r="FC20" s="1616"/>
      <c r="FD20" s="1616"/>
      <c r="FE20" s="1616"/>
      <c r="FF20" s="1616"/>
      <c r="FG20" s="1616"/>
      <c r="FH20" s="1616"/>
      <c r="FI20" s="1616"/>
      <c r="FJ20" s="1616"/>
      <c r="FK20" s="1616"/>
      <c r="FL20" s="1651" t="s">
        <v>101</v>
      </c>
      <c r="FM20" s="1616"/>
      <c r="FN20" s="1616"/>
      <c r="FO20" s="1616"/>
      <c r="FP20" s="1616"/>
      <c r="FQ20" s="1616"/>
      <c r="FR20" s="1616"/>
      <c r="FS20" s="1616"/>
      <c r="FT20" s="1616"/>
      <c r="FU20" s="1616"/>
      <c r="FV20" s="1616"/>
      <c r="FW20" s="1651" t="s">
        <v>101</v>
      </c>
      <c r="FX20" s="1651" t="s">
        <v>101</v>
      </c>
      <c r="FY20" s="1616"/>
      <c r="FZ20" s="1616"/>
      <c r="GA20" s="1616"/>
      <c r="GB20" s="1616"/>
      <c r="GC20" s="1616"/>
      <c r="GD20" s="1651" t="s">
        <v>101</v>
      </c>
      <c r="GE20" s="1651" t="s">
        <v>101</v>
      </c>
      <c r="GF20" s="1651" t="s">
        <v>101</v>
      </c>
      <c r="GG20" s="1651" t="s">
        <v>101</v>
      </c>
      <c r="GH20" s="1616"/>
      <c r="GI20" s="1616"/>
      <c r="GJ20" s="1616"/>
      <c r="GK20" s="1616"/>
      <c r="GL20" s="1651" t="s">
        <v>101</v>
      </c>
      <c r="GM20" s="1616"/>
      <c r="GN20" s="1616"/>
      <c r="GO20" s="1616"/>
      <c r="GP20" s="1616"/>
      <c r="GQ20" s="1616"/>
      <c r="GR20" s="1616"/>
      <c r="GS20" s="1616"/>
      <c r="GT20" s="1616"/>
      <c r="GU20" s="1616"/>
      <c r="GV20" s="1616"/>
      <c r="GW20" s="1669">
        <f>IF(职业列表!$W$27=0,0,_xlfn.IFS(IF(IFERROR(VLOOKUP(A20,职业列表!$J$3:$K$10,1,FALSE),"%^&amp;@%##@^")=A20,1,0)=1,"★",IF(IFERROR(VLOOKUP(A20,职业列表!$J$31:$J$39,1,FALSE),"%^&amp;@%##@^")=A20,1,0)=1,职业列表!$V$25,IF(IFERROR(VLOOKUP(A20,职业列表!$J$43:$J$51,1,FALSE),"%^&amp;@%##@^")=A20,1,0)=1,职业列表!$V$26,IF(IFERROR(VLOOKUP(A20,职业列表!$J$55:$J$63,1,FALSE),"%^&amp;@%##@^")=A20,1,0)=1,职业列表!$V$27,IF(IFERROR(VLOOKUP(A20,职业列表!$J$3:$K$10,1,FALSE),"%^&amp;@%##@^")=A20,1,0)+IF(IFERROR(VLOOKUP(A20,职业列表!$J$31:$J$39,1,FALSE),"%^&amp;@%##@^")=A20,1,0)+IF(IFERROR(VLOOKUP(A20,职业列表!$J$43:$J$51,1,FALSE),"%^&amp;@%##@^")=A20,1,0)+IF(IFERROR(VLOOKUP(A20,职业列表!$J$55:$J$63,1,FALSE),"%^&amp;@%##@^")=A20,1,0)=0,0))</f>
        <v>0</v>
      </c>
      <c r="GX20" s="1616"/>
      <c r="GY20" s="1616" t="s">
        <v>589</v>
      </c>
      <c r="GZ20" s="1658"/>
      <c r="HA20" s="1616"/>
      <c r="HB20" s="1616"/>
      <c r="HC20" s="1616"/>
      <c r="HD20" s="1616"/>
      <c r="HE20" s="1616"/>
      <c r="HF20" s="1616"/>
      <c r="HG20" s="1616"/>
      <c r="HH20" s="1616" t="s">
        <v>101</v>
      </c>
      <c r="HI20" s="1616"/>
      <c r="HJ20" s="1616" t="s">
        <v>101</v>
      </c>
      <c r="HK20" s="1616"/>
      <c r="HL20" s="1616"/>
      <c r="HM20" s="1616"/>
      <c r="HN20" s="1616"/>
      <c r="HO20" s="1616"/>
      <c r="HP20" s="1616"/>
      <c r="HQ20" s="1616"/>
      <c r="HR20" s="1616"/>
      <c r="HS20" s="1616"/>
      <c r="HT20" s="1616"/>
      <c r="HU20" s="1616"/>
      <c r="HV20" s="1616"/>
      <c r="HW20" s="1616"/>
      <c r="HX20" s="1616" t="s">
        <v>101</v>
      </c>
      <c r="HY20" s="1681"/>
      <c r="HZ20" s="1681"/>
      <c r="IA20" s="1681"/>
      <c r="IB20" s="1681"/>
      <c r="IC20" s="1681"/>
      <c r="ID20" s="1681"/>
      <c r="IE20" s="1681"/>
      <c r="IF20" s="1681"/>
      <c r="IG20" s="1681"/>
      <c r="IH20" s="1681"/>
      <c r="II20" s="1681"/>
      <c r="IJ20" s="1681"/>
      <c r="IK20" s="1681"/>
      <c r="IL20" s="1681"/>
      <c r="IM20" s="1681"/>
      <c r="IN20" s="1681"/>
      <c r="IO20" s="1681"/>
      <c r="IP20" s="1681"/>
      <c r="IQ20" s="1681"/>
      <c r="IR20" s="1681"/>
      <c r="IS20" s="1681"/>
      <c r="IT20" s="1681"/>
      <c r="IU20" s="1681"/>
      <c r="IV20" s="1681"/>
    </row>
    <row r="21" s="1598" customFormat="1" ht="20" customHeight="1" spans="1:256">
      <c r="A21" s="1626" t="s">
        <v>113</v>
      </c>
      <c r="B21" s="1627"/>
      <c r="C21" s="1627" t="s">
        <v>101</v>
      </c>
      <c r="D21" s="1627"/>
      <c r="E21" s="1627"/>
      <c r="F21" s="1627"/>
      <c r="G21" s="1627"/>
      <c r="H21" s="1627"/>
      <c r="I21" s="1627"/>
      <c r="J21" s="1627"/>
      <c r="K21" s="1627"/>
      <c r="L21" s="1627"/>
      <c r="M21" s="1627"/>
      <c r="N21" s="1627" t="s">
        <v>101</v>
      </c>
      <c r="O21" s="1627"/>
      <c r="P21" s="1627"/>
      <c r="Q21" s="1627"/>
      <c r="R21" s="1627"/>
      <c r="S21" s="1627"/>
      <c r="T21" s="1627"/>
      <c r="U21" s="1627" t="s">
        <v>101</v>
      </c>
      <c r="V21" s="1627"/>
      <c r="W21" s="1627"/>
      <c r="X21" s="1627"/>
      <c r="Y21" s="1627"/>
      <c r="Z21" s="1627" t="s">
        <v>101</v>
      </c>
      <c r="AA21" s="1627"/>
      <c r="AB21" s="1627"/>
      <c r="AC21" s="1627"/>
      <c r="AD21" s="1627"/>
      <c r="AE21" s="1627"/>
      <c r="AF21" s="1627"/>
      <c r="AG21" s="1627"/>
      <c r="AH21" s="1627"/>
      <c r="AI21" s="1627"/>
      <c r="AJ21" s="1627"/>
      <c r="AK21" s="1627"/>
      <c r="AL21" s="1627"/>
      <c r="AM21" s="1627"/>
      <c r="AN21" s="1627"/>
      <c r="AO21" s="1627"/>
      <c r="AP21" s="1627"/>
      <c r="AQ21" s="1627"/>
      <c r="AR21" s="1627"/>
      <c r="AS21" s="1627"/>
      <c r="AT21" s="1627"/>
      <c r="AU21" s="1627"/>
      <c r="AV21" s="1627"/>
      <c r="AW21" s="1627"/>
      <c r="AX21" s="1627"/>
      <c r="AY21" s="1627"/>
      <c r="AZ21" s="1627"/>
      <c r="BA21" s="1627"/>
      <c r="BB21" s="1627"/>
      <c r="BC21" s="1627"/>
      <c r="BD21" s="1627" t="s">
        <v>101</v>
      </c>
      <c r="BE21" s="1627"/>
      <c r="BF21" s="1627"/>
      <c r="BG21" s="1627"/>
      <c r="BH21" s="1627"/>
      <c r="BI21" s="1627"/>
      <c r="BJ21" s="1627"/>
      <c r="BK21" s="1627"/>
      <c r="BL21" s="1627"/>
      <c r="BM21" s="1627"/>
      <c r="BN21" s="1627"/>
      <c r="BO21" s="1627"/>
      <c r="BP21" s="1627"/>
      <c r="BQ21" s="1627"/>
      <c r="BR21" s="1627" t="s">
        <v>101</v>
      </c>
      <c r="BS21" s="1627"/>
      <c r="BT21" s="1627"/>
      <c r="BU21" s="1627"/>
      <c r="BV21" s="1627"/>
      <c r="BW21" s="1627"/>
      <c r="BX21" s="1627"/>
      <c r="BY21" s="1627"/>
      <c r="BZ21" s="1627"/>
      <c r="CA21" s="1627"/>
      <c r="CB21" s="1627"/>
      <c r="CC21" s="1627"/>
      <c r="CD21" s="1627"/>
      <c r="CE21" s="1627"/>
      <c r="CF21" s="1627"/>
      <c r="CG21" s="1627"/>
      <c r="CH21" s="1627"/>
      <c r="CI21" s="1627"/>
      <c r="CJ21" s="1627"/>
      <c r="CK21" s="1627"/>
      <c r="CL21" s="1627"/>
      <c r="CM21" s="1627"/>
      <c r="CN21" s="1627"/>
      <c r="CO21" s="1627"/>
      <c r="CP21" s="1627" t="s">
        <v>101</v>
      </c>
      <c r="CQ21" s="1627"/>
      <c r="CR21" s="1627"/>
      <c r="CS21" s="1627"/>
      <c r="CT21" s="1627"/>
      <c r="CU21" s="1627"/>
      <c r="CV21" s="1627"/>
      <c r="CW21" s="1627"/>
      <c r="CX21" s="1627"/>
      <c r="CY21" s="1627"/>
      <c r="CZ21" s="1627" t="s">
        <v>101</v>
      </c>
      <c r="DA21" s="1627"/>
      <c r="DB21" s="1627"/>
      <c r="DC21" s="1627" t="s">
        <v>101</v>
      </c>
      <c r="DD21" s="1627"/>
      <c r="DE21" s="1627"/>
      <c r="DF21" s="1627"/>
      <c r="DG21" s="1627" t="s">
        <v>101</v>
      </c>
      <c r="DH21" s="1627"/>
      <c r="DI21" s="1627"/>
      <c r="DJ21" s="1627"/>
      <c r="DK21" s="1627" t="s">
        <v>101</v>
      </c>
      <c r="DL21" s="1627"/>
      <c r="DM21" s="1627"/>
      <c r="DN21" s="1627"/>
      <c r="DO21" s="1671" t="s">
        <v>101</v>
      </c>
      <c r="DP21" s="1671" t="s">
        <v>101</v>
      </c>
      <c r="DQ21" s="1671" t="s">
        <v>101</v>
      </c>
      <c r="DR21" s="1627"/>
      <c r="DS21" s="1627"/>
      <c r="DT21" s="1627"/>
      <c r="DU21" s="1627"/>
      <c r="DV21" s="1627"/>
      <c r="DW21" s="1627"/>
      <c r="DX21" s="1627"/>
      <c r="DY21" s="1627"/>
      <c r="DZ21" s="1627"/>
      <c r="EA21" s="1627"/>
      <c r="EB21" s="1627"/>
      <c r="EC21" s="1627"/>
      <c r="ED21" s="1627"/>
      <c r="EE21" s="1627"/>
      <c r="EF21" s="1627"/>
      <c r="EG21" s="1627"/>
      <c r="EH21" s="1627"/>
      <c r="EI21" s="1627"/>
      <c r="EJ21" s="1627"/>
      <c r="EK21" s="1671" t="s">
        <v>101</v>
      </c>
      <c r="EL21" s="1627"/>
      <c r="EM21" s="1627"/>
      <c r="EN21" s="1627"/>
      <c r="EO21" s="1627"/>
      <c r="EP21" s="1627"/>
      <c r="EQ21" s="1627"/>
      <c r="ER21" s="1627"/>
      <c r="ES21" s="1627"/>
      <c r="ET21" s="1627"/>
      <c r="EU21" s="1627"/>
      <c r="EV21" s="1627"/>
      <c r="EW21" s="1627"/>
      <c r="EX21" s="1627"/>
      <c r="EY21" s="1627"/>
      <c r="EZ21" s="1627"/>
      <c r="FA21" s="1627"/>
      <c r="FB21" s="1627"/>
      <c r="FC21" s="1627"/>
      <c r="FD21" s="1627"/>
      <c r="FE21" s="1627"/>
      <c r="FF21" s="1627"/>
      <c r="FG21" s="1627"/>
      <c r="FH21" s="1627"/>
      <c r="FI21" s="1627"/>
      <c r="FJ21" s="1627"/>
      <c r="FK21" s="1627"/>
      <c r="FL21" s="1627"/>
      <c r="FM21" s="1671" t="s">
        <v>101</v>
      </c>
      <c r="FN21" s="1627"/>
      <c r="FO21" s="1627"/>
      <c r="FP21" s="1627"/>
      <c r="FQ21" s="1627"/>
      <c r="FR21" s="1627"/>
      <c r="FS21" s="1627"/>
      <c r="FT21" s="1627"/>
      <c r="FU21" s="1627"/>
      <c r="FV21" s="1627"/>
      <c r="FW21" s="1627"/>
      <c r="FX21" s="1627"/>
      <c r="FY21" s="1627"/>
      <c r="FZ21" s="1627"/>
      <c r="GA21" s="1671" t="s">
        <v>101</v>
      </c>
      <c r="GB21" s="1671" t="s">
        <v>101</v>
      </c>
      <c r="GC21" s="1627"/>
      <c r="GD21" s="1627"/>
      <c r="GE21" s="1627"/>
      <c r="GF21" s="1627"/>
      <c r="GG21" s="1627"/>
      <c r="GH21" s="1671" t="s">
        <v>101</v>
      </c>
      <c r="GI21" s="1627"/>
      <c r="GJ21" s="1627"/>
      <c r="GK21" s="1627"/>
      <c r="GL21" s="1627"/>
      <c r="GM21" s="1627"/>
      <c r="GN21" s="1627"/>
      <c r="GO21" s="1627"/>
      <c r="GP21" s="1627"/>
      <c r="GQ21" s="1627"/>
      <c r="GR21" s="1627"/>
      <c r="GS21" s="1671" t="s">
        <v>101</v>
      </c>
      <c r="GT21" s="1627"/>
      <c r="GU21" s="1627"/>
      <c r="GV21" s="1627"/>
      <c r="GW21" s="1669">
        <f>IF(职业列表!$W$27=0,0,_xlfn.IFS(IF(IFERROR(VLOOKUP(A21,职业列表!$J$3:$K$10,1,FALSE),"%^&amp;@%##@^")=A21,1,0)=1,"★",IF(IFERROR(VLOOKUP(A21,职业列表!$J$31:$J$39,1,FALSE),"%^&amp;@%##@^")=A21,1,0)=1,职业列表!$V$25,IF(IFERROR(VLOOKUP(A21,职业列表!$J$43:$J$51,1,FALSE),"%^&amp;@%##@^")=A21,1,0)=1,职业列表!$V$26,IF(IFERROR(VLOOKUP(A21,职业列表!$J$55:$J$63,1,FALSE),"%^&amp;@%##@^")=A21,1,0)=1,职业列表!$V$27,IF(IFERROR(VLOOKUP(A21,职业列表!$J$3:$K$10,1,FALSE),"%^&amp;@%##@^")=A21,1,0)+IF(IFERROR(VLOOKUP(A21,职业列表!$J$31:$J$39,1,FALSE),"%^&amp;@%##@^")=A21,1,0)+IF(IFERROR(VLOOKUP(A21,职业列表!$J$43:$J$51,1,FALSE),"%^&amp;@%##@^")=A21,1,0)+IF(IFERROR(VLOOKUP(A21,职业列表!$J$55:$J$63,1,FALSE),"%^&amp;@%##@^")=A21,1,0)=0,0))</f>
        <v>0</v>
      </c>
      <c r="GX21" s="1627"/>
      <c r="GY21" s="1627"/>
      <c r="GZ21" s="1627"/>
      <c r="HA21" s="1627"/>
      <c r="HB21" s="1627"/>
      <c r="HC21" s="1627"/>
      <c r="HD21" s="1627" t="s">
        <v>101</v>
      </c>
      <c r="HE21" s="1627"/>
      <c r="HF21" s="1627"/>
      <c r="HG21" s="1627"/>
      <c r="HH21" s="1627"/>
      <c r="HI21" s="1627"/>
      <c r="HJ21" s="1676" t="s">
        <v>101</v>
      </c>
      <c r="HK21" s="1627"/>
      <c r="HL21" s="1627"/>
      <c r="HM21" s="1627"/>
      <c r="HN21" s="1627" t="s">
        <v>101</v>
      </c>
      <c r="HO21" s="1627" t="s">
        <v>101</v>
      </c>
      <c r="HP21" s="1627"/>
      <c r="HQ21" s="1627"/>
      <c r="HR21" s="1627" t="s">
        <v>101</v>
      </c>
      <c r="HS21" s="1627"/>
      <c r="HT21" s="1627"/>
      <c r="HU21" s="1627" t="s">
        <v>101</v>
      </c>
      <c r="HV21" s="1627"/>
      <c r="HW21" s="1676" t="s">
        <v>101</v>
      </c>
      <c r="HX21" s="1627"/>
      <c r="HY21" s="1685"/>
      <c r="HZ21" s="1685"/>
      <c r="IA21" s="1685"/>
      <c r="IB21" s="1685"/>
      <c r="IC21" s="1685"/>
      <c r="ID21" s="1685"/>
      <c r="IE21" s="1685"/>
      <c r="IF21" s="1685"/>
      <c r="IG21" s="1685"/>
      <c r="IH21" s="1685"/>
      <c r="II21" s="1685"/>
      <c r="IJ21" s="1685"/>
      <c r="IK21" s="1685"/>
      <c r="IL21" s="1685"/>
      <c r="IM21" s="1685"/>
      <c r="IN21" s="1685"/>
      <c r="IO21" s="1685"/>
      <c r="IP21" s="1685"/>
      <c r="IQ21" s="1685"/>
      <c r="IR21" s="1685"/>
      <c r="IS21" s="1685"/>
      <c r="IT21" s="1685"/>
      <c r="IU21" s="1685"/>
      <c r="IV21" s="1685"/>
    </row>
    <row r="22" ht="20" customHeight="1" spans="1:256">
      <c r="A22" s="1615" t="s">
        <v>116</v>
      </c>
      <c r="B22" s="1616"/>
      <c r="C22" s="1616"/>
      <c r="D22" s="1616"/>
      <c r="E22" s="1616" t="s">
        <v>101</v>
      </c>
      <c r="F22" s="1616"/>
      <c r="G22" s="1616"/>
      <c r="H22" s="1616"/>
      <c r="I22" s="1616"/>
      <c r="J22" s="1616" t="s">
        <v>101</v>
      </c>
      <c r="K22" s="1616"/>
      <c r="L22" s="1616"/>
      <c r="M22" s="1616"/>
      <c r="N22" s="1616"/>
      <c r="O22" s="1616"/>
      <c r="P22" s="1616"/>
      <c r="Q22" s="1616"/>
      <c r="R22" s="1616"/>
      <c r="S22" s="1616" t="s">
        <v>101</v>
      </c>
      <c r="T22" s="1616" t="s">
        <v>101</v>
      </c>
      <c r="U22" s="1616"/>
      <c r="V22" s="1616"/>
      <c r="W22" s="1616"/>
      <c r="X22" s="1616"/>
      <c r="Y22" s="1616"/>
      <c r="Z22" s="1616"/>
      <c r="AA22" s="1616"/>
      <c r="AB22" s="1616"/>
      <c r="AC22" s="1616" t="s">
        <v>101</v>
      </c>
      <c r="AD22" s="1616" t="s">
        <v>101</v>
      </c>
      <c r="AE22" s="1616"/>
      <c r="AF22" s="1616"/>
      <c r="AG22" s="1616"/>
      <c r="AH22" s="1616" t="s">
        <v>101</v>
      </c>
      <c r="AI22" s="1616"/>
      <c r="AJ22" s="1616"/>
      <c r="AK22" s="1651" t="s">
        <v>589</v>
      </c>
      <c r="AL22" s="1616"/>
      <c r="AM22" s="1616"/>
      <c r="AN22" s="1616" t="s">
        <v>101</v>
      </c>
      <c r="AO22" s="1616"/>
      <c r="AP22" s="1616"/>
      <c r="AQ22" s="1616"/>
      <c r="AR22" s="1616"/>
      <c r="AS22" s="1616"/>
      <c r="AT22" s="1616" t="s">
        <v>101</v>
      </c>
      <c r="AU22" s="1616" t="s">
        <v>101</v>
      </c>
      <c r="AV22" s="1616" t="s">
        <v>101</v>
      </c>
      <c r="AW22" s="1616"/>
      <c r="AX22" s="1616"/>
      <c r="AY22" s="1616"/>
      <c r="AZ22" s="1616"/>
      <c r="BA22" s="1616"/>
      <c r="BB22" s="1616" t="s">
        <v>101</v>
      </c>
      <c r="BC22" s="1616" t="s">
        <v>101</v>
      </c>
      <c r="BD22" s="1616" t="s">
        <v>101</v>
      </c>
      <c r="BE22" s="1616"/>
      <c r="BF22" s="1616"/>
      <c r="BG22" s="1616"/>
      <c r="BH22" s="1616"/>
      <c r="BI22" s="1616" t="s">
        <v>101</v>
      </c>
      <c r="BJ22" s="1616"/>
      <c r="BK22" s="1616"/>
      <c r="BL22" s="1616"/>
      <c r="BM22" s="1616"/>
      <c r="BN22" s="1616"/>
      <c r="BO22" s="1616"/>
      <c r="BP22" s="1616"/>
      <c r="BQ22" s="1616" t="s">
        <v>101</v>
      </c>
      <c r="BR22" s="1616"/>
      <c r="BS22" s="1616"/>
      <c r="BT22" s="1616"/>
      <c r="BU22" s="1616"/>
      <c r="BV22" s="1616" t="s">
        <v>101</v>
      </c>
      <c r="BW22" s="1616"/>
      <c r="BX22" s="1616"/>
      <c r="BY22" s="1616"/>
      <c r="BZ22" s="1616"/>
      <c r="CA22" s="1616"/>
      <c r="CB22" s="1616"/>
      <c r="CC22" s="1616"/>
      <c r="CD22" s="1616"/>
      <c r="CE22" s="1616"/>
      <c r="CF22" s="1616"/>
      <c r="CG22" s="1616"/>
      <c r="CH22" s="1616"/>
      <c r="CI22" s="1616"/>
      <c r="CJ22" s="1616"/>
      <c r="CK22" s="1616"/>
      <c r="CL22" s="1649" t="s">
        <v>589</v>
      </c>
      <c r="CM22" s="1616"/>
      <c r="CN22" s="1616"/>
      <c r="CO22" s="1616"/>
      <c r="CP22" s="1616"/>
      <c r="CQ22" s="1616"/>
      <c r="CR22" s="1616"/>
      <c r="CS22" s="1616"/>
      <c r="CT22" s="1616"/>
      <c r="CU22" s="1616"/>
      <c r="CV22" s="1616" t="s">
        <v>101</v>
      </c>
      <c r="CW22" s="1616"/>
      <c r="CX22" s="1616"/>
      <c r="CY22" s="1616"/>
      <c r="CZ22" s="1616"/>
      <c r="DA22" s="1616"/>
      <c r="DB22" s="1616"/>
      <c r="DC22" s="1616" t="s">
        <v>593</v>
      </c>
      <c r="DD22" s="1616"/>
      <c r="DE22" s="1616" t="s">
        <v>101</v>
      </c>
      <c r="DF22" s="1616"/>
      <c r="DG22" s="1616"/>
      <c r="DH22" s="1616"/>
      <c r="DI22" s="1616"/>
      <c r="DJ22" s="1616"/>
      <c r="DK22" s="1616"/>
      <c r="DL22" s="1616"/>
      <c r="DM22" s="1616"/>
      <c r="DN22" s="1616"/>
      <c r="DO22" s="1616"/>
      <c r="DP22" s="1616"/>
      <c r="DQ22" s="1616"/>
      <c r="DR22" s="1616"/>
      <c r="DS22" s="1616"/>
      <c r="DT22" s="1616"/>
      <c r="DU22" s="1616"/>
      <c r="DV22" s="1616"/>
      <c r="DW22" s="1616"/>
      <c r="DX22" s="1616"/>
      <c r="DY22" s="1616"/>
      <c r="DZ22" s="1616"/>
      <c r="EA22" s="1616"/>
      <c r="EB22" s="1616"/>
      <c r="EC22" s="1616"/>
      <c r="ED22" s="1616"/>
      <c r="EE22" s="1616"/>
      <c r="EF22" s="1616"/>
      <c r="EG22" s="1651" t="s">
        <v>101</v>
      </c>
      <c r="EH22" s="1616"/>
      <c r="EI22" s="1651" t="s">
        <v>101</v>
      </c>
      <c r="EJ22" s="1616"/>
      <c r="EK22" s="1616"/>
      <c r="EL22" s="1616"/>
      <c r="EM22" s="1616"/>
      <c r="EN22" s="1651" t="s">
        <v>101</v>
      </c>
      <c r="EO22" s="1616"/>
      <c r="EP22" s="1651" t="s">
        <v>101</v>
      </c>
      <c r="EQ22" s="1651" t="s">
        <v>101</v>
      </c>
      <c r="ER22" s="1616"/>
      <c r="ES22" s="1616"/>
      <c r="ET22" s="1616"/>
      <c r="EU22" s="1616"/>
      <c r="EV22" s="1616"/>
      <c r="EW22" s="1616"/>
      <c r="EX22" s="1616"/>
      <c r="EY22" s="1616"/>
      <c r="EZ22" s="1651" t="s">
        <v>101</v>
      </c>
      <c r="FA22" s="1651" t="s">
        <v>101</v>
      </c>
      <c r="FB22" s="1651" t="s">
        <v>101</v>
      </c>
      <c r="FC22" s="1616"/>
      <c r="FD22" s="1616"/>
      <c r="FE22" s="1616"/>
      <c r="FF22" s="1616"/>
      <c r="FG22" s="1616"/>
      <c r="FH22" s="1616"/>
      <c r="FI22" s="1616"/>
      <c r="FJ22" s="1616"/>
      <c r="FK22" s="1616"/>
      <c r="FL22" s="1616"/>
      <c r="FM22" s="1616"/>
      <c r="FN22" s="1616"/>
      <c r="FO22" s="1616"/>
      <c r="FP22" s="1616"/>
      <c r="FQ22" s="1616"/>
      <c r="FR22" s="1616"/>
      <c r="FS22" s="1616"/>
      <c r="FT22" s="1616"/>
      <c r="FU22" s="1616"/>
      <c r="FV22" s="1616"/>
      <c r="FW22" s="1616"/>
      <c r="FX22" s="1616"/>
      <c r="FY22" s="1616"/>
      <c r="FZ22" s="1616"/>
      <c r="GA22" s="1616"/>
      <c r="GB22" s="1616"/>
      <c r="GC22" s="1616"/>
      <c r="GD22" s="1616"/>
      <c r="GE22" s="1616"/>
      <c r="GF22" s="1616"/>
      <c r="GG22" s="1616"/>
      <c r="GH22" s="1616"/>
      <c r="GI22" s="1616"/>
      <c r="GJ22" s="1616"/>
      <c r="GK22" s="1616"/>
      <c r="GL22" s="1616"/>
      <c r="GM22" s="1651" t="s">
        <v>101</v>
      </c>
      <c r="GN22" s="1616"/>
      <c r="GO22" s="1616"/>
      <c r="GP22" s="1651" t="s">
        <v>101</v>
      </c>
      <c r="GQ22" s="1616"/>
      <c r="GR22" s="1616"/>
      <c r="GS22" s="1616"/>
      <c r="GT22" s="1616"/>
      <c r="GU22" s="1651" t="s">
        <v>589</v>
      </c>
      <c r="GV22" s="1616"/>
      <c r="GW22" s="1669">
        <f>IF(职业列表!$W$27=0,0,_xlfn.IFS(IF(IFERROR(VLOOKUP(A22,职业列表!$J$3:$K$10,1,FALSE),"%^&amp;@%##@^")=A22,1,0)=1,"★",IF(IFERROR(VLOOKUP(A22,职业列表!$J$31:$J$39,1,FALSE),"%^&amp;@%##@^")=A22,1,0)=1,职业列表!$V$25,IF(IFERROR(VLOOKUP(A22,职业列表!$J$43:$J$51,1,FALSE),"%^&amp;@%##@^")=A22,1,0)=1,职业列表!$V$26,IF(IFERROR(VLOOKUP(A22,职业列表!$J$55:$J$63,1,FALSE),"%^&amp;@%##@^")=A22,1,0)=1,职业列表!$V$27,IF(IFERROR(VLOOKUP(A22,职业列表!$J$3:$K$10,1,FALSE),"%^&amp;@%##@^")=A22,1,0)+IF(IFERROR(VLOOKUP(A22,职业列表!$J$31:$J$39,1,FALSE),"%^&amp;@%##@^")=A22,1,0)+IF(IFERROR(VLOOKUP(A22,职业列表!$J$43:$J$51,1,FALSE),"%^&amp;@%##@^")=A22,1,0)+IF(IFERROR(VLOOKUP(A22,职业列表!$J$55:$J$63,1,FALSE),"%^&amp;@%##@^")=A22,1,0)=0,0))</f>
        <v>0</v>
      </c>
      <c r="GX22" s="1616"/>
      <c r="GY22" s="1616"/>
      <c r="GZ22" s="1616"/>
      <c r="HA22" s="1616"/>
      <c r="HB22" s="1616"/>
      <c r="HC22" s="1616"/>
      <c r="HD22" s="1649" t="s">
        <v>101</v>
      </c>
      <c r="HE22" s="1616"/>
      <c r="HF22" s="1616"/>
      <c r="HG22" s="1616"/>
      <c r="HH22" s="1616"/>
      <c r="HI22" s="1616"/>
      <c r="HJ22" s="1616"/>
      <c r="HK22" s="1616"/>
      <c r="HL22" s="1616"/>
      <c r="HM22" s="1616"/>
      <c r="HN22" s="1616"/>
      <c r="HO22" s="1658" t="s">
        <v>593</v>
      </c>
      <c r="HP22" s="1616"/>
      <c r="HQ22" s="1616"/>
      <c r="HR22" s="1616"/>
      <c r="HS22" s="1616"/>
      <c r="HT22" s="1616"/>
      <c r="HU22" s="1616" t="s">
        <v>593</v>
      </c>
      <c r="HV22" s="1616"/>
      <c r="HW22" s="1616"/>
      <c r="HX22" s="1616"/>
      <c r="HY22" s="1681"/>
      <c r="HZ22" s="1681"/>
      <c r="IA22" s="1681" t="s">
        <v>101</v>
      </c>
      <c r="IB22" s="1686" t="s">
        <v>101</v>
      </c>
      <c r="IC22" s="1681"/>
      <c r="ID22" s="1681"/>
      <c r="IE22" s="1681"/>
      <c r="IF22" s="1681"/>
      <c r="IG22" s="1681"/>
      <c r="IH22" s="1681"/>
      <c r="II22" s="1681"/>
      <c r="IJ22" s="1681"/>
      <c r="IK22" s="1681"/>
      <c r="IL22" s="1681"/>
      <c r="IM22" s="1681"/>
      <c r="IN22" s="1681"/>
      <c r="IO22" s="1681"/>
      <c r="IP22" s="1681"/>
      <c r="IQ22" s="1681"/>
      <c r="IR22" s="1681"/>
      <c r="IS22" s="1681"/>
      <c r="IT22" s="1681"/>
      <c r="IU22" s="1681"/>
      <c r="IV22" s="1681"/>
    </row>
    <row r="23" ht="20" customHeight="1" spans="1:256">
      <c r="A23" s="1615" t="s">
        <v>118</v>
      </c>
      <c r="B23" s="1616"/>
      <c r="C23" s="1616"/>
      <c r="D23" s="1616"/>
      <c r="E23" s="1616"/>
      <c r="F23" s="1616"/>
      <c r="G23" s="1616"/>
      <c r="H23" s="1616"/>
      <c r="I23" s="1616"/>
      <c r="J23" s="1616"/>
      <c r="K23" s="1616"/>
      <c r="L23" s="1616"/>
      <c r="M23" s="1616"/>
      <c r="N23" s="1616"/>
      <c r="O23" s="1616"/>
      <c r="P23" s="1616"/>
      <c r="Q23" s="1616"/>
      <c r="R23" s="1616"/>
      <c r="S23" s="1616"/>
      <c r="T23" s="1651" t="s">
        <v>589</v>
      </c>
      <c r="U23" s="1616"/>
      <c r="V23" s="1616"/>
      <c r="W23" s="1616"/>
      <c r="X23" s="1616" t="s">
        <v>101</v>
      </c>
      <c r="Y23" s="1616" t="s">
        <v>101</v>
      </c>
      <c r="Z23" s="1616"/>
      <c r="AA23" s="1616"/>
      <c r="AB23" s="1616" t="s">
        <v>101</v>
      </c>
      <c r="AC23" s="1651" t="s">
        <v>589</v>
      </c>
      <c r="AD23" s="1616"/>
      <c r="AE23" s="1651" t="s">
        <v>589</v>
      </c>
      <c r="AF23" s="1616"/>
      <c r="AG23" s="1616"/>
      <c r="AH23" s="1616"/>
      <c r="AI23" s="1616"/>
      <c r="AJ23" s="1616"/>
      <c r="AK23" s="1616"/>
      <c r="AL23" s="1616"/>
      <c r="AM23" s="1616"/>
      <c r="AN23" s="1616"/>
      <c r="AO23" s="1616"/>
      <c r="AP23" s="1616"/>
      <c r="AQ23" s="1616"/>
      <c r="AR23" s="1616"/>
      <c r="AS23" s="1616"/>
      <c r="AT23" s="1616"/>
      <c r="AU23" s="1616"/>
      <c r="AV23" s="1616" t="s">
        <v>101</v>
      </c>
      <c r="AW23" s="1616"/>
      <c r="AX23" s="1616"/>
      <c r="AY23" s="1616" t="s">
        <v>101</v>
      </c>
      <c r="AZ23" s="1616"/>
      <c r="BA23" s="1616"/>
      <c r="BB23" s="1616"/>
      <c r="BC23" s="1616"/>
      <c r="BD23" s="1616"/>
      <c r="BE23" s="1616"/>
      <c r="BF23" s="1616"/>
      <c r="BG23" s="1616"/>
      <c r="BH23" s="1616"/>
      <c r="BI23" s="1616"/>
      <c r="BJ23" s="1616"/>
      <c r="BK23" s="1616"/>
      <c r="BL23" s="1616" t="s">
        <v>101</v>
      </c>
      <c r="BM23" s="1616"/>
      <c r="BN23" s="1616"/>
      <c r="BO23" s="1616"/>
      <c r="BP23" s="1616" t="s">
        <v>101</v>
      </c>
      <c r="BQ23" s="1616" t="s">
        <v>101</v>
      </c>
      <c r="BR23" s="1616"/>
      <c r="BS23" s="1616"/>
      <c r="BT23" s="1616"/>
      <c r="BU23" s="1616"/>
      <c r="BV23" s="1616" t="s">
        <v>101</v>
      </c>
      <c r="BW23" s="1616"/>
      <c r="BX23" s="1616"/>
      <c r="BY23" s="1616"/>
      <c r="BZ23" s="1616"/>
      <c r="CA23" s="1616"/>
      <c r="CB23" s="1616"/>
      <c r="CC23" s="1616"/>
      <c r="CD23" s="1616"/>
      <c r="CE23" s="1616"/>
      <c r="CF23" s="1616"/>
      <c r="CG23" s="1616"/>
      <c r="CH23" s="1616"/>
      <c r="CI23" s="1616" t="s">
        <v>101</v>
      </c>
      <c r="CJ23" s="1616" t="s">
        <v>101</v>
      </c>
      <c r="CK23" s="1616"/>
      <c r="CL23" s="1616"/>
      <c r="CM23" s="1616"/>
      <c r="CN23" s="1616"/>
      <c r="CO23" s="1616"/>
      <c r="CP23" s="1616"/>
      <c r="CQ23" s="1616"/>
      <c r="CR23" s="1616"/>
      <c r="CS23" s="1616"/>
      <c r="CT23" s="1616" t="s">
        <v>589</v>
      </c>
      <c r="CU23" s="1616"/>
      <c r="CV23" s="1616"/>
      <c r="CW23" s="1616"/>
      <c r="CX23" s="1616"/>
      <c r="CY23" s="1616" t="s">
        <v>101</v>
      </c>
      <c r="CZ23" s="1616"/>
      <c r="DA23" s="1616"/>
      <c r="DB23" s="1616"/>
      <c r="DC23" s="1616" t="s">
        <v>589</v>
      </c>
      <c r="DD23" s="1616"/>
      <c r="DE23" s="1616"/>
      <c r="DF23" s="1616"/>
      <c r="DG23" s="1616"/>
      <c r="DH23" s="1616"/>
      <c r="DI23" s="1616"/>
      <c r="DJ23" s="1616"/>
      <c r="DK23" s="1616"/>
      <c r="DL23" s="1616"/>
      <c r="DM23" s="1616"/>
      <c r="DN23" s="1616"/>
      <c r="DO23" s="1616"/>
      <c r="DP23" s="1616"/>
      <c r="DQ23" s="1616"/>
      <c r="DR23" s="1616"/>
      <c r="DS23" s="1616"/>
      <c r="DT23" s="1616"/>
      <c r="DU23" s="1616"/>
      <c r="DV23" s="1616"/>
      <c r="DW23" s="1616"/>
      <c r="DX23" s="1616"/>
      <c r="DY23" s="1616"/>
      <c r="DZ23" s="1616"/>
      <c r="EA23" s="1616"/>
      <c r="EB23" s="1616"/>
      <c r="EC23" s="1616"/>
      <c r="ED23" s="1616"/>
      <c r="EE23" s="1616"/>
      <c r="EF23" s="1616"/>
      <c r="EG23" s="1651" t="s">
        <v>101</v>
      </c>
      <c r="EH23" s="1616"/>
      <c r="EI23" s="1616"/>
      <c r="EJ23" s="1616"/>
      <c r="EK23" s="1616"/>
      <c r="EL23" s="1651" t="s">
        <v>589</v>
      </c>
      <c r="EM23" s="1616"/>
      <c r="EN23" s="1651" t="s">
        <v>101</v>
      </c>
      <c r="EO23" s="1616"/>
      <c r="EP23" s="1616"/>
      <c r="EQ23" s="1616"/>
      <c r="ER23" s="1616"/>
      <c r="ES23" s="1616"/>
      <c r="ET23" s="1616"/>
      <c r="EU23" s="1616"/>
      <c r="EV23" s="1616"/>
      <c r="EW23" s="1616"/>
      <c r="EX23" s="1651" t="s">
        <v>101</v>
      </c>
      <c r="EY23" s="1616"/>
      <c r="EZ23" s="1651" t="s">
        <v>589</v>
      </c>
      <c r="FA23" s="1616"/>
      <c r="FB23" s="1616"/>
      <c r="FC23" s="1616"/>
      <c r="FD23" s="1616"/>
      <c r="FE23" s="1616"/>
      <c r="FF23" s="1616"/>
      <c r="FG23" s="1616"/>
      <c r="FH23" s="1616"/>
      <c r="FI23" s="1616"/>
      <c r="FJ23" s="1616"/>
      <c r="FK23" s="1616"/>
      <c r="FL23" s="1616"/>
      <c r="FM23" s="1616"/>
      <c r="FN23" s="1616"/>
      <c r="FO23" s="1616"/>
      <c r="FP23" s="1616"/>
      <c r="FQ23" s="1616"/>
      <c r="FR23" s="1616"/>
      <c r="FS23" s="1651" t="s">
        <v>101</v>
      </c>
      <c r="FT23" s="1616"/>
      <c r="FU23" s="1616"/>
      <c r="FV23" s="1616"/>
      <c r="FW23" s="1616"/>
      <c r="FX23" s="1616"/>
      <c r="FY23" s="1651" t="s">
        <v>101</v>
      </c>
      <c r="FZ23" s="1616"/>
      <c r="GA23" s="1616"/>
      <c r="GB23" s="1616"/>
      <c r="GC23" s="1616"/>
      <c r="GD23" s="1616"/>
      <c r="GE23" s="1616"/>
      <c r="GF23" s="1616"/>
      <c r="GG23" s="1616"/>
      <c r="GH23" s="1616"/>
      <c r="GI23" s="1616"/>
      <c r="GJ23" s="1616"/>
      <c r="GK23" s="1616"/>
      <c r="GL23" s="1651" t="s">
        <v>101</v>
      </c>
      <c r="GM23" s="1616"/>
      <c r="GN23" s="1651" t="s">
        <v>101</v>
      </c>
      <c r="GO23" s="1616"/>
      <c r="GP23" s="1651" t="s">
        <v>101</v>
      </c>
      <c r="GQ23" s="1616"/>
      <c r="GR23" s="1651" t="s">
        <v>101</v>
      </c>
      <c r="GS23" s="1616"/>
      <c r="GT23" s="1616"/>
      <c r="GU23" s="1616"/>
      <c r="GV23" s="1651" t="s">
        <v>101</v>
      </c>
      <c r="GW23" s="1669">
        <f>IF(职业列表!$W$27=0,0,_xlfn.IFS(IF(IFERROR(VLOOKUP(A23,职业列表!$J$3:$K$10,1,FALSE),"%^&amp;@%##@^")=A23,1,0)=1,"★",IF(IFERROR(VLOOKUP(A23,职业列表!$J$31:$J$39,1,FALSE),"%^&amp;@%##@^")=A23,1,0)=1,职业列表!$V$25,IF(IFERROR(VLOOKUP(A23,职业列表!$J$43:$J$51,1,FALSE),"%^&amp;@%##@^")=A23,1,0)=1,职业列表!$V$26,IF(IFERROR(VLOOKUP(A23,职业列表!$J$55:$J$63,1,FALSE),"%^&amp;@%##@^")=A23,1,0)=1,职业列表!$V$27,IF(IFERROR(VLOOKUP(A23,职业列表!$J$3:$K$10,1,FALSE),"%^&amp;@%##@^")=A23,1,0)+IF(IFERROR(VLOOKUP(A23,职业列表!$J$31:$J$39,1,FALSE),"%^&amp;@%##@^")=A23,1,0)+IF(IFERROR(VLOOKUP(A23,职业列表!$J$43:$J$51,1,FALSE),"%^&amp;@%##@^")=A23,1,0)+IF(IFERROR(VLOOKUP(A23,职业列表!$J$55:$J$63,1,FALSE),"%^&amp;@%##@^")=A23,1,0)=0,0))</f>
        <v>0</v>
      </c>
      <c r="GX23" s="1616"/>
      <c r="GY23" s="1616"/>
      <c r="GZ23" s="1616"/>
      <c r="HA23" s="1616"/>
      <c r="HB23" s="1616"/>
      <c r="HC23" s="1616"/>
      <c r="HD23" s="1616"/>
      <c r="HE23" s="1616"/>
      <c r="HF23" s="1616"/>
      <c r="HG23" s="1616"/>
      <c r="HH23" s="1616"/>
      <c r="HI23" s="1616"/>
      <c r="HJ23" s="1616"/>
      <c r="HK23" s="1616"/>
      <c r="HL23" s="1616"/>
      <c r="HM23" s="1616"/>
      <c r="HN23" s="1651"/>
      <c r="HO23" s="1616"/>
      <c r="HP23" s="1616"/>
      <c r="HQ23" s="1616"/>
      <c r="HR23" s="1616"/>
      <c r="HS23" s="1616"/>
      <c r="HT23" s="1616"/>
      <c r="HU23" s="1616"/>
      <c r="HV23" s="1616"/>
      <c r="HW23" s="1651"/>
      <c r="HX23" s="1616"/>
      <c r="HY23" s="1681"/>
      <c r="HZ23" s="1681"/>
      <c r="IA23" s="1681"/>
      <c r="IB23" s="1681"/>
      <c r="IC23" s="1681"/>
      <c r="ID23" s="1681"/>
      <c r="IE23" s="1681"/>
      <c r="IF23" s="1681"/>
      <c r="IG23" s="1681"/>
      <c r="IH23" s="1681"/>
      <c r="II23" s="1681"/>
      <c r="IJ23" s="1681"/>
      <c r="IK23" s="1681"/>
      <c r="IL23" s="1681"/>
      <c r="IM23" s="1681"/>
      <c r="IN23" s="1681"/>
      <c r="IO23" s="1681"/>
      <c r="IP23" s="1681"/>
      <c r="IQ23" s="1681"/>
      <c r="IR23" s="1681"/>
      <c r="IS23" s="1681"/>
      <c r="IT23" s="1681"/>
      <c r="IU23" s="1681"/>
      <c r="IV23" s="1681"/>
    </row>
    <row r="24" ht="20" customHeight="1" spans="1:256">
      <c r="A24" s="1625" t="s">
        <v>120</v>
      </c>
      <c r="B24" s="1616"/>
      <c r="C24" s="1616"/>
      <c r="D24" s="1616"/>
      <c r="E24" s="1616"/>
      <c r="F24" s="1616"/>
      <c r="G24" s="1616"/>
      <c r="H24" s="1616"/>
      <c r="I24" s="1616"/>
      <c r="J24" s="1616"/>
      <c r="K24" s="1616"/>
      <c r="L24" s="1616"/>
      <c r="M24" s="1616"/>
      <c r="N24" s="1616"/>
      <c r="O24" s="1616"/>
      <c r="P24" s="1616"/>
      <c r="Q24" s="1616"/>
      <c r="R24" s="1616"/>
      <c r="S24" s="1616"/>
      <c r="T24" s="1651" t="s">
        <v>589</v>
      </c>
      <c r="U24" s="1616"/>
      <c r="V24" s="1616"/>
      <c r="W24" s="1616"/>
      <c r="X24" s="1616" t="s">
        <v>101</v>
      </c>
      <c r="Y24" s="1616" t="s">
        <v>101</v>
      </c>
      <c r="Z24" s="1616"/>
      <c r="AA24" s="1616"/>
      <c r="AB24" s="1616"/>
      <c r="AC24" s="1616"/>
      <c r="AD24" s="1616"/>
      <c r="AE24" s="1616"/>
      <c r="AF24" s="1616"/>
      <c r="AG24" s="1616"/>
      <c r="AH24" s="1616"/>
      <c r="AI24" s="1616"/>
      <c r="AJ24" s="1616"/>
      <c r="AK24" s="1616"/>
      <c r="AL24" s="1616"/>
      <c r="AM24" s="1616"/>
      <c r="AN24" s="1616"/>
      <c r="AO24" s="1616"/>
      <c r="AP24" s="1616"/>
      <c r="AQ24" s="1616"/>
      <c r="AR24" s="1616"/>
      <c r="AS24" s="1616"/>
      <c r="AT24" s="1616"/>
      <c r="AU24" s="1616"/>
      <c r="AV24" s="1616"/>
      <c r="AW24" s="1616"/>
      <c r="AX24" s="1616"/>
      <c r="AY24" s="1616"/>
      <c r="AZ24" s="1616"/>
      <c r="BA24" s="1616"/>
      <c r="BB24" s="1616"/>
      <c r="BC24" s="1616"/>
      <c r="BD24" s="1616"/>
      <c r="BE24" s="1616"/>
      <c r="BF24" s="1616"/>
      <c r="BG24" s="1616"/>
      <c r="BH24" s="1616"/>
      <c r="BI24" s="1616"/>
      <c r="BJ24" s="1616"/>
      <c r="BK24" s="1616"/>
      <c r="BL24" s="1616"/>
      <c r="BM24" s="1616"/>
      <c r="BN24" s="1616"/>
      <c r="BO24" s="1616"/>
      <c r="BP24" s="1616"/>
      <c r="BQ24" s="1616"/>
      <c r="BR24" s="1616"/>
      <c r="BS24" s="1616"/>
      <c r="BT24" s="1616"/>
      <c r="BU24" s="1616"/>
      <c r="BV24" s="1616"/>
      <c r="BW24" s="1616"/>
      <c r="BX24" s="1616"/>
      <c r="BY24" s="1616"/>
      <c r="BZ24" s="1616"/>
      <c r="CA24" s="1616"/>
      <c r="CB24" s="1616"/>
      <c r="CC24" s="1616"/>
      <c r="CD24" s="1616"/>
      <c r="CE24" s="1616"/>
      <c r="CF24" s="1616"/>
      <c r="CG24" s="1616"/>
      <c r="CH24" s="1616"/>
      <c r="CI24" s="1616"/>
      <c r="CJ24" s="1616"/>
      <c r="CK24" s="1616"/>
      <c r="CL24" s="1616"/>
      <c r="CM24" s="1616"/>
      <c r="CN24" s="1616"/>
      <c r="CO24" s="1616"/>
      <c r="CP24" s="1616"/>
      <c r="CQ24" s="1616"/>
      <c r="CR24" s="1616"/>
      <c r="CS24" s="1616"/>
      <c r="CT24" s="1616"/>
      <c r="CU24" s="1616"/>
      <c r="CV24" s="1616"/>
      <c r="CW24" s="1616"/>
      <c r="CX24" s="1616"/>
      <c r="CY24" s="1616"/>
      <c r="CZ24" s="1616"/>
      <c r="DA24" s="1616"/>
      <c r="DB24" s="1616"/>
      <c r="DC24" s="1616"/>
      <c r="DD24" s="1616"/>
      <c r="DE24" s="1616"/>
      <c r="DF24" s="1616"/>
      <c r="DG24" s="1616"/>
      <c r="DH24" s="1616"/>
      <c r="DI24" s="1616"/>
      <c r="DJ24" s="1616"/>
      <c r="DK24" s="1616"/>
      <c r="DL24" s="1616"/>
      <c r="DM24" s="1616"/>
      <c r="DN24" s="1616"/>
      <c r="DO24" s="1616"/>
      <c r="DP24" s="1616"/>
      <c r="DQ24" s="1616"/>
      <c r="DR24" s="1616"/>
      <c r="DS24" s="1616"/>
      <c r="DT24" s="1616"/>
      <c r="DU24" s="1616"/>
      <c r="DV24" s="1616"/>
      <c r="DW24" s="1616"/>
      <c r="DX24" s="1616"/>
      <c r="DY24" s="1616"/>
      <c r="DZ24" s="1616"/>
      <c r="EA24" s="1616"/>
      <c r="EB24" s="1616"/>
      <c r="EC24" s="1616"/>
      <c r="ED24" s="1616"/>
      <c r="EE24" s="1616"/>
      <c r="EF24" s="1616"/>
      <c r="EG24" s="1616"/>
      <c r="EH24" s="1616"/>
      <c r="EI24" s="1616"/>
      <c r="EJ24" s="1616"/>
      <c r="EK24" s="1616"/>
      <c r="EL24" s="1616"/>
      <c r="EM24" s="1616"/>
      <c r="EN24" s="1616"/>
      <c r="EO24" s="1616"/>
      <c r="EP24" s="1616"/>
      <c r="EQ24" s="1616"/>
      <c r="ER24" s="1616"/>
      <c r="ES24" s="1616"/>
      <c r="ET24" s="1616"/>
      <c r="EU24" s="1616"/>
      <c r="EV24" s="1616"/>
      <c r="EW24" s="1616"/>
      <c r="EX24" s="1616"/>
      <c r="EY24" s="1616"/>
      <c r="EZ24" s="1616"/>
      <c r="FA24" s="1616"/>
      <c r="FB24" s="1616"/>
      <c r="FC24" s="1616"/>
      <c r="FD24" s="1616"/>
      <c r="FE24" s="1616"/>
      <c r="FF24" s="1616"/>
      <c r="FG24" s="1616"/>
      <c r="FH24" s="1616"/>
      <c r="FI24" s="1616"/>
      <c r="FJ24" s="1616"/>
      <c r="FK24" s="1616"/>
      <c r="FL24" s="1616"/>
      <c r="FM24" s="1616"/>
      <c r="FN24" s="1616"/>
      <c r="FO24" s="1616"/>
      <c r="FP24" s="1616"/>
      <c r="FQ24" s="1616"/>
      <c r="FR24" s="1616"/>
      <c r="FS24" s="1616"/>
      <c r="FT24" s="1616"/>
      <c r="FU24" s="1616"/>
      <c r="FV24" s="1616"/>
      <c r="FW24" s="1616"/>
      <c r="FX24" s="1616"/>
      <c r="FY24" s="1616"/>
      <c r="FZ24" s="1616"/>
      <c r="GA24" s="1616"/>
      <c r="GB24" s="1616"/>
      <c r="GC24" s="1616"/>
      <c r="GD24" s="1616"/>
      <c r="GE24" s="1616"/>
      <c r="GF24" s="1616"/>
      <c r="GG24" s="1616"/>
      <c r="GH24" s="1616"/>
      <c r="GI24" s="1616"/>
      <c r="GJ24" s="1616"/>
      <c r="GK24" s="1616"/>
      <c r="GL24" s="1616"/>
      <c r="GM24" s="1616"/>
      <c r="GN24" s="1616"/>
      <c r="GO24" s="1616"/>
      <c r="GP24" s="1616"/>
      <c r="GQ24" s="1616"/>
      <c r="GR24" s="1651" t="s">
        <v>101</v>
      </c>
      <c r="GS24" s="1616"/>
      <c r="GT24" s="1616"/>
      <c r="GU24" s="1616"/>
      <c r="GV24" s="1651" t="s">
        <v>101</v>
      </c>
      <c r="GW24" s="1669">
        <f>IF(职业列表!$W$27=0,0,_xlfn.IFS(IF(IFERROR(VLOOKUP(A24,职业列表!$J$3:$K$10,1,FALSE),"%^&amp;@%##@^")=A24,1,0)=1,"★",IF(IFERROR(VLOOKUP(A24,职业列表!$J$31:$J$39,1,FALSE),"%^&amp;@%##@^")=A24,1,0)=1,职业列表!$V$25,IF(IFERROR(VLOOKUP(A24,职业列表!$J$43:$J$51,1,FALSE),"%^&amp;@%##@^")=A24,1,0)=1,职业列表!$V$26,IF(IFERROR(VLOOKUP(A24,职业列表!$J$55:$J$63,1,FALSE),"%^&amp;@%##@^")=A24,1,0)=1,职业列表!$V$27,IF(IFERROR(VLOOKUP(A24,职业列表!$J$3:$K$10,1,FALSE),"%^&amp;@%##@^")=A24,1,0)+IF(IFERROR(VLOOKUP(A24,职业列表!$J$31:$J$39,1,FALSE),"%^&amp;@%##@^")=A24,1,0)+IF(IFERROR(VLOOKUP(A24,职业列表!$J$43:$J$51,1,FALSE),"%^&amp;@%##@^")=A24,1,0)+IF(IFERROR(VLOOKUP(A24,职业列表!$J$55:$J$63,1,FALSE),"%^&amp;@%##@^")=A24,1,0)=0,0))</f>
        <v>0</v>
      </c>
      <c r="GX24" s="1616"/>
      <c r="GY24" s="1616"/>
      <c r="GZ24" s="1616"/>
      <c r="HA24" s="1616"/>
      <c r="HB24" s="1616"/>
      <c r="HC24" s="1616"/>
      <c r="HD24" s="1616"/>
      <c r="HE24" s="1616"/>
      <c r="HF24" s="1616"/>
      <c r="HG24" s="1616"/>
      <c r="HH24" s="1616"/>
      <c r="HI24" s="1616"/>
      <c r="HJ24" s="1616"/>
      <c r="HK24" s="1616"/>
      <c r="HL24" s="1616"/>
      <c r="HM24" s="1616"/>
      <c r="HN24" s="1651"/>
      <c r="HO24" s="1616"/>
      <c r="HP24" s="1616"/>
      <c r="HQ24" s="1616"/>
      <c r="HR24" s="1616"/>
      <c r="HS24" s="1616"/>
      <c r="HT24" s="1616"/>
      <c r="HU24" s="1616"/>
      <c r="HV24" s="1616"/>
      <c r="HW24" s="1616"/>
      <c r="HX24" s="1616"/>
      <c r="HY24" s="1681"/>
      <c r="HZ24" s="1681"/>
      <c r="IA24" s="1681"/>
      <c r="IB24" s="1681"/>
      <c r="IC24" s="1681"/>
      <c r="ID24" s="1681"/>
      <c r="IE24" s="1681"/>
      <c r="IF24" s="1681"/>
      <c r="IG24" s="1681"/>
      <c r="IH24" s="1681"/>
      <c r="II24" s="1681"/>
      <c r="IJ24" s="1681"/>
      <c r="IK24" s="1681"/>
      <c r="IL24" s="1681"/>
      <c r="IM24" s="1681"/>
      <c r="IN24" s="1681"/>
      <c r="IO24" s="1681"/>
      <c r="IP24" s="1681"/>
      <c r="IQ24" s="1681"/>
      <c r="IR24" s="1681"/>
      <c r="IS24" s="1681"/>
      <c r="IT24" s="1681"/>
      <c r="IU24" s="1681"/>
      <c r="IV24" s="1681"/>
    </row>
    <row r="25" s="1597" customFormat="1" ht="20" customHeight="1" spans="1:256">
      <c r="A25" s="1628" t="s">
        <v>122</v>
      </c>
      <c r="B25" s="1623"/>
      <c r="C25" s="1623"/>
      <c r="D25" s="1623" t="s">
        <v>597</v>
      </c>
      <c r="E25" s="1623" t="s">
        <v>597</v>
      </c>
      <c r="F25" s="1623" t="s">
        <v>597</v>
      </c>
      <c r="G25" s="1623"/>
      <c r="H25" s="1623"/>
      <c r="I25" s="1623" t="s">
        <v>597</v>
      </c>
      <c r="J25" s="1623" t="s">
        <v>597</v>
      </c>
      <c r="K25" s="1623"/>
      <c r="L25" s="1623"/>
      <c r="M25" s="1623" t="s">
        <v>597</v>
      </c>
      <c r="N25" s="1623" t="s">
        <v>597</v>
      </c>
      <c r="O25" s="1623" t="s">
        <v>597</v>
      </c>
      <c r="P25" s="1623"/>
      <c r="Q25" s="1623" t="s">
        <v>597</v>
      </c>
      <c r="R25" s="1623"/>
      <c r="S25" s="1623" t="s">
        <v>597</v>
      </c>
      <c r="T25" s="1623" t="s">
        <v>597</v>
      </c>
      <c r="U25" s="1623"/>
      <c r="V25" s="1623"/>
      <c r="W25" s="1654" t="s">
        <v>597</v>
      </c>
      <c r="X25" s="1623"/>
      <c r="Y25" s="1654" t="s">
        <v>597</v>
      </c>
      <c r="Z25" s="1623"/>
      <c r="AA25" s="1623"/>
      <c r="AB25" s="1623"/>
      <c r="AC25" s="1623"/>
      <c r="AD25" s="1654" t="s">
        <v>597</v>
      </c>
      <c r="AE25" s="1623"/>
      <c r="AF25" s="1654" t="s">
        <v>597</v>
      </c>
      <c r="AG25" s="1654" t="s">
        <v>597</v>
      </c>
      <c r="AH25" s="1654" t="s">
        <v>597</v>
      </c>
      <c r="AI25" s="1654" t="s">
        <v>597</v>
      </c>
      <c r="AJ25" s="1623"/>
      <c r="AK25" s="1654" t="s">
        <v>597</v>
      </c>
      <c r="AL25" s="1654" t="s">
        <v>597</v>
      </c>
      <c r="AM25" s="1654" t="s">
        <v>597</v>
      </c>
      <c r="AN25" s="1654" t="s">
        <v>597</v>
      </c>
      <c r="AO25" s="1660"/>
      <c r="AP25" s="1654" t="s">
        <v>597</v>
      </c>
      <c r="AQ25" s="1623"/>
      <c r="AR25" s="1623"/>
      <c r="AS25" s="1654" t="s">
        <v>597</v>
      </c>
      <c r="AT25" s="1654" t="s">
        <v>597</v>
      </c>
      <c r="AU25" s="1654" t="s">
        <v>597</v>
      </c>
      <c r="AV25" s="1623" t="s">
        <v>101</v>
      </c>
      <c r="AW25" s="1654" t="s">
        <v>597</v>
      </c>
      <c r="AX25" s="1623" t="s">
        <v>101</v>
      </c>
      <c r="AY25" s="1623"/>
      <c r="AZ25" s="1654" t="s">
        <v>597</v>
      </c>
      <c r="BA25" s="1623"/>
      <c r="BB25" s="1654" t="s">
        <v>597</v>
      </c>
      <c r="BC25" s="1623"/>
      <c r="BD25" s="1623"/>
      <c r="BE25" s="1654" t="s">
        <v>597</v>
      </c>
      <c r="BF25" s="1623"/>
      <c r="BG25" s="1654" t="s">
        <v>597</v>
      </c>
      <c r="BH25" s="1654" t="s">
        <v>597</v>
      </c>
      <c r="BI25" s="1654" t="s">
        <v>597</v>
      </c>
      <c r="BJ25" s="1654" t="s">
        <v>597</v>
      </c>
      <c r="BK25" s="1623"/>
      <c r="BL25" s="1654" t="s">
        <v>597</v>
      </c>
      <c r="BM25" s="1654" t="s">
        <v>597</v>
      </c>
      <c r="BN25" s="1654" t="s">
        <v>597</v>
      </c>
      <c r="BO25" s="1623"/>
      <c r="BP25" s="1623"/>
      <c r="BQ25" s="1623"/>
      <c r="BR25" s="1623"/>
      <c r="BS25" s="1660"/>
      <c r="BT25" s="1654" t="s">
        <v>597</v>
      </c>
      <c r="BU25" s="1623"/>
      <c r="BV25" s="1623"/>
      <c r="BW25" s="1654" t="s">
        <v>597</v>
      </c>
      <c r="BX25" s="1654" t="s">
        <v>597</v>
      </c>
      <c r="BY25" s="1623"/>
      <c r="BZ25" s="1623"/>
      <c r="CA25" s="1654" t="s">
        <v>597</v>
      </c>
      <c r="CB25" s="1654" t="s">
        <v>597</v>
      </c>
      <c r="CC25" s="1654" t="s">
        <v>597</v>
      </c>
      <c r="CD25" s="1654"/>
      <c r="CE25" s="1623"/>
      <c r="CF25" s="1654" t="s">
        <v>597</v>
      </c>
      <c r="CG25" s="1654" t="s">
        <v>597</v>
      </c>
      <c r="CH25" s="1654" t="s">
        <v>597</v>
      </c>
      <c r="CI25" s="1623"/>
      <c r="CJ25" s="1623"/>
      <c r="CK25" s="1654" t="s">
        <v>597</v>
      </c>
      <c r="CL25" s="1623" t="s">
        <v>597</v>
      </c>
      <c r="CM25" s="1654" t="s">
        <v>597</v>
      </c>
      <c r="CN25" s="1623"/>
      <c r="CO25" s="1654"/>
      <c r="CP25" s="1654" t="s">
        <v>597</v>
      </c>
      <c r="CQ25" s="1623"/>
      <c r="CR25" s="1623"/>
      <c r="CS25" s="1654" t="s">
        <v>597</v>
      </c>
      <c r="CT25" s="1623"/>
      <c r="CU25" s="1654" t="s">
        <v>597</v>
      </c>
      <c r="CV25" s="1654" t="s">
        <v>597</v>
      </c>
      <c r="CW25" s="1654" t="s">
        <v>597</v>
      </c>
      <c r="CX25" s="1623" t="s">
        <v>597</v>
      </c>
      <c r="CY25" s="1654" t="s">
        <v>597</v>
      </c>
      <c r="CZ25" s="1623"/>
      <c r="DA25" s="1654" t="s">
        <v>597</v>
      </c>
      <c r="DB25" s="1623"/>
      <c r="DC25" s="1623"/>
      <c r="DD25" s="1623"/>
      <c r="DE25" s="1654" t="s">
        <v>597</v>
      </c>
      <c r="DF25" s="1654" t="s">
        <v>597</v>
      </c>
      <c r="DG25" s="1654" t="s">
        <v>597</v>
      </c>
      <c r="DH25" s="1654" t="s">
        <v>597</v>
      </c>
      <c r="DI25" s="1654" t="s">
        <v>597</v>
      </c>
      <c r="DJ25" s="1654" t="s">
        <v>597</v>
      </c>
      <c r="DK25" s="1623"/>
      <c r="DL25" s="1654" t="s">
        <v>101</v>
      </c>
      <c r="DM25" s="1654" t="s">
        <v>597</v>
      </c>
      <c r="DN25" s="1654" t="s">
        <v>597</v>
      </c>
      <c r="DO25" s="1654" t="s">
        <v>597</v>
      </c>
      <c r="DP25" s="1654" t="s">
        <v>597</v>
      </c>
      <c r="DQ25" s="1654" t="s">
        <v>597</v>
      </c>
      <c r="DR25" s="1654" t="s">
        <v>597</v>
      </c>
      <c r="DS25" s="1654" t="s">
        <v>597</v>
      </c>
      <c r="DT25" s="1654" t="s">
        <v>597</v>
      </c>
      <c r="DU25" s="1654" t="s">
        <v>597</v>
      </c>
      <c r="DV25" s="1654" t="s">
        <v>597</v>
      </c>
      <c r="DW25" s="1654" t="s">
        <v>597</v>
      </c>
      <c r="DX25" s="1654" t="s">
        <v>597</v>
      </c>
      <c r="DY25" s="1654" t="s">
        <v>597</v>
      </c>
      <c r="DZ25" s="1654" t="s">
        <v>597</v>
      </c>
      <c r="EA25" s="1654" t="s">
        <v>597</v>
      </c>
      <c r="EB25" s="1623"/>
      <c r="EC25" s="1654" t="s">
        <v>597</v>
      </c>
      <c r="ED25" s="1623"/>
      <c r="EE25" s="1623"/>
      <c r="EF25" s="1623"/>
      <c r="EG25" s="1654" t="s">
        <v>597</v>
      </c>
      <c r="EH25" s="1654" t="s">
        <v>597</v>
      </c>
      <c r="EI25" s="1654" t="s">
        <v>597</v>
      </c>
      <c r="EJ25" s="1623"/>
      <c r="EK25" s="1654" t="s">
        <v>597</v>
      </c>
      <c r="EL25" s="1623"/>
      <c r="EM25" s="1654" t="s">
        <v>597</v>
      </c>
      <c r="EN25" s="1623"/>
      <c r="EO25" s="1654" t="s">
        <v>101</v>
      </c>
      <c r="EP25" s="1654" t="s">
        <v>597</v>
      </c>
      <c r="EQ25" s="1654" t="s">
        <v>597</v>
      </c>
      <c r="ER25" s="1654" t="s">
        <v>597</v>
      </c>
      <c r="ES25" s="1654" t="s">
        <v>597</v>
      </c>
      <c r="ET25" s="1654" t="s">
        <v>597</v>
      </c>
      <c r="EU25" s="1623"/>
      <c r="EV25" s="1654" t="s">
        <v>597</v>
      </c>
      <c r="EW25" s="1654" t="s">
        <v>597</v>
      </c>
      <c r="EX25" s="1623"/>
      <c r="EY25" s="1654" t="s">
        <v>597</v>
      </c>
      <c r="EZ25" s="1654" t="s">
        <v>597</v>
      </c>
      <c r="FA25" s="1623"/>
      <c r="FB25" s="1654" t="s">
        <v>101</v>
      </c>
      <c r="FC25" s="1654" t="s">
        <v>597</v>
      </c>
      <c r="FD25" s="1654" t="s">
        <v>597</v>
      </c>
      <c r="FE25" s="1654" t="s">
        <v>597</v>
      </c>
      <c r="FF25" s="1623"/>
      <c r="FG25" s="1623"/>
      <c r="FH25" s="1654" t="s">
        <v>589</v>
      </c>
      <c r="FI25" s="1623"/>
      <c r="FJ25" s="1623"/>
      <c r="FK25" s="1654" t="s">
        <v>597</v>
      </c>
      <c r="FL25" s="1654" t="s">
        <v>101</v>
      </c>
      <c r="FM25" s="1623"/>
      <c r="FN25" s="1623"/>
      <c r="FO25" s="1654" t="s">
        <v>597</v>
      </c>
      <c r="FP25" s="1654" t="s">
        <v>597</v>
      </c>
      <c r="FQ25" s="1623"/>
      <c r="FR25" s="1623"/>
      <c r="FS25" s="1623"/>
      <c r="FT25" s="1654" t="s">
        <v>597</v>
      </c>
      <c r="FU25" s="1623"/>
      <c r="FV25" s="1623"/>
      <c r="FW25" s="1654" t="s">
        <v>597</v>
      </c>
      <c r="FX25" s="1623"/>
      <c r="FY25" s="1623"/>
      <c r="FZ25" s="1654" t="s">
        <v>597</v>
      </c>
      <c r="GA25" s="1623"/>
      <c r="GB25" s="1623"/>
      <c r="GC25" s="1623"/>
      <c r="GD25" s="1654" t="s">
        <v>597</v>
      </c>
      <c r="GE25" s="1654" t="s">
        <v>597</v>
      </c>
      <c r="GF25" s="1654" t="s">
        <v>597</v>
      </c>
      <c r="GG25" s="1654" t="s">
        <v>597</v>
      </c>
      <c r="GH25" s="1623"/>
      <c r="GI25" s="1654" t="s">
        <v>101</v>
      </c>
      <c r="GJ25" s="1654" t="s">
        <v>101</v>
      </c>
      <c r="GK25" s="1654" t="s">
        <v>101</v>
      </c>
      <c r="GL25" s="1654" t="s">
        <v>597</v>
      </c>
      <c r="GM25" s="1654" t="s">
        <v>597</v>
      </c>
      <c r="GN25" s="1654" t="s">
        <v>597</v>
      </c>
      <c r="GO25" s="1654" t="s">
        <v>597</v>
      </c>
      <c r="GP25" s="1623"/>
      <c r="GQ25" s="1623"/>
      <c r="GR25" s="1654" t="s">
        <v>597</v>
      </c>
      <c r="GS25" s="1654"/>
      <c r="GT25" s="1623"/>
      <c r="GU25" s="1654" t="s">
        <v>597</v>
      </c>
      <c r="GV25" s="1654" t="s">
        <v>597</v>
      </c>
      <c r="GW25" s="1669">
        <f>IF(职业列表!$W$27=0,0,_xlfn.IFS(IF(IFERROR(VLOOKUP(A25,职业列表!$J$3:$K$10,1,FALSE),"%^&amp;@%##@^")=A25,1,0)=1,"★",IF(IFERROR(VLOOKUP(A25,职业列表!$J$31:$J$39,1,FALSE),"%^&amp;@%##@^")=A25,1,0)=1,职业列表!$V$25,IF(IFERROR(VLOOKUP(A25,职业列表!$J$43:$J$51,1,FALSE),"%^&amp;@%##@^")=A25,1,0)=1,职业列表!$V$26,IF(IFERROR(VLOOKUP(A25,职业列表!$J$55:$J$63,1,FALSE),"%^&amp;@%##@^")=A25,1,0)=1,职业列表!$V$27,IF(IFERROR(VLOOKUP(A25,职业列表!$J$3:$K$10,1,FALSE),"%^&amp;@%##@^")=A25,1,0)+IF(IFERROR(VLOOKUP(A25,职业列表!$J$31:$J$39,1,FALSE),"%^&amp;@%##@^")=A25,1,0)+IF(IFERROR(VLOOKUP(A25,职业列表!$J$43:$J$51,1,FALSE),"%^&amp;@%##@^")=A25,1,0)+IF(IFERROR(VLOOKUP(A25,职业列表!$J$55:$J$63,1,FALSE),"%^&amp;@%##@^")=A25,1,0)=0,0))</f>
        <v>0</v>
      </c>
      <c r="GX25" s="1623"/>
      <c r="GY25" s="1623" t="s">
        <v>597</v>
      </c>
      <c r="GZ25" s="1623" t="s">
        <v>597</v>
      </c>
      <c r="HA25" s="1623" t="s">
        <v>597</v>
      </c>
      <c r="HB25" s="1623"/>
      <c r="HC25" s="1623" t="s">
        <v>597</v>
      </c>
      <c r="HD25" s="1623"/>
      <c r="HE25" s="1623" t="s">
        <v>597</v>
      </c>
      <c r="HF25" s="1623"/>
      <c r="HG25" s="1623" t="s">
        <v>597</v>
      </c>
      <c r="HH25" s="1624" t="s">
        <v>597</v>
      </c>
      <c r="HI25" s="1623"/>
      <c r="HJ25" s="1624" t="s">
        <v>597</v>
      </c>
      <c r="HK25" s="1623" t="s">
        <v>597</v>
      </c>
      <c r="HL25" s="1623"/>
      <c r="HM25" s="1624" t="s">
        <v>597</v>
      </c>
      <c r="HN25" s="1623" t="s">
        <v>597</v>
      </c>
      <c r="HO25" s="1623" t="s">
        <v>597</v>
      </c>
      <c r="HP25" s="1623" t="s">
        <v>597</v>
      </c>
      <c r="HQ25" s="1654"/>
      <c r="HR25" s="1624" t="s">
        <v>597</v>
      </c>
      <c r="HS25" s="1624" t="s">
        <v>597</v>
      </c>
      <c r="HT25" s="1624" t="s">
        <v>597</v>
      </c>
      <c r="HU25" s="1623"/>
      <c r="HV25" s="1623" t="s">
        <v>597</v>
      </c>
      <c r="HW25" s="1623"/>
      <c r="HX25" s="1654" t="s">
        <v>597</v>
      </c>
      <c r="HY25" s="1683"/>
      <c r="HZ25" s="1683"/>
      <c r="IA25" s="1684" t="s">
        <v>597</v>
      </c>
      <c r="IB25" s="1683" t="s">
        <v>597</v>
      </c>
      <c r="IC25" s="1683"/>
      <c r="ID25" s="1683"/>
      <c r="IE25" s="1683"/>
      <c r="IF25" s="1683"/>
      <c r="IG25" s="1683"/>
      <c r="IH25" s="1683"/>
      <c r="II25" s="1683"/>
      <c r="IJ25" s="1683"/>
      <c r="IK25" s="1683"/>
      <c r="IL25" s="1683"/>
      <c r="IM25" s="1683"/>
      <c r="IN25" s="1683"/>
      <c r="IO25" s="1683"/>
      <c r="IP25" s="1683"/>
      <c r="IQ25" s="1683"/>
      <c r="IR25" s="1683"/>
      <c r="IS25" s="1683"/>
      <c r="IT25" s="1683"/>
      <c r="IU25" s="1683"/>
      <c r="IV25" s="1683"/>
    </row>
    <row r="26" s="1599" customFormat="1" ht="20" customHeight="1" spans="1:256">
      <c r="A26" s="1629" t="s">
        <v>125</v>
      </c>
      <c r="B26" s="1630"/>
      <c r="C26" s="1630"/>
      <c r="D26" s="1630" t="s">
        <v>101</v>
      </c>
      <c r="E26" s="1630"/>
      <c r="F26" s="1630" t="s">
        <v>101</v>
      </c>
      <c r="G26" s="1630"/>
      <c r="H26" s="1630"/>
      <c r="I26" s="1630"/>
      <c r="J26" s="1630"/>
      <c r="K26" s="1630"/>
      <c r="L26" s="1630"/>
      <c r="M26" s="1630"/>
      <c r="N26" s="1630" t="s">
        <v>101</v>
      </c>
      <c r="O26" s="1630" t="s">
        <v>101</v>
      </c>
      <c r="P26" s="1630"/>
      <c r="Q26" s="1630" t="s">
        <v>101</v>
      </c>
      <c r="R26" s="1630"/>
      <c r="S26" s="1630"/>
      <c r="T26" s="1653" t="s">
        <v>601</v>
      </c>
      <c r="U26" s="1630" t="s">
        <v>101</v>
      </c>
      <c r="V26" s="1630"/>
      <c r="W26" s="1630"/>
      <c r="X26" s="1630"/>
      <c r="Y26" s="1630"/>
      <c r="Z26" s="1630" t="s">
        <v>601</v>
      </c>
      <c r="AA26" s="1630"/>
      <c r="AB26" s="1630" t="s">
        <v>101</v>
      </c>
      <c r="AC26" s="1630" t="s">
        <v>101</v>
      </c>
      <c r="AD26" s="1630" t="s">
        <v>101</v>
      </c>
      <c r="AE26" s="1630"/>
      <c r="AF26" s="1630"/>
      <c r="AG26" s="1630" t="s">
        <v>601</v>
      </c>
      <c r="AH26" s="1630" t="s">
        <v>589</v>
      </c>
      <c r="AI26" s="1630"/>
      <c r="AJ26" s="1630"/>
      <c r="AK26" s="1630"/>
      <c r="AL26" s="1630" t="s">
        <v>101</v>
      </c>
      <c r="AM26" s="1630"/>
      <c r="AN26" s="1659" t="s">
        <v>589</v>
      </c>
      <c r="AO26" s="1630"/>
      <c r="AP26" s="1630"/>
      <c r="AQ26" s="1630"/>
      <c r="AR26" s="1630"/>
      <c r="AS26" s="1630"/>
      <c r="AT26" s="1630"/>
      <c r="AU26" s="1630"/>
      <c r="AV26" s="1630"/>
      <c r="AW26" s="1630"/>
      <c r="AX26" s="1630"/>
      <c r="AY26" s="1630"/>
      <c r="AZ26" s="1630"/>
      <c r="BA26" s="1630"/>
      <c r="BB26" s="1630"/>
      <c r="BC26" s="1630" t="s">
        <v>101</v>
      </c>
      <c r="BD26" s="1630"/>
      <c r="BE26" s="1630"/>
      <c r="BF26" s="1630"/>
      <c r="BG26" s="1630"/>
      <c r="BH26" s="1630" t="s">
        <v>101</v>
      </c>
      <c r="BI26" s="1630" t="s">
        <v>101</v>
      </c>
      <c r="BJ26" s="1630"/>
      <c r="BK26" s="1630"/>
      <c r="BL26" s="1653" t="s">
        <v>101</v>
      </c>
      <c r="BM26" s="1630"/>
      <c r="BN26" s="1630"/>
      <c r="BO26" s="1630"/>
      <c r="BP26" s="1630"/>
      <c r="BQ26" s="1630" t="s">
        <v>101</v>
      </c>
      <c r="BR26" s="1630"/>
      <c r="BS26" s="1630"/>
      <c r="BT26" s="1630"/>
      <c r="BU26" s="1630"/>
      <c r="BV26" s="1630"/>
      <c r="BW26" s="1630"/>
      <c r="BX26" s="1630"/>
      <c r="BY26" s="1630"/>
      <c r="BZ26" s="1630"/>
      <c r="CA26" s="1630"/>
      <c r="CB26" s="1630"/>
      <c r="CC26" s="1630"/>
      <c r="CD26" s="1630"/>
      <c r="CE26" s="1630"/>
      <c r="CF26" s="1630"/>
      <c r="CG26" s="1630"/>
      <c r="CH26" s="1630"/>
      <c r="CI26" s="1630"/>
      <c r="CJ26" s="1630"/>
      <c r="CK26" s="1630"/>
      <c r="CL26" s="1653" t="s">
        <v>101</v>
      </c>
      <c r="CM26" s="1630"/>
      <c r="CN26" s="1630"/>
      <c r="CO26" s="1630"/>
      <c r="CP26" s="1630"/>
      <c r="CQ26" s="1630"/>
      <c r="CR26" s="1630"/>
      <c r="CS26" s="1630"/>
      <c r="CT26" s="1630" t="s">
        <v>101</v>
      </c>
      <c r="CU26" s="1630"/>
      <c r="CV26" s="1630"/>
      <c r="CW26" s="1630"/>
      <c r="CX26" s="1630"/>
      <c r="CY26" s="1630"/>
      <c r="CZ26" s="1630" t="s">
        <v>101</v>
      </c>
      <c r="DA26" s="1630"/>
      <c r="DB26" s="1630"/>
      <c r="DC26" s="1630" t="s">
        <v>101</v>
      </c>
      <c r="DD26" s="1630" t="s">
        <v>589</v>
      </c>
      <c r="DE26" s="1630"/>
      <c r="DF26" s="1630" t="s">
        <v>101</v>
      </c>
      <c r="DG26" s="1630"/>
      <c r="DH26" s="1630"/>
      <c r="DI26" s="1630"/>
      <c r="DJ26" s="1630"/>
      <c r="DK26" s="1630"/>
      <c r="DL26" s="1630"/>
      <c r="DM26" s="1659" t="s">
        <v>101</v>
      </c>
      <c r="DN26" s="1659" t="s">
        <v>101</v>
      </c>
      <c r="DO26" s="1659" t="s">
        <v>101</v>
      </c>
      <c r="DP26" s="1659" t="s">
        <v>101</v>
      </c>
      <c r="DQ26" s="1630"/>
      <c r="DR26" s="1630"/>
      <c r="DS26" s="1630"/>
      <c r="DT26" s="1630"/>
      <c r="DU26" s="1630"/>
      <c r="DV26" s="1630"/>
      <c r="DW26" s="1659" t="s">
        <v>101</v>
      </c>
      <c r="DX26" s="1630"/>
      <c r="DY26" s="1630"/>
      <c r="DZ26" s="1630"/>
      <c r="EA26" s="1630"/>
      <c r="EB26" s="1630"/>
      <c r="EC26" s="1630"/>
      <c r="ED26" s="1630"/>
      <c r="EE26" s="1630"/>
      <c r="EF26" s="1630"/>
      <c r="EG26" s="1630"/>
      <c r="EH26" s="1630"/>
      <c r="EI26" s="1630"/>
      <c r="EJ26" s="1630"/>
      <c r="EK26" s="1659" t="s">
        <v>101</v>
      </c>
      <c r="EL26" s="1630"/>
      <c r="EM26" s="1630"/>
      <c r="EN26" s="1630"/>
      <c r="EO26" s="1630"/>
      <c r="EP26" s="1630"/>
      <c r="EQ26" s="1630"/>
      <c r="ER26" s="1630"/>
      <c r="ES26" s="1630"/>
      <c r="ET26" s="1630"/>
      <c r="EU26" s="1630"/>
      <c r="EV26" s="1630"/>
      <c r="EW26" s="1630"/>
      <c r="EX26" s="1630"/>
      <c r="EY26" s="1630"/>
      <c r="EZ26" s="1630"/>
      <c r="FA26" s="1659" t="s">
        <v>101</v>
      </c>
      <c r="FB26" s="1659" t="s">
        <v>101</v>
      </c>
      <c r="FC26" s="1630"/>
      <c r="FD26" s="1630"/>
      <c r="FE26" s="1630"/>
      <c r="FF26" s="1659" t="s">
        <v>101</v>
      </c>
      <c r="FG26" s="1659" t="s">
        <v>101</v>
      </c>
      <c r="FH26" s="1630"/>
      <c r="FI26" s="1630"/>
      <c r="FJ26" s="1630"/>
      <c r="FK26" s="1630"/>
      <c r="FL26" s="1630"/>
      <c r="FM26" s="1659" t="s">
        <v>101</v>
      </c>
      <c r="FN26" s="1630"/>
      <c r="FO26" s="1630"/>
      <c r="FP26" s="1653" t="s">
        <v>3465</v>
      </c>
      <c r="FQ26" s="1630"/>
      <c r="FR26" s="1630"/>
      <c r="FS26" s="1630"/>
      <c r="FT26" s="1630"/>
      <c r="FU26" s="1630"/>
      <c r="FV26" s="1630"/>
      <c r="FW26" s="1630"/>
      <c r="FX26" s="1630"/>
      <c r="FY26" s="1659" t="s">
        <v>101</v>
      </c>
      <c r="FZ26" s="1630"/>
      <c r="GA26" s="1659" t="s">
        <v>101</v>
      </c>
      <c r="GB26" s="1659" t="s">
        <v>101</v>
      </c>
      <c r="GC26" s="1630"/>
      <c r="GD26" s="1630"/>
      <c r="GE26" s="1630"/>
      <c r="GF26" s="1630"/>
      <c r="GG26" s="1630"/>
      <c r="GH26" s="1630"/>
      <c r="GI26" s="1630"/>
      <c r="GJ26" s="1630"/>
      <c r="GK26" s="1630"/>
      <c r="GL26" s="1630"/>
      <c r="GM26" s="1630"/>
      <c r="GN26" s="1630"/>
      <c r="GO26" s="1630"/>
      <c r="GP26" s="1630"/>
      <c r="GQ26" s="1659" t="s">
        <v>101</v>
      </c>
      <c r="GR26" s="1630"/>
      <c r="GS26" s="1659" t="s">
        <v>101</v>
      </c>
      <c r="GT26" s="1630"/>
      <c r="GU26" s="1659" t="s">
        <v>101</v>
      </c>
      <c r="GV26" s="1630"/>
      <c r="GW26" s="1669">
        <f>IF(职业列表!$W$27=0,0,_xlfn.IFS(IF(IFERROR(VLOOKUP(A26,职业列表!$J$3:$K$10,1,FALSE),"%^&amp;@%##@^")=A26,1,0)=1,"★",IF(IFERROR(VLOOKUP(A26,职业列表!$J$31:$J$39,1,FALSE),"%^&amp;@%##@^")=A26,1,0)=1,职业列表!$V$25,IF(IFERROR(VLOOKUP(A26,职业列表!$J$43:$J$51,1,FALSE),"%^&amp;@%##@^")=A26,1,0)=1,职业列表!$V$26,IF(IFERROR(VLOOKUP(A26,职业列表!$J$55:$J$63,1,FALSE),"%^&amp;@%##@^")=A26,1,0)=1,职业列表!$V$27,IF(IFERROR(VLOOKUP(A26,职业列表!$J$3:$K$10,1,FALSE),"%^&amp;@%##@^")=A26,1,0)+IF(IFERROR(VLOOKUP(A26,职业列表!$J$31:$J$39,1,FALSE),"%^&amp;@%##@^")=A26,1,0)+IF(IFERROR(VLOOKUP(A26,职业列表!$J$43:$J$51,1,FALSE),"%^&amp;@%##@^")=A26,1,0)+IF(IFERROR(VLOOKUP(A26,职业列表!$J$55:$J$63,1,FALSE),"%^&amp;@%##@^")=A26,1,0)=0,0))</f>
        <v>0</v>
      </c>
      <c r="GX26" s="1630"/>
      <c r="GY26" s="1630"/>
      <c r="GZ26" s="1630"/>
      <c r="HA26" s="1630"/>
      <c r="HB26" s="1630"/>
      <c r="HC26" s="1630"/>
      <c r="HD26" s="1653" t="s">
        <v>3466</v>
      </c>
      <c r="HE26" s="1630"/>
      <c r="HF26" s="1630"/>
      <c r="HG26" s="1630"/>
      <c r="HH26" s="1630"/>
      <c r="HI26" s="1630"/>
      <c r="HJ26" s="1630"/>
      <c r="HK26" s="1630"/>
      <c r="HL26" s="1630" t="s">
        <v>101</v>
      </c>
      <c r="HM26" s="1630"/>
      <c r="HN26" s="1630"/>
      <c r="HO26" s="1678" t="s">
        <v>593</v>
      </c>
      <c r="HP26" s="1630"/>
      <c r="HQ26" s="1630"/>
      <c r="HR26" s="1653" t="s">
        <v>101</v>
      </c>
      <c r="HS26" s="1630"/>
      <c r="HT26" s="1630"/>
      <c r="HU26" s="1630"/>
      <c r="HV26" s="1630"/>
      <c r="HW26" s="1630"/>
      <c r="HX26" s="1630" t="s">
        <v>101</v>
      </c>
      <c r="HY26" s="1649" t="s">
        <v>101</v>
      </c>
      <c r="HZ26" s="1649" t="s">
        <v>101</v>
      </c>
      <c r="IA26" s="1687" t="s">
        <v>101</v>
      </c>
      <c r="IB26" s="1688"/>
      <c r="IC26" s="1688"/>
      <c r="ID26" s="1688"/>
      <c r="IE26" s="1688"/>
      <c r="IF26" s="1688"/>
      <c r="IG26" s="1688"/>
      <c r="IH26" s="1688"/>
      <c r="II26" s="1688"/>
      <c r="IJ26" s="1688"/>
      <c r="IK26" s="1688"/>
      <c r="IL26" s="1688"/>
      <c r="IM26" s="1688"/>
      <c r="IN26" s="1688"/>
      <c r="IO26" s="1688"/>
      <c r="IP26" s="1688"/>
      <c r="IQ26" s="1688"/>
      <c r="IR26" s="1688"/>
      <c r="IS26" s="1688"/>
      <c r="IT26" s="1688"/>
      <c r="IU26" s="1688"/>
      <c r="IV26" s="1688"/>
    </row>
    <row r="27" ht="20" customHeight="1" spans="1:256">
      <c r="A27" s="1620" t="s">
        <v>128</v>
      </c>
      <c r="B27" s="1616"/>
      <c r="C27" s="1616"/>
      <c r="D27" s="1616" t="s">
        <v>101</v>
      </c>
      <c r="E27" s="1616"/>
      <c r="F27" s="1616"/>
      <c r="G27" s="1616"/>
      <c r="H27" s="1616"/>
      <c r="I27" s="1616"/>
      <c r="J27" s="1616"/>
      <c r="K27" s="1616"/>
      <c r="L27" s="1616"/>
      <c r="M27" s="1616"/>
      <c r="N27" s="1616"/>
      <c r="O27" s="1616"/>
      <c r="P27" s="1616"/>
      <c r="Q27" s="1616"/>
      <c r="R27" s="1616"/>
      <c r="S27" s="1616"/>
      <c r="T27" s="1616" t="s">
        <v>601</v>
      </c>
      <c r="U27" s="1616"/>
      <c r="V27" s="1616"/>
      <c r="W27" s="1616"/>
      <c r="X27" s="1616"/>
      <c r="Y27" s="1616"/>
      <c r="Z27" s="1616" t="s">
        <v>601</v>
      </c>
      <c r="AA27" s="1616"/>
      <c r="AB27" s="1616" t="s">
        <v>101</v>
      </c>
      <c r="AC27" s="1616" t="s">
        <v>101</v>
      </c>
      <c r="AD27" s="1616" t="s">
        <v>101</v>
      </c>
      <c r="AE27" s="1616"/>
      <c r="AF27" s="1616"/>
      <c r="AG27" s="1616" t="s">
        <v>601</v>
      </c>
      <c r="AH27" s="1616"/>
      <c r="AI27" s="1616"/>
      <c r="AJ27" s="1616"/>
      <c r="AK27" s="1616"/>
      <c r="AL27" s="1616" t="s">
        <v>101</v>
      </c>
      <c r="AM27" s="1616"/>
      <c r="AN27" s="1616"/>
      <c r="AO27" s="1616"/>
      <c r="AP27" s="1616"/>
      <c r="AQ27" s="1616"/>
      <c r="AR27" s="1616"/>
      <c r="AS27" s="1616"/>
      <c r="AT27" s="1616"/>
      <c r="AU27" s="1616"/>
      <c r="AV27" s="1616"/>
      <c r="AW27" s="1616"/>
      <c r="AX27" s="1616"/>
      <c r="AY27" s="1616"/>
      <c r="AZ27" s="1616"/>
      <c r="BA27" s="1616"/>
      <c r="BB27" s="1616"/>
      <c r="BC27" s="1616"/>
      <c r="BD27" s="1616"/>
      <c r="BE27" s="1616"/>
      <c r="BF27" s="1616"/>
      <c r="BG27" s="1616"/>
      <c r="BH27" s="1616" t="s">
        <v>101</v>
      </c>
      <c r="BI27" s="1616" t="s">
        <v>101</v>
      </c>
      <c r="BJ27" s="1616"/>
      <c r="BK27" s="1616"/>
      <c r="BL27" s="1616"/>
      <c r="BM27" s="1616"/>
      <c r="BN27" s="1616"/>
      <c r="BO27" s="1616"/>
      <c r="BP27" s="1616"/>
      <c r="BQ27" s="1616" t="s">
        <v>101</v>
      </c>
      <c r="BR27" s="1649" t="s">
        <v>3467</v>
      </c>
      <c r="BS27" s="1616"/>
      <c r="BT27" s="1616"/>
      <c r="BU27" s="1616"/>
      <c r="BV27" s="1616"/>
      <c r="BW27" s="1616"/>
      <c r="BX27" s="1616"/>
      <c r="BY27" s="1616"/>
      <c r="BZ27" s="1616"/>
      <c r="CA27" s="1616"/>
      <c r="CB27" s="1616"/>
      <c r="CC27" s="1616"/>
      <c r="CD27" s="1616"/>
      <c r="CE27" s="1616"/>
      <c r="CF27" s="1616"/>
      <c r="CG27" s="1616"/>
      <c r="CH27" s="1616"/>
      <c r="CI27" s="1616"/>
      <c r="CJ27" s="1616"/>
      <c r="CK27" s="1616"/>
      <c r="CL27" s="1616"/>
      <c r="CM27" s="1616"/>
      <c r="CN27" s="1616"/>
      <c r="CO27" s="1616"/>
      <c r="CP27" s="1616"/>
      <c r="CQ27" s="1616"/>
      <c r="CR27" s="1616"/>
      <c r="CS27" s="1616"/>
      <c r="CT27" s="1616" t="s">
        <v>101</v>
      </c>
      <c r="CU27" s="1616"/>
      <c r="CV27" s="1616"/>
      <c r="CW27" s="1616"/>
      <c r="CX27" s="1616"/>
      <c r="CY27" s="1616"/>
      <c r="CZ27" s="1616" t="s">
        <v>101</v>
      </c>
      <c r="DA27" s="1616"/>
      <c r="DB27" s="1616"/>
      <c r="DC27" s="1616" t="s">
        <v>101</v>
      </c>
      <c r="DD27" s="1616" t="s">
        <v>589</v>
      </c>
      <c r="DE27" s="1616"/>
      <c r="DF27" s="1616"/>
      <c r="DG27" s="1616"/>
      <c r="DH27" s="1616"/>
      <c r="DI27" s="1616"/>
      <c r="DJ27" s="1616"/>
      <c r="DK27" s="1616"/>
      <c r="DL27" s="1616"/>
      <c r="DM27" s="1616"/>
      <c r="DN27" s="1616"/>
      <c r="DO27" s="1616"/>
      <c r="DP27" s="1616"/>
      <c r="DQ27" s="1616"/>
      <c r="DR27" s="1616"/>
      <c r="DS27" s="1616"/>
      <c r="DT27" s="1616"/>
      <c r="DU27" s="1616"/>
      <c r="DV27" s="1616"/>
      <c r="DW27" s="1616"/>
      <c r="DX27" s="1616"/>
      <c r="DY27" s="1616"/>
      <c r="DZ27" s="1616"/>
      <c r="EA27" s="1616"/>
      <c r="EB27" s="1616"/>
      <c r="EC27" s="1616"/>
      <c r="ED27" s="1616"/>
      <c r="EE27" s="1616"/>
      <c r="EF27" s="1616"/>
      <c r="EG27" s="1616"/>
      <c r="EH27" s="1616"/>
      <c r="EI27" s="1616"/>
      <c r="EJ27" s="1616"/>
      <c r="EK27" s="1616"/>
      <c r="EL27" s="1616"/>
      <c r="EM27" s="1616"/>
      <c r="EN27" s="1616"/>
      <c r="EO27" s="1616"/>
      <c r="EP27" s="1616"/>
      <c r="EQ27" s="1616"/>
      <c r="ER27" s="1616"/>
      <c r="ES27" s="1616"/>
      <c r="ET27" s="1616"/>
      <c r="EU27" s="1616"/>
      <c r="EV27" s="1616"/>
      <c r="EW27" s="1616"/>
      <c r="EX27" s="1616"/>
      <c r="EY27" s="1616"/>
      <c r="EZ27" s="1616"/>
      <c r="FA27" s="1651" t="s">
        <v>3468</v>
      </c>
      <c r="FB27" s="1616"/>
      <c r="FC27" s="1616"/>
      <c r="FD27" s="1616"/>
      <c r="FE27" s="1616"/>
      <c r="FF27" s="1616"/>
      <c r="FG27" s="1651"/>
      <c r="FH27" s="1616"/>
      <c r="FI27" s="1616"/>
      <c r="FJ27" s="1616"/>
      <c r="FK27" s="1616"/>
      <c r="FL27" s="1616"/>
      <c r="FM27" s="1616"/>
      <c r="FN27" s="1616"/>
      <c r="FO27" s="1616"/>
      <c r="FP27" s="1651"/>
      <c r="FQ27" s="1616"/>
      <c r="FR27" s="1616"/>
      <c r="FS27" s="1616"/>
      <c r="FT27" s="1616"/>
      <c r="FU27" s="1616"/>
      <c r="FV27" s="1616"/>
      <c r="FW27" s="1616"/>
      <c r="FX27" s="1616"/>
      <c r="FY27" s="1651" t="s">
        <v>101</v>
      </c>
      <c r="FZ27" s="1616"/>
      <c r="GA27" s="1651" t="s">
        <v>101</v>
      </c>
      <c r="GB27" s="1651" t="s">
        <v>101</v>
      </c>
      <c r="GC27" s="1616"/>
      <c r="GD27" s="1616"/>
      <c r="GE27" s="1616"/>
      <c r="GF27" s="1616"/>
      <c r="GG27" s="1616"/>
      <c r="GH27" s="1616"/>
      <c r="GI27" s="1616"/>
      <c r="GJ27" s="1616"/>
      <c r="GK27" s="1616"/>
      <c r="GL27" s="1616"/>
      <c r="GM27" s="1616"/>
      <c r="GN27" s="1616"/>
      <c r="GO27" s="1616"/>
      <c r="GP27" s="1616"/>
      <c r="GQ27" s="1616"/>
      <c r="GR27" s="1616"/>
      <c r="GS27" s="1651" t="s">
        <v>101</v>
      </c>
      <c r="GT27" s="1616"/>
      <c r="GU27" s="1616"/>
      <c r="GV27" s="1616"/>
      <c r="GW27" s="1669">
        <f>IF(职业列表!$W$27=0,0,_xlfn.IFS(IF(IFERROR(VLOOKUP(A27,职业列表!$J$3:$K$10,1,FALSE),"%^&amp;@%##@^")=A27,1,0)=1,"★",IF(IFERROR(VLOOKUP(A27,职业列表!$J$31:$J$39,1,FALSE),"%^&amp;@%##@^")=A27,1,0)=1,职业列表!$V$25,IF(IFERROR(VLOOKUP(A27,职业列表!$J$43:$J$51,1,FALSE),"%^&amp;@%##@^")=A27,1,0)=1,职业列表!$V$26,IF(IFERROR(VLOOKUP(A27,职业列表!$J$55:$J$63,1,FALSE),"%^&amp;@%##@^")=A27,1,0)=1,职业列表!$V$27,IF(IFERROR(VLOOKUP(A27,职业列表!$J$3:$K$10,1,FALSE),"%^&amp;@%##@^")=A27,1,0)+IF(IFERROR(VLOOKUP(A27,职业列表!$J$31:$J$39,1,FALSE),"%^&amp;@%##@^")=A27,1,0)+IF(IFERROR(VLOOKUP(A27,职业列表!$J$43:$J$51,1,FALSE),"%^&amp;@%##@^")=A27,1,0)+IF(IFERROR(VLOOKUP(A27,职业列表!$J$55:$J$63,1,FALSE),"%^&amp;@%##@^")=A27,1,0)=0,0))</f>
        <v>0</v>
      </c>
      <c r="GX27" s="1616"/>
      <c r="GY27" s="1616"/>
      <c r="GZ27" s="1616"/>
      <c r="HA27" s="1616"/>
      <c r="HB27" s="1616"/>
      <c r="HC27" s="1616"/>
      <c r="HD27" s="1616"/>
      <c r="HE27" s="1616"/>
      <c r="HF27" s="1616"/>
      <c r="HG27" s="1616"/>
      <c r="HH27" s="1616" t="s">
        <v>101</v>
      </c>
      <c r="HI27" s="1616"/>
      <c r="HJ27" s="1616"/>
      <c r="HK27" s="1649" t="s">
        <v>3469</v>
      </c>
      <c r="HL27" s="1616"/>
      <c r="HM27" s="1616"/>
      <c r="HN27" s="1616"/>
      <c r="HO27" s="1616"/>
      <c r="HP27" s="1616"/>
      <c r="HQ27" s="1616"/>
      <c r="HR27" s="1616"/>
      <c r="HS27" s="1616"/>
      <c r="HT27" s="1616"/>
      <c r="HU27" s="1616"/>
      <c r="HV27" s="1616"/>
      <c r="HW27" s="1616"/>
      <c r="HX27" s="1616"/>
      <c r="HY27" s="1681"/>
      <c r="HZ27" s="1681"/>
      <c r="IA27" s="1681"/>
      <c r="IB27" s="1686" t="s">
        <v>3470</v>
      </c>
      <c r="IC27" s="1681"/>
      <c r="ID27" s="1681"/>
      <c r="IE27" s="1681"/>
      <c r="IF27" s="1681"/>
      <c r="IG27" s="1681"/>
      <c r="IH27" s="1681"/>
      <c r="II27" s="1681"/>
      <c r="IJ27" s="1681"/>
      <c r="IK27" s="1681"/>
      <c r="IL27" s="1681"/>
      <c r="IM27" s="1681"/>
      <c r="IN27" s="1681"/>
      <c r="IO27" s="1681"/>
      <c r="IP27" s="1681"/>
      <c r="IQ27" s="1681"/>
      <c r="IR27" s="1681"/>
      <c r="IS27" s="1681"/>
      <c r="IT27" s="1681"/>
      <c r="IU27" s="1681"/>
      <c r="IV27" s="1681"/>
    </row>
    <row r="28" ht="20" customHeight="1" spans="1:256">
      <c r="A28" s="1620" t="s">
        <v>132</v>
      </c>
      <c r="B28" s="1616"/>
      <c r="C28" s="1616"/>
      <c r="D28" s="1616"/>
      <c r="E28" s="1616"/>
      <c r="F28" s="1616"/>
      <c r="G28" s="1616"/>
      <c r="H28" s="1616"/>
      <c r="I28" s="1616"/>
      <c r="J28" s="1616"/>
      <c r="K28" s="1616"/>
      <c r="L28" s="1616"/>
      <c r="M28" s="1616"/>
      <c r="N28" s="1616"/>
      <c r="O28" s="1616"/>
      <c r="P28" s="1616"/>
      <c r="Q28" s="1616"/>
      <c r="R28" s="1616"/>
      <c r="S28" s="1616"/>
      <c r="T28" s="1616"/>
      <c r="U28" s="1616"/>
      <c r="V28" s="1616"/>
      <c r="W28" s="1616"/>
      <c r="X28" s="1616"/>
      <c r="Y28" s="1616"/>
      <c r="Z28" s="1616"/>
      <c r="AA28" s="1616"/>
      <c r="AB28" s="1616"/>
      <c r="AC28" s="1616"/>
      <c r="AD28" s="1616"/>
      <c r="AE28" s="1616"/>
      <c r="AF28" s="1616"/>
      <c r="AG28" s="1616"/>
      <c r="AH28" s="1616"/>
      <c r="AI28" s="1616"/>
      <c r="AJ28" s="1616"/>
      <c r="AK28" s="1616"/>
      <c r="AL28" s="1616"/>
      <c r="AM28" s="1616"/>
      <c r="AN28" s="1616"/>
      <c r="AO28" s="1616"/>
      <c r="AP28" s="1616"/>
      <c r="AQ28" s="1616"/>
      <c r="AR28" s="1616"/>
      <c r="AS28" s="1616"/>
      <c r="AT28" s="1616"/>
      <c r="AU28" s="1616"/>
      <c r="AV28" s="1616"/>
      <c r="AW28" s="1616"/>
      <c r="AX28" s="1616"/>
      <c r="AY28" s="1616"/>
      <c r="AZ28" s="1616"/>
      <c r="BA28" s="1616"/>
      <c r="BB28" s="1616"/>
      <c r="BC28" s="1616"/>
      <c r="BD28" s="1616"/>
      <c r="BE28" s="1616"/>
      <c r="BF28" s="1616"/>
      <c r="BG28" s="1616"/>
      <c r="BH28" s="1616"/>
      <c r="BI28" s="1616"/>
      <c r="BJ28" s="1616"/>
      <c r="BK28" s="1616"/>
      <c r="BL28" s="1616"/>
      <c r="BM28" s="1616"/>
      <c r="BN28" s="1616"/>
      <c r="BO28" s="1616"/>
      <c r="BP28" s="1616"/>
      <c r="BQ28" s="1616"/>
      <c r="BS28" s="1616"/>
      <c r="BT28" s="1616"/>
      <c r="BU28" s="1616"/>
      <c r="BV28" s="1616"/>
      <c r="BW28" s="1616"/>
      <c r="BX28" s="1616"/>
      <c r="BY28" s="1616"/>
      <c r="BZ28" s="1616"/>
      <c r="CA28" s="1616"/>
      <c r="CB28" s="1616"/>
      <c r="CC28" s="1616"/>
      <c r="CD28" s="1616"/>
      <c r="CE28" s="1616"/>
      <c r="CF28" s="1616"/>
      <c r="CG28" s="1616"/>
      <c r="CH28" s="1616"/>
      <c r="CI28" s="1616"/>
      <c r="CJ28" s="1616"/>
      <c r="CK28" s="1616"/>
      <c r="CL28" s="1616"/>
      <c r="CM28" s="1616"/>
      <c r="CN28" s="1616"/>
      <c r="CO28" s="1616"/>
      <c r="CP28" s="1616"/>
      <c r="CQ28" s="1616"/>
      <c r="CR28" s="1616"/>
      <c r="CS28" s="1616"/>
      <c r="CT28" s="1616"/>
      <c r="CU28" s="1616"/>
      <c r="CV28" s="1616"/>
      <c r="CW28" s="1616"/>
      <c r="CX28" s="1616"/>
      <c r="CY28" s="1616"/>
      <c r="CZ28" s="1616"/>
      <c r="DA28" s="1616"/>
      <c r="DB28" s="1616"/>
      <c r="DC28" s="1616"/>
      <c r="DD28" s="1616"/>
      <c r="DE28" s="1616"/>
      <c r="DF28" s="1616"/>
      <c r="DG28" s="1616"/>
      <c r="DH28" s="1616"/>
      <c r="DI28" s="1616"/>
      <c r="DJ28" s="1616"/>
      <c r="DK28" s="1616"/>
      <c r="DL28" s="1616"/>
      <c r="DM28" s="1616"/>
      <c r="DN28" s="1616"/>
      <c r="DO28" s="1616"/>
      <c r="DP28" s="1616"/>
      <c r="DQ28" s="1616"/>
      <c r="DR28" s="1616"/>
      <c r="DS28" s="1616"/>
      <c r="DT28" s="1616"/>
      <c r="DU28" s="1616"/>
      <c r="DV28" s="1616"/>
      <c r="DW28" s="1616"/>
      <c r="DX28" s="1616"/>
      <c r="DY28" s="1616"/>
      <c r="DZ28" s="1616"/>
      <c r="EA28" s="1616"/>
      <c r="EB28" s="1616"/>
      <c r="EC28" s="1616"/>
      <c r="ED28" s="1616"/>
      <c r="EE28" s="1616"/>
      <c r="EF28" s="1616"/>
      <c r="EG28" s="1616"/>
      <c r="EH28" s="1616"/>
      <c r="EI28" s="1616"/>
      <c r="EJ28" s="1616"/>
      <c r="EK28" s="1616"/>
      <c r="EL28" s="1616"/>
      <c r="EM28" s="1616"/>
      <c r="EN28" s="1616"/>
      <c r="EO28" s="1616"/>
      <c r="EP28" s="1616"/>
      <c r="EQ28" s="1616"/>
      <c r="ER28" s="1616"/>
      <c r="ES28" s="1616"/>
      <c r="ET28" s="1616"/>
      <c r="EU28" s="1616"/>
      <c r="EV28" s="1616"/>
      <c r="EW28" s="1616"/>
      <c r="EX28" s="1616"/>
      <c r="EY28" s="1616"/>
      <c r="EZ28" s="1616"/>
      <c r="FA28" s="1616"/>
      <c r="FB28" s="1616"/>
      <c r="FC28" s="1616"/>
      <c r="FD28" s="1616"/>
      <c r="FE28" s="1616"/>
      <c r="FF28" s="1616"/>
      <c r="FG28" s="1616"/>
      <c r="FH28" s="1616"/>
      <c r="FI28" s="1616"/>
      <c r="FJ28" s="1616"/>
      <c r="FK28" s="1616"/>
      <c r="FL28" s="1616"/>
      <c r="FM28" s="1616"/>
      <c r="FN28" s="1616"/>
      <c r="FO28" s="1616"/>
      <c r="FP28" s="1616"/>
      <c r="FQ28" s="1616"/>
      <c r="FR28" s="1616"/>
      <c r="FS28" s="1616"/>
      <c r="FT28" s="1616"/>
      <c r="FU28" s="1616"/>
      <c r="FV28" s="1616"/>
      <c r="FW28" s="1616"/>
      <c r="FX28" s="1616"/>
      <c r="FY28" s="1651"/>
      <c r="FZ28" s="1616"/>
      <c r="GA28" s="1651"/>
      <c r="GB28" s="1651"/>
      <c r="GC28" s="1616"/>
      <c r="GD28" s="1616"/>
      <c r="GE28" s="1616"/>
      <c r="GF28" s="1616"/>
      <c r="GG28" s="1616"/>
      <c r="GH28" s="1616"/>
      <c r="GI28" s="1616"/>
      <c r="GJ28" s="1616"/>
      <c r="GK28" s="1616"/>
      <c r="GL28" s="1616"/>
      <c r="GM28" s="1616"/>
      <c r="GN28" s="1616"/>
      <c r="GO28" s="1616"/>
      <c r="GP28" s="1616"/>
      <c r="GQ28" s="1616"/>
      <c r="GR28" s="1616"/>
      <c r="GS28" s="1651"/>
      <c r="GT28" s="1616"/>
      <c r="GU28" s="1616"/>
      <c r="GV28" s="1616"/>
      <c r="GW28" s="1669">
        <f>IF(职业列表!$W$27=0,0,_xlfn.IFS(IF(IFERROR(VLOOKUP(A28,职业列表!$J$3:$K$10,1,FALSE),"%^&amp;@%##@^")=A28,1,0)=1,"★",IF(IFERROR(VLOOKUP(A28,职业列表!$J$31:$J$39,1,FALSE),"%^&amp;@%##@^")=A28,1,0)=1,职业列表!$V$25,IF(IFERROR(VLOOKUP(A28,职业列表!$J$43:$J$51,1,FALSE),"%^&amp;@%##@^")=A28,1,0)=1,职业列表!$V$26,IF(IFERROR(VLOOKUP(A28,职业列表!$J$55:$J$63,1,FALSE),"%^&amp;@%##@^")=A28,1,0)=1,职业列表!$V$27,IF(IFERROR(VLOOKUP(A28,职业列表!$J$3:$K$10,1,FALSE),"%^&amp;@%##@^")=A28,1,0)+IF(IFERROR(VLOOKUP(A28,职业列表!$J$31:$J$39,1,FALSE),"%^&amp;@%##@^")=A28,1,0)+IF(IFERROR(VLOOKUP(A28,职业列表!$J$43:$J$51,1,FALSE),"%^&amp;@%##@^")=A28,1,0)+IF(IFERROR(VLOOKUP(A28,职业列表!$J$55:$J$63,1,FALSE),"%^&amp;@%##@^")=A28,1,0)=0,0))</f>
        <v>0</v>
      </c>
      <c r="GX28" s="1616"/>
      <c r="GY28" s="1616"/>
      <c r="GZ28" s="1616"/>
      <c r="HA28" s="1616"/>
      <c r="HB28" s="1616"/>
      <c r="HC28" s="1616"/>
      <c r="HD28" s="1616"/>
      <c r="HE28" s="1616"/>
      <c r="HF28" s="1616"/>
      <c r="HG28" s="1616"/>
      <c r="HH28" s="1616"/>
      <c r="HI28" s="1616"/>
      <c r="HJ28" s="1616"/>
      <c r="HK28" s="1616"/>
      <c r="HL28" s="1616"/>
      <c r="HM28" s="1616"/>
      <c r="HN28" s="1616"/>
      <c r="HO28" s="1616"/>
      <c r="HP28" s="1616"/>
      <c r="HQ28" s="1616"/>
      <c r="HR28" s="1616"/>
      <c r="HS28" s="1616"/>
      <c r="HT28" s="1616"/>
      <c r="HU28" s="1616"/>
      <c r="HV28" s="1616"/>
      <c r="HW28" s="1616"/>
      <c r="HX28" s="1616"/>
      <c r="HY28" s="1681"/>
      <c r="HZ28" s="1681"/>
      <c r="IA28" s="1681"/>
      <c r="IB28" s="1681"/>
      <c r="IC28" s="1681"/>
      <c r="ID28" s="1681"/>
      <c r="IE28" s="1681"/>
      <c r="IF28" s="1681"/>
      <c r="IG28" s="1681"/>
      <c r="IH28" s="1681"/>
      <c r="II28" s="1681"/>
      <c r="IJ28" s="1681"/>
      <c r="IK28" s="1681"/>
      <c r="IL28" s="1681"/>
      <c r="IM28" s="1681"/>
      <c r="IN28" s="1681"/>
      <c r="IO28" s="1681"/>
      <c r="IP28" s="1681"/>
      <c r="IQ28" s="1681"/>
      <c r="IR28" s="1681"/>
      <c r="IS28" s="1681"/>
      <c r="IT28" s="1681"/>
      <c r="IU28" s="1681"/>
      <c r="IV28" s="1681"/>
    </row>
    <row r="29" s="1600" customFormat="1" ht="20" customHeight="1" spans="1:256">
      <c r="A29" s="1631" t="s">
        <v>139</v>
      </c>
      <c r="B29" s="1632"/>
      <c r="C29" s="1632"/>
      <c r="D29" s="1632"/>
      <c r="E29" s="1632"/>
      <c r="F29" s="1632" t="s">
        <v>101</v>
      </c>
      <c r="G29" s="1632"/>
      <c r="H29" s="1632"/>
      <c r="I29" s="1632"/>
      <c r="J29" s="1632"/>
      <c r="K29" s="1632"/>
      <c r="L29" s="1632"/>
      <c r="M29" s="1632"/>
      <c r="N29" s="1632"/>
      <c r="O29" s="1632"/>
      <c r="P29" s="1632"/>
      <c r="Q29" s="1632"/>
      <c r="R29" s="1632" t="s">
        <v>101</v>
      </c>
      <c r="S29" s="1632"/>
      <c r="T29" s="1632" t="s">
        <v>601</v>
      </c>
      <c r="U29" s="1632"/>
      <c r="V29" s="1632"/>
      <c r="W29" s="1632"/>
      <c r="X29" s="1632"/>
      <c r="Y29" s="1632"/>
      <c r="Z29" s="1632" t="s">
        <v>601</v>
      </c>
      <c r="AA29" s="1632"/>
      <c r="AB29" s="1632" t="s">
        <v>101</v>
      </c>
      <c r="AC29" s="1632" t="s">
        <v>101</v>
      </c>
      <c r="AD29" s="1632" t="s">
        <v>101</v>
      </c>
      <c r="AE29" s="1632"/>
      <c r="AF29" s="1632"/>
      <c r="AG29" s="1632" t="s">
        <v>601</v>
      </c>
      <c r="AH29" s="1632" t="s">
        <v>589</v>
      </c>
      <c r="AI29" s="1632"/>
      <c r="AJ29" s="1632"/>
      <c r="AK29" s="1632" t="s">
        <v>101</v>
      </c>
      <c r="AL29" s="1632" t="s">
        <v>101</v>
      </c>
      <c r="AM29" s="1632"/>
      <c r="AN29" s="1632" t="s">
        <v>589</v>
      </c>
      <c r="AO29" s="1661"/>
      <c r="AP29" s="1632" t="s">
        <v>101</v>
      </c>
      <c r="AQ29" s="1632"/>
      <c r="AR29" s="1632"/>
      <c r="AS29" s="1632"/>
      <c r="AT29" s="1632"/>
      <c r="AU29" s="1632"/>
      <c r="AV29" s="1632"/>
      <c r="AW29" s="1632"/>
      <c r="AX29" s="1632"/>
      <c r="AY29" s="1632"/>
      <c r="AZ29" s="1632"/>
      <c r="BA29" s="1632" t="s">
        <v>101</v>
      </c>
      <c r="BB29" s="1632"/>
      <c r="BC29" s="1632" t="s">
        <v>101</v>
      </c>
      <c r="BD29" s="1632"/>
      <c r="BE29" s="1632"/>
      <c r="BF29" s="1632"/>
      <c r="BG29" s="1632"/>
      <c r="BH29" s="1632" t="s">
        <v>101</v>
      </c>
      <c r="BI29" s="1632" t="s">
        <v>101</v>
      </c>
      <c r="BJ29" s="1666" t="s">
        <v>3471</v>
      </c>
      <c r="BK29" s="1632"/>
      <c r="BL29" s="1632"/>
      <c r="BM29" s="1632"/>
      <c r="BN29" s="1632"/>
      <c r="BO29" s="1632"/>
      <c r="BP29" s="1632"/>
      <c r="BQ29" s="1632"/>
      <c r="BR29" s="1632"/>
      <c r="BS29" s="1632"/>
      <c r="BT29" s="1632"/>
      <c r="BU29" s="1632"/>
      <c r="BV29" s="1632"/>
      <c r="BW29" s="1632" t="s">
        <v>101</v>
      </c>
      <c r="BX29" s="1632"/>
      <c r="BY29" s="1632"/>
      <c r="BZ29" s="1632"/>
      <c r="CA29" s="1632"/>
      <c r="CB29" s="1632"/>
      <c r="CC29" s="1632"/>
      <c r="CD29" s="1632" t="s">
        <v>101</v>
      </c>
      <c r="CE29" s="1632"/>
      <c r="CF29" s="1632"/>
      <c r="CG29" s="1632"/>
      <c r="CH29" s="1632"/>
      <c r="CI29" s="1632"/>
      <c r="CJ29" s="1632"/>
      <c r="CK29" s="1632" t="s">
        <v>101</v>
      </c>
      <c r="CL29" s="1666" t="s">
        <v>101</v>
      </c>
      <c r="CM29" s="1632"/>
      <c r="CN29" s="1632"/>
      <c r="CO29" s="1632"/>
      <c r="CP29" s="1632"/>
      <c r="CQ29" s="1632"/>
      <c r="CR29" s="1632"/>
      <c r="CS29" s="1632"/>
      <c r="CT29" s="1632" t="s">
        <v>101</v>
      </c>
      <c r="CU29" s="1632"/>
      <c r="CV29" s="1632"/>
      <c r="CW29" s="1632"/>
      <c r="CX29" s="1632"/>
      <c r="CY29" s="1632"/>
      <c r="CZ29" s="1632" t="s">
        <v>101</v>
      </c>
      <c r="DA29" s="1632" t="s">
        <v>101</v>
      </c>
      <c r="DB29" s="1632"/>
      <c r="DC29" s="1632"/>
      <c r="DD29" s="1632"/>
      <c r="DE29" s="1632"/>
      <c r="DF29" s="1632"/>
      <c r="DG29" s="1632"/>
      <c r="DH29" s="1632"/>
      <c r="DI29" s="1632"/>
      <c r="DJ29" s="1632"/>
      <c r="DK29" s="1632"/>
      <c r="DL29" s="1632"/>
      <c r="DM29" s="1632"/>
      <c r="DN29" s="1632"/>
      <c r="DO29" s="1632"/>
      <c r="DP29" s="1632"/>
      <c r="DQ29" s="1632"/>
      <c r="DR29" s="1632"/>
      <c r="DS29" s="1632"/>
      <c r="DT29" s="1632"/>
      <c r="DU29" s="1632"/>
      <c r="DV29" s="1632"/>
      <c r="DW29" s="1672" t="s">
        <v>101</v>
      </c>
      <c r="DX29" s="1632"/>
      <c r="DY29" s="1632"/>
      <c r="DZ29" s="1632"/>
      <c r="EA29" s="1632"/>
      <c r="EB29" s="1632"/>
      <c r="EC29" s="1632"/>
      <c r="ED29" s="1632"/>
      <c r="EE29" s="1632"/>
      <c r="EF29" s="1632"/>
      <c r="EG29" s="1632"/>
      <c r="EH29" s="1632"/>
      <c r="EI29" s="1632"/>
      <c r="EJ29" s="1632"/>
      <c r="EK29" s="1632"/>
      <c r="EL29" s="1632"/>
      <c r="EM29" s="1632"/>
      <c r="EN29" s="1632"/>
      <c r="EO29" s="1632"/>
      <c r="EP29" s="1632"/>
      <c r="EQ29" s="1632"/>
      <c r="ER29" s="1632"/>
      <c r="ES29" s="1632"/>
      <c r="ET29" s="1632"/>
      <c r="EU29" s="1632"/>
      <c r="EV29" s="1632"/>
      <c r="EW29" s="1632"/>
      <c r="EX29" s="1632"/>
      <c r="EY29" s="1632"/>
      <c r="EZ29" s="1632"/>
      <c r="FA29" s="1672" t="s">
        <v>101</v>
      </c>
      <c r="FB29" s="1632"/>
      <c r="FC29" s="1632"/>
      <c r="FD29" s="1632"/>
      <c r="FE29" s="1632"/>
      <c r="FF29" s="1632"/>
      <c r="FG29" s="1632"/>
      <c r="FH29" s="1632"/>
      <c r="FI29" s="1632"/>
      <c r="FJ29" s="1632"/>
      <c r="FK29" s="1632"/>
      <c r="FL29" s="1632"/>
      <c r="FM29" s="1632"/>
      <c r="FN29" s="1632"/>
      <c r="FO29" s="1632"/>
      <c r="FP29" s="1666" t="s">
        <v>3472</v>
      </c>
      <c r="FQ29" s="1632"/>
      <c r="FR29" s="1632"/>
      <c r="FS29" s="1632"/>
      <c r="FT29" s="1632"/>
      <c r="FU29" s="1632"/>
      <c r="FV29" s="1632"/>
      <c r="FW29" s="1632"/>
      <c r="FX29" s="1632"/>
      <c r="FY29" s="1672" t="s">
        <v>101</v>
      </c>
      <c r="FZ29" s="1632"/>
      <c r="GA29" s="1672" t="s">
        <v>101</v>
      </c>
      <c r="GB29" s="1672" t="s">
        <v>101</v>
      </c>
      <c r="GC29" s="1672" t="s">
        <v>101</v>
      </c>
      <c r="GD29" s="1632"/>
      <c r="GE29" s="1632"/>
      <c r="GF29" s="1632"/>
      <c r="GG29" s="1632"/>
      <c r="GH29" s="1632"/>
      <c r="GI29" s="1632"/>
      <c r="GJ29" s="1632"/>
      <c r="GK29" s="1632"/>
      <c r="GL29" s="1632"/>
      <c r="GM29" s="1632"/>
      <c r="GN29" s="1632"/>
      <c r="GO29" s="1632"/>
      <c r="GP29" s="1632"/>
      <c r="GQ29" s="1632"/>
      <c r="GR29" s="1632"/>
      <c r="GS29" s="1672" t="s">
        <v>101</v>
      </c>
      <c r="GT29" s="1632"/>
      <c r="GU29" s="1672" t="s">
        <v>101</v>
      </c>
      <c r="GV29" s="1632"/>
      <c r="GW29" s="1669">
        <f>IF(职业列表!$W$27=0,0,_xlfn.IFS(IF(IFERROR(VLOOKUP(A29,职业列表!$J$3:$K$10,1,FALSE),"%^&amp;@%##@^")=A29,1,0)=1,"★",IF(IFERROR(VLOOKUP(A29,职业列表!$J$31:$J$39,1,FALSE),"%^&amp;@%##@^")=A29,1,0)=1,职业列表!$V$25,IF(IFERROR(VLOOKUP(A29,职业列表!$J$43:$J$51,1,FALSE),"%^&amp;@%##@^")=A29,1,0)=1,职业列表!$V$26,IF(IFERROR(VLOOKUP(A29,职业列表!$J$55:$J$63,1,FALSE),"%^&amp;@%##@^")=A29,1,0)=1,职业列表!$V$27,IF(IFERROR(VLOOKUP(A29,职业列表!$J$3:$K$10,1,FALSE),"%^&amp;@%##@^")=A29,1,0)+IF(IFERROR(VLOOKUP(A29,职业列表!$J$31:$J$39,1,FALSE),"%^&amp;@%##@^")=A29,1,0)+IF(IFERROR(VLOOKUP(A29,职业列表!$J$43:$J$51,1,FALSE),"%^&amp;@%##@^")=A29,1,0)+IF(IFERROR(VLOOKUP(A29,职业列表!$J$55:$J$63,1,FALSE),"%^&amp;@%##@^")=A29,1,0)=0,0))</f>
        <v>0</v>
      </c>
      <c r="GX29" s="1632"/>
      <c r="GY29" s="1632"/>
      <c r="GZ29" s="1632"/>
      <c r="HA29" s="1632"/>
      <c r="HB29" s="1632"/>
      <c r="HC29" s="1632"/>
      <c r="HD29" s="1632"/>
      <c r="HE29" s="1632"/>
      <c r="HF29" s="1632"/>
      <c r="HG29" s="1632"/>
      <c r="HH29" s="1632"/>
      <c r="HI29" s="1632"/>
      <c r="HJ29" s="1632"/>
      <c r="HK29" s="1666" t="s">
        <v>101</v>
      </c>
      <c r="HL29" s="1666" t="s">
        <v>101</v>
      </c>
      <c r="HM29" s="1632"/>
      <c r="HN29" s="1632"/>
      <c r="HO29" s="1632"/>
      <c r="HP29" s="1632"/>
      <c r="HQ29" s="1632"/>
      <c r="HR29" s="1632" t="s">
        <v>101</v>
      </c>
      <c r="HS29" s="1632"/>
      <c r="HT29" s="1632"/>
      <c r="HU29" s="1632"/>
      <c r="HV29" s="1632"/>
      <c r="HW29" s="1632"/>
      <c r="HX29" s="1632"/>
      <c r="HY29" s="1689" t="s">
        <v>101</v>
      </c>
      <c r="HZ29" s="1689"/>
      <c r="IA29" s="1689" t="s">
        <v>589</v>
      </c>
      <c r="IB29" s="1690"/>
      <c r="IC29" s="1690"/>
      <c r="ID29" s="1690"/>
      <c r="IE29" s="1690"/>
      <c r="IF29" s="1690"/>
      <c r="IG29" s="1690"/>
      <c r="IH29" s="1690"/>
      <c r="II29" s="1690"/>
      <c r="IJ29" s="1690"/>
      <c r="IK29" s="1690"/>
      <c r="IL29" s="1690"/>
      <c r="IM29" s="1690"/>
      <c r="IN29" s="1690"/>
      <c r="IO29" s="1690"/>
      <c r="IP29" s="1690"/>
      <c r="IQ29" s="1690"/>
      <c r="IR29" s="1690"/>
      <c r="IS29" s="1690"/>
      <c r="IT29" s="1690"/>
      <c r="IU29" s="1690"/>
      <c r="IV29" s="1690"/>
    </row>
    <row r="30" ht="20" customHeight="1" spans="1:256">
      <c r="A30" s="1620" t="s">
        <v>1595</v>
      </c>
      <c r="B30" s="1616"/>
      <c r="C30" s="1616"/>
      <c r="D30" s="1616"/>
      <c r="E30" s="1616"/>
      <c r="F30" s="1616" t="s">
        <v>101</v>
      </c>
      <c r="G30" s="1616"/>
      <c r="H30" s="1616"/>
      <c r="I30" s="1616"/>
      <c r="J30" s="1616"/>
      <c r="K30" s="1616"/>
      <c r="L30" s="1616"/>
      <c r="M30" s="1616"/>
      <c r="N30" s="1616"/>
      <c r="O30" s="1616"/>
      <c r="P30" s="1616"/>
      <c r="Q30" s="1616"/>
      <c r="R30" s="1616" t="s">
        <v>101</v>
      </c>
      <c r="S30" s="1616"/>
      <c r="T30" s="1616" t="s">
        <v>601</v>
      </c>
      <c r="U30" s="1616"/>
      <c r="V30" s="1616"/>
      <c r="W30" s="1616"/>
      <c r="X30" s="1616"/>
      <c r="Y30" s="1616"/>
      <c r="Z30" s="1649" t="s">
        <v>601</v>
      </c>
      <c r="AA30" s="1616"/>
      <c r="AB30" s="1616" t="s">
        <v>101</v>
      </c>
      <c r="AC30" s="1616" t="s">
        <v>101</v>
      </c>
      <c r="AD30" s="1616" t="s">
        <v>101</v>
      </c>
      <c r="AE30" s="1616"/>
      <c r="AF30" s="1616"/>
      <c r="AG30" s="1616" t="s">
        <v>601</v>
      </c>
      <c r="AH30" s="1616"/>
      <c r="AI30" s="1616"/>
      <c r="AJ30" s="1616"/>
      <c r="AK30" s="1616" t="s">
        <v>101</v>
      </c>
      <c r="AL30" s="1616" t="s">
        <v>101</v>
      </c>
      <c r="AM30" s="1616"/>
      <c r="AN30" s="1616" t="s">
        <v>589</v>
      </c>
      <c r="AO30" s="1662"/>
      <c r="AP30" s="1616" t="s">
        <v>101</v>
      </c>
      <c r="AQ30" s="1616"/>
      <c r="AR30" s="1616"/>
      <c r="AS30" s="1616"/>
      <c r="AT30" s="1616"/>
      <c r="AU30" s="1616"/>
      <c r="AV30" s="1616"/>
      <c r="AW30" s="1616"/>
      <c r="AX30" s="1616"/>
      <c r="AY30" s="1616"/>
      <c r="AZ30" s="1616"/>
      <c r="BA30" s="1616" t="s">
        <v>101</v>
      </c>
      <c r="BB30" s="1616"/>
      <c r="BC30" s="1616" t="s">
        <v>101</v>
      </c>
      <c r="BD30" s="1616"/>
      <c r="BE30" s="1616"/>
      <c r="BF30" s="1616"/>
      <c r="BG30" s="1616"/>
      <c r="BH30" s="1616" t="s">
        <v>101</v>
      </c>
      <c r="BI30" s="1616" t="s">
        <v>101</v>
      </c>
      <c r="BJ30" s="1616"/>
      <c r="BK30" s="1616"/>
      <c r="BL30" s="1616"/>
      <c r="BM30" s="1616"/>
      <c r="BN30" s="1616"/>
      <c r="BO30" s="1616"/>
      <c r="BP30" s="1616"/>
      <c r="BQ30" s="1616"/>
      <c r="BR30" s="1616"/>
      <c r="BS30" s="1616"/>
      <c r="BT30" s="1616"/>
      <c r="BU30" s="1616"/>
      <c r="BV30" s="1616"/>
      <c r="BW30" s="1616" t="s">
        <v>101</v>
      </c>
      <c r="BX30" s="1616"/>
      <c r="BY30" s="1616"/>
      <c r="BZ30" s="1616"/>
      <c r="CA30" s="1616"/>
      <c r="CB30" s="1616"/>
      <c r="CC30" s="1616"/>
      <c r="CD30" s="1616" t="s">
        <v>101</v>
      </c>
      <c r="CE30" s="1616"/>
      <c r="CF30" s="1616"/>
      <c r="CG30" s="1616"/>
      <c r="CH30" s="1616"/>
      <c r="CI30" s="1616"/>
      <c r="CJ30" s="1616"/>
      <c r="CK30" s="1616" t="s">
        <v>101</v>
      </c>
      <c r="CL30" s="1616" t="s">
        <v>101</v>
      </c>
      <c r="CM30" s="1616"/>
      <c r="CN30" s="1616"/>
      <c r="CO30" s="1616"/>
      <c r="CP30" s="1616"/>
      <c r="CQ30" s="1616"/>
      <c r="CR30" s="1616"/>
      <c r="CS30" s="1616"/>
      <c r="CT30" s="1616" t="s">
        <v>101</v>
      </c>
      <c r="CU30" s="1616"/>
      <c r="CV30" s="1616"/>
      <c r="CW30" s="1616"/>
      <c r="CX30" s="1616"/>
      <c r="CY30" s="1616"/>
      <c r="CZ30" s="1616" t="s">
        <v>101</v>
      </c>
      <c r="DA30" s="1616" t="s">
        <v>101</v>
      </c>
      <c r="DB30" s="1616"/>
      <c r="DC30" s="1616"/>
      <c r="DD30" s="1616"/>
      <c r="DE30" s="1616"/>
      <c r="DF30" s="1616"/>
      <c r="DG30" s="1616"/>
      <c r="DH30" s="1616"/>
      <c r="DI30" s="1616"/>
      <c r="DJ30" s="1616"/>
      <c r="DK30" s="1616"/>
      <c r="DL30" s="1616"/>
      <c r="DM30" s="1616"/>
      <c r="DN30" s="1616"/>
      <c r="DO30" s="1616"/>
      <c r="DP30" s="1616"/>
      <c r="DQ30" s="1616"/>
      <c r="DR30" s="1616"/>
      <c r="DS30" s="1616"/>
      <c r="DT30" s="1616"/>
      <c r="DU30" s="1616"/>
      <c r="DV30" s="1616"/>
      <c r="DW30" s="1616"/>
      <c r="DX30" s="1616"/>
      <c r="DY30" s="1616"/>
      <c r="DZ30" s="1616"/>
      <c r="EA30" s="1616"/>
      <c r="EB30" s="1616"/>
      <c r="EC30" s="1616"/>
      <c r="ED30" s="1616"/>
      <c r="EE30" s="1616"/>
      <c r="EF30" s="1616"/>
      <c r="EG30" s="1616"/>
      <c r="EH30" s="1616"/>
      <c r="EI30" s="1616"/>
      <c r="EJ30" s="1616"/>
      <c r="EK30" s="1616"/>
      <c r="EL30" s="1616"/>
      <c r="EM30" s="1616"/>
      <c r="EN30" s="1616"/>
      <c r="EO30" s="1616"/>
      <c r="EP30" s="1616"/>
      <c r="EQ30" s="1616"/>
      <c r="ER30" s="1616"/>
      <c r="ES30" s="1616"/>
      <c r="ET30" s="1616"/>
      <c r="EU30" s="1616"/>
      <c r="EV30" s="1616"/>
      <c r="EW30" s="1616"/>
      <c r="EX30" s="1616"/>
      <c r="EY30" s="1616"/>
      <c r="EZ30" s="1616"/>
      <c r="FA30" s="1651" t="s">
        <v>101</v>
      </c>
      <c r="FB30" s="1616"/>
      <c r="FC30" s="1616"/>
      <c r="FD30" s="1616"/>
      <c r="FE30" s="1616"/>
      <c r="FF30" s="1616"/>
      <c r="FG30" s="1616"/>
      <c r="FH30" s="1616"/>
      <c r="FI30" s="1616"/>
      <c r="FJ30" s="1616"/>
      <c r="FK30" s="1616"/>
      <c r="FL30" s="1616"/>
      <c r="FM30" s="1616"/>
      <c r="FN30" s="1616"/>
      <c r="FO30" s="1616"/>
      <c r="FP30" s="1651"/>
      <c r="FQ30" s="1616"/>
      <c r="FR30" s="1616"/>
      <c r="FS30" s="1616"/>
      <c r="FT30" s="1616"/>
      <c r="FU30" s="1616"/>
      <c r="FV30" s="1616"/>
      <c r="FW30" s="1616"/>
      <c r="FX30" s="1616"/>
      <c r="FY30" s="1651" t="s">
        <v>101</v>
      </c>
      <c r="FZ30" s="1616"/>
      <c r="GA30" s="1651" t="s">
        <v>101</v>
      </c>
      <c r="GB30" s="1651" t="s">
        <v>101</v>
      </c>
      <c r="GC30" s="1651" t="s">
        <v>101</v>
      </c>
      <c r="GD30" s="1616"/>
      <c r="GE30" s="1616"/>
      <c r="GF30" s="1616"/>
      <c r="GG30" s="1616"/>
      <c r="GH30" s="1616"/>
      <c r="GI30" s="1616"/>
      <c r="GJ30" s="1616"/>
      <c r="GK30" s="1616"/>
      <c r="GL30" s="1616"/>
      <c r="GM30" s="1616"/>
      <c r="GN30" s="1616"/>
      <c r="GO30" s="1616"/>
      <c r="GP30" s="1616"/>
      <c r="GQ30" s="1616"/>
      <c r="GR30" s="1616"/>
      <c r="GS30" s="1651" t="s">
        <v>101</v>
      </c>
      <c r="GT30" s="1616"/>
      <c r="GU30" s="1651" t="s">
        <v>101</v>
      </c>
      <c r="GV30" s="1616"/>
      <c r="GW30" s="1669">
        <f>IF(职业列表!$W$27=0,0,_xlfn.IFS(IF(IFERROR(VLOOKUP(A30,职业列表!$J$3:$K$10,1,FALSE),"%^&amp;@%##@^")=A30,1,0)=1,"★",IF(IFERROR(VLOOKUP(A30,职业列表!$J$31:$J$39,1,FALSE),"%^&amp;@%##@^")=A30,1,0)=1,职业列表!$V$25,IF(IFERROR(VLOOKUP(A30,职业列表!$J$43:$J$51,1,FALSE),"%^&amp;@%##@^")=A30,1,0)=1,职业列表!$V$26,IF(IFERROR(VLOOKUP(A30,职业列表!$J$55:$J$63,1,FALSE),"%^&amp;@%##@^")=A30,1,0)=1,职业列表!$V$27,IF(IFERROR(VLOOKUP(A30,职业列表!$J$3:$K$10,1,FALSE),"%^&amp;@%##@^")=A30,1,0)+IF(IFERROR(VLOOKUP(A30,职业列表!$J$31:$J$39,1,FALSE),"%^&amp;@%##@^")=A30,1,0)+IF(IFERROR(VLOOKUP(A30,职业列表!$J$43:$J$51,1,FALSE),"%^&amp;@%##@^")=A30,1,0)+IF(IFERROR(VLOOKUP(A30,职业列表!$J$55:$J$63,1,FALSE),"%^&amp;@%##@^")=A30,1,0)=0,0))</f>
        <v>0</v>
      </c>
      <c r="GX30" s="1616"/>
      <c r="GY30" s="1616"/>
      <c r="GZ30" s="1649"/>
      <c r="HA30" s="1649" t="s">
        <v>3473</v>
      </c>
      <c r="HB30" s="1616"/>
      <c r="HC30" s="1616"/>
      <c r="HD30" s="1616"/>
      <c r="HE30" s="1616"/>
      <c r="HF30" s="1616"/>
      <c r="HG30" s="1616"/>
      <c r="HH30" s="1616"/>
      <c r="HI30" s="1616"/>
      <c r="HJ30" s="1616"/>
      <c r="HK30" s="1649" t="s">
        <v>3474</v>
      </c>
      <c r="HL30" s="1649" t="s">
        <v>3474</v>
      </c>
      <c r="HM30" s="1616"/>
      <c r="HN30" s="1616"/>
      <c r="HO30" s="1616"/>
      <c r="HP30" s="1616"/>
      <c r="HQ30" s="1616"/>
      <c r="HR30" s="1616"/>
      <c r="HS30" s="1616"/>
      <c r="HT30" s="1616"/>
      <c r="HU30" s="1616"/>
      <c r="HV30" s="1616"/>
      <c r="HW30" s="1649" t="s">
        <v>3474</v>
      </c>
      <c r="HX30" s="1616"/>
      <c r="HY30" s="1681"/>
      <c r="HZ30" s="1686" t="s">
        <v>3471</v>
      </c>
      <c r="IA30" s="1686" t="s">
        <v>3475</v>
      </c>
      <c r="IB30" s="1681" t="s">
        <v>3470</v>
      </c>
      <c r="IC30" s="1681"/>
      <c r="ID30" s="1681"/>
      <c r="IE30" s="1681"/>
      <c r="IF30" s="1681"/>
      <c r="IG30" s="1681"/>
      <c r="IH30" s="1681"/>
      <c r="II30" s="1681"/>
      <c r="IJ30" s="1681"/>
      <c r="IK30" s="1681"/>
      <c r="IL30" s="1681"/>
      <c r="IM30" s="1681"/>
      <c r="IN30" s="1681"/>
      <c r="IO30" s="1681"/>
      <c r="IP30" s="1681"/>
      <c r="IQ30" s="1681"/>
      <c r="IR30" s="1681"/>
      <c r="IS30" s="1681"/>
      <c r="IT30" s="1681"/>
      <c r="IU30" s="1681"/>
      <c r="IV30" s="1681"/>
    </row>
    <row r="31" ht="20" customHeight="1" spans="1:256">
      <c r="A31" s="1620" t="s">
        <v>145</v>
      </c>
      <c r="B31" s="1616"/>
      <c r="C31" s="1616"/>
      <c r="D31" s="1616"/>
      <c r="E31" s="1616"/>
      <c r="F31" s="1616"/>
      <c r="G31" s="1616"/>
      <c r="H31" s="1616"/>
      <c r="I31" s="1616"/>
      <c r="J31" s="1616"/>
      <c r="K31" s="1616"/>
      <c r="L31" s="1616"/>
      <c r="M31" s="1616"/>
      <c r="N31" s="1616"/>
      <c r="O31" s="1616"/>
      <c r="P31" s="1616"/>
      <c r="Q31" s="1616"/>
      <c r="R31" s="1616"/>
      <c r="S31" s="1616"/>
      <c r="T31" s="1616"/>
      <c r="U31" s="1616"/>
      <c r="V31" s="1616"/>
      <c r="W31" s="1616"/>
      <c r="X31" s="1616"/>
      <c r="Y31" s="1616"/>
      <c r="Z31" s="1616"/>
      <c r="AA31" s="1616"/>
      <c r="AB31" s="1616"/>
      <c r="AC31" s="1616"/>
      <c r="AD31" s="1616"/>
      <c r="AE31" s="1616"/>
      <c r="AF31" s="1616"/>
      <c r="AG31" s="1616"/>
      <c r="AH31" s="1616"/>
      <c r="AI31" s="1616"/>
      <c r="AJ31" s="1616"/>
      <c r="AK31" s="1616"/>
      <c r="AL31" s="1616"/>
      <c r="AM31" s="1616"/>
      <c r="AN31" s="1616"/>
      <c r="AO31" s="1662"/>
      <c r="AP31" s="1616"/>
      <c r="AQ31" s="1616"/>
      <c r="AR31" s="1616"/>
      <c r="AS31" s="1616"/>
      <c r="AT31" s="1616"/>
      <c r="AU31" s="1616"/>
      <c r="AV31" s="1616"/>
      <c r="AW31" s="1616"/>
      <c r="AX31" s="1616"/>
      <c r="AY31" s="1616"/>
      <c r="AZ31" s="1616"/>
      <c r="BA31" s="1616"/>
      <c r="BB31" s="1616"/>
      <c r="BC31" s="1616"/>
      <c r="BD31" s="1616"/>
      <c r="BE31" s="1616"/>
      <c r="BF31" s="1616"/>
      <c r="BG31" s="1616"/>
      <c r="BH31" s="1616"/>
      <c r="BI31" s="1616"/>
      <c r="BJ31" s="1616"/>
      <c r="BK31" s="1616"/>
      <c r="BL31" s="1616"/>
      <c r="BM31" s="1616"/>
      <c r="BN31" s="1616"/>
      <c r="BO31" s="1616"/>
      <c r="BP31" s="1616"/>
      <c r="BQ31" s="1616"/>
      <c r="BR31" s="1616"/>
      <c r="BS31" s="1616"/>
      <c r="BT31" s="1616"/>
      <c r="BU31" s="1616"/>
      <c r="BV31" s="1616"/>
      <c r="BW31" s="1616"/>
      <c r="BX31" s="1616"/>
      <c r="BY31" s="1616"/>
      <c r="BZ31" s="1616"/>
      <c r="CA31" s="1616"/>
      <c r="CB31" s="1616"/>
      <c r="CC31" s="1616"/>
      <c r="CD31" s="1616"/>
      <c r="CE31" s="1616"/>
      <c r="CF31" s="1616"/>
      <c r="CG31" s="1616"/>
      <c r="CH31" s="1616"/>
      <c r="CI31" s="1616"/>
      <c r="CJ31" s="1616"/>
      <c r="CK31" s="1616"/>
      <c r="CL31" s="1616"/>
      <c r="CM31" s="1616"/>
      <c r="CN31" s="1616"/>
      <c r="CO31" s="1616"/>
      <c r="CP31" s="1616"/>
      <c r="CQ31" s="1616"/>
      <c r="CR31" s="1616"/>
      <c r="CS31" s="1616"/>
      <c r="CT31" s="1616"/>
      <c r="CU31" s="1616"/>
      <c r="CV31" s="1616"/>
      <c r="CW31" s="1616"/>
      <c r="CX31" s="1616"/>
      <c r="CY31" s="1616"/>
      <c r="CZ31" s="1616"/>
      <c r="DA31" s="1616"/>
      <c r="DB31" s="1616"/>
      <c r="DC31" s="1616"/>
      <c r="DD31" s="1616"/>
      <c r="DE31" s="1616"/>
      <c r="DF31" s="1616"/>
      <c r="DG31" s="1616"/>
      <c r="DH31" s="1616"/>
      <c r="DI31" s="1616"/>
      <c r="DJ31" s="1616"/>
      <c r="DK31" s="1616"/>
      <c r="DL31" s="1616"/>
      <c r="DM31" s="1616"/>
      <c r="DN31" s="1616"/>
      <c r="DO31" s="1616"/>
      <c r="DP31" s="1616"/>
      <c r="DQ31" s="1616"/>
      <c r="DR31" s="1616"/>
      <c r="DS31" s="1616"/>
      <c r="DT31" s="1616"/>
      <c r="DU31" s="1616"/>
      <c r="DV31" s="1616"/>
      <c r="DW31" s="1616"/>
      <c r="DX31" s="1616"/>
      <c r="DY31" s="1616"/>
      <c r="DZ31" s="1616"/>
      <c r="EA31" s="1616"/>
      <c r="EB31" s="1616"/>
      <c r="EC31" s="1616"/>
      <c r="ED31" s="1616"/>
      <c r="EE31" s="1616"/>
      <c r="EF31" s="1616"/>
      <c r="EG31" s="1616"/>
      <c r="EH31" s="1616"/>
      <c r="EI31" s="1616"/>
      <c r="EJ31" s="1616"/>
      <c r="EK31" s="1616"/>
      <c r="EL31" s="1616"/>
      <c r="EM31" s="1616"/>
      <c r="EN31" s="1616"/>
      <c r="EO31" s="1616"/>
      <c r="EP31" s="1616"/>
      <c r="EQ31" s="1616"/>
      <c r="ER31" s="1616"/>
      <c r="ES31" s="1616"/>
      <c r="ET31" s="1616"/>
      <c r="EU31" s="1616"/>
      <c r="EV31" s="1616"/>
      <c r="EW31" s="1616"/>
      <c r="EX31" s="1616"/>
      <c r="EY31" s="1616"/>
      <c r="EZ31" s="1616"/>
      <c r="FA31" s="1616"/>
      <c r="FB31" s="1616"/>
      <c r="FC31" s="1616"/>
      <c r="FD31" s="1616"/>
      <c r="FE31" s="1616"/>
      <c r="FF31" s="1616"/>
      <c r="FG31" s="1616"/>
      <c r="FH31" s="1616"/>
      <c r="FI31" s="1616"/>
      <c r="FJ31" s="1616"/>
      <c r="FK31" s="1616"/>
      <c r="FL31" s="1616"/>
      <c r="FM31" s="1616"/>
      <c r="FN31" s="1616"/>
      <c r="FO31" s="1616"/>
      <c r="FP31" s="1616"/>
      <c r="FQ31" s="1616"/>
      <c r="FR31" s="1616"/>
      <c r="FS31" s="1616"/>
      <c r="FT31" s="1616"/>
      <c r="FU31" s="1616"/>
      <c r="FV31" s="1616"/>
      <c r="FW31" s="1616"/>
      <c r="FX31" s="1616"/>
      <c r="FY31" s="1651"/>
      <c r="FZ31" s="1616"/>
      <c r="GA31" s="1651"/>
      <c r="GB31" s="1651"/>
      <c r="GC31" s="1651"/>
      <c r="GD31" s="1616"/>
      <c r="GE31" s="1616"/>
      <c r="GF31" s="1616"/>
      <c r="GG31" s="1616"/>
      <c r="GH31" s="1616"/>
      <c r="GI31" s="1616"/>
      <c r="GJ31" s="1616"/>
      <c r="GK31" s="1616"/>
      <c r="GL31" s="1616"/>
      <c r="GM31" s="1616"/>
      <c r="GN31" s="1616"/>
      <c r="GO31" s="1616"/>
      <c r="GP31" s="1616"/>
      <c r="GQ31" s="1616"/>
      <c r="GR31" s="1616"/>
      <c r="GS31" s="1651"/>
      <c r="GT31" s="1616"/>
      <c r="GU31" s="1651"/>
      <c r="GV31" s="1616"/>
      <c r="GW31" s="1669">
        <f>IF(职业列表!$W$27=0,0,_xlfn.IFS(IF(IFERROR(VLOOKUP(A31,职业列表!$J$3:$K$10,1,FALSE),"%^&amp;@%##@^")=A31,1,0)=1,"★",IF(IFERROR(VLOOKUP(A31,职业列表!$J$31:$J$39,1,FALSE),"%^&amp;@%##@^")=A31,1,0)=1,职业列表!$V$25,IF(IFERROR(VLOOKUP(A31,职业列表!$J$43:$J$51,1,FALSE),"%^&amp;@%##@^")=A31,1,0)=1,职业列表!$V$26,IF(IFERROR(VLOOKUP(A31,职业列表!$J$55:$J$63,1,FALSE),"%^&amp;@%##@^")=A31,1,0)=1,职业列表!$V$27,IF(IFERROR(VLOOKUP(A31,职业列表!$J$3:$K$10,1,FALSE),"%^&amp;@%##@^")=A31,1,0)+IF(IFERROR(VLOOKUP(A31,职业列表!$J$31:$J$39,1,FALSE),"%^&amp;@%##@^")=A31,1,0)+IF(IFERROR(VLOOKUP(A31,职业列表!$J$43:$J$51,1,FALSE),"%^&amp;@%##@^")=A31,1,0)+IF(IFERROR(VLOOKUP(A31,职业列表!$J$55:$J$63,1,FALSE),"%^&amp;@%##@^")=A31,1,0)=0,0))</f>
        <v>0</v>
      </c>
      <c r="GX31" s="1616"/>
      <c r="GY31" s="1616"/>
      <c r="GZ31" s="1616"/>
      <c r="HA31" s="1616"/>
      <c r="HB31" s="1616"/>
      <c r="HC31" s="1616"/>
      <c r="HD31" s="1616"/>
      <c r="HE31" s="1616"/>
      <c r="HF31" s="1616"/>
      <c r="HG31" s="1616"/>
      <c r="HH31" s="1616"/>
      <c r="HI31" s="1616"/>
      <c r="HJ31" s="1616"/>
      <c r="HK31" s="1616"/>
      <c r="HL31" s="1616"/>
      <c r="HM31" s="1616"/>
      <c r="HN31" s="1616"/>
      <c r="HO31" s="1616"/>
      <c r="HP31" s="1616"/>
      <c r="HQ31" s="1616"/>
      <c r="HR31" s="1616"/>
      <c r="HS31" s="1616"/>
      <c r="HT31" s="1616"/>
      <c r="HU31" s="1616"/>
      <c r="HV31" s="1616"/>
      <c r="HW31" s="1616"/>
      <c r="HX31" s="1616"/>
      <c r="HY31" s="1681"/>
      <c r="HZ31" s="1681"/>
      <c r="IA31" s="1681"/>
      <c r="IB31" s="1681"/>
      <c r="IC31" s="1681"/>
      <c r="ID31" s="1681"/>
      <c r="IE31" s="1681"/>
      <c r="IF31" s="1681"/>
      <c r="IG31" s="1681"/>
      <c r="IH31" s="1681"/>
      <c r="II31" s="1681"/>
      <c r="IJ31" s="1681"/>
      <c r="IK31" s="1681"/>
      <c r="IL31" s="1681"/>
      <c r="IM31" s="1681"/>
      <c r="IN31" s="1681"/>
      <c r="IO31" s="1681"/>
      <c r="IP31" s="1681"/>
      <c r="IQ31" s="1681"/>
      <c r="IR31" s="1681"/>
      <c r="IS31" s="1681"/>
      <c r="IT31" s="1681"/>
      <c r="IU31" s="1681"/>
      <c r="IV31" s="1681"/>
    </row>
    <row r="32" ht="20" customHeight="1" spans="1:256">
      <c r="A32" s="1615" t="s">
        <v>149</v>
      </c>
      <c r="B32" s="1616"/>
      <c r="C32" s="1616"/>
      <c r="D32" s="1616"/>
      <c r="E32" s="1616"/>
      <c r="F32" s="1616"/>
      <c r="G32" s="1616"/>
      <c r="H32" s="1616"/>
      <c r="I32" s="1616"/>
      <c r="J32" s="1616"/>
      <c r="K32" s="1616"/>
      <c r="L32" s="1616"/>
      <c r="M32" s="1616"/>
      <c r="N32" s="1616" t="s">
        <v>101</v>
      </c>
      <c r="O32" s="1616"/>
      <c r="P32" s="1616"/>
      <c r="Q32" s="1616"/>
      <c r="R32" s="1616"/>
      <c r="S32" s="1616"/>
      <c r="T32" s="1616"/>
      <c r="U32" s="1616"/>
      <c r="V32" s="1616" t="s">
        <v>101</v>
      </c>
      <c r="W32" s="1616"/>
      <c r="X32" s="1616"/>
      <c r="Y32" s="1616"/>
      <c r="Z32" s="1616" t="s">
        <v>589</v>
      </c>
      <c r="AA32" s="1616"/>
      <c r="AB32" s="1616"/>
      <c r="AC32" s="1616"/>
      <c r="AD32" s="1616"/>
      <c r="AE32" s="1616"/>
      <c r="AF32" s="1616"/>
      <c r="AG32" s="1616"/>
      <c r="AH32" s="1616"/>
      <c r="AI32" s="1616"/>
      <c r="AJ32" s="1616"/>
      <c r="AK32" s="1616"/>
      <c r="AL32" s="1616"/>
      <c r="AM32" s="1616"/>
      <c r="AN32" s="1616"/>
      <c r="AO32" s="1616"/>
      <c r="AP32" s="1616"/>
      <c r="AQ32" s="1616" t="s">
        <v>101</v>
      </c>
      <c r="AR32" s="1616" t="s">
        <v>101</v>
      </c>
      <c r="AS32" s="1616"/>
      <c r="AT32" s="1616"/>
      <c r="AU32" s="1616"/>
      <c r="AV32" s="1616"/>
      <c r="AW32" s="1616"/>
      <c r="AX32" s="1616"/>
      <c r="AY32" s="1616"/>
      <c r="AZ32" s="1616"/>
      <c r="BA32" s="1616"/>
      <c r="BB32" s="1616"/>
      <c r="BC32" s="1616"/>
      <c r="BD32" s="1616" t="s">
        <v>101</v>
      </c>
      <c r="BE32" s="1616"/>
      <c r="BF32" s="1616"/>
      <c r="BG32" s="1616"/>
      <c r="BH32" s="1616"/>
      <c r="BI32" s="1616"/>
      <c r="BJ32" s="1616"/>
      <c r="BK32" s="1616"/>
      <c r="BL32" s="1616" t="s">
        <v>101</v>
      </c>
      <c r="BM32" s="1616"/>
      <c r="BN32" s="1616"/>
      <c r="BO32" s="1616"/>
      <c r="BP32" s="1616"/>
      <c r="BQ32" s="1616" t="s">
        <v>101</v>
      </c>
      <c r="BR32" s="1616" t="s">
        <v>101</v>
      </c>
      <c r="BS32" s="1616"/>
      <c r="BT32" s="1616"/>
      <c r="BU32" s="1616"/>
      <c r="BV32" s="1616"/>
      <c r="BW32" s="1616" t="s">
        <v>101</v>
      </c>
      <c r="BX32" s="1616" t="s">
        <v>101</v>
      </c>
      <c r="BY32" s="1616" t="s">
        <v>101</v>
      </c>
      <c r="BZ32" s="1616"/>
      <c r="CA32" s="1616"/>
      <c r="CB32" s="1616" t="s">
        <v>101</v>
      </c>
      <c r="CC32" s="1616"/>
      <c r="CD32" s="1616" t="s">
        <v>101</v>
      </c>
      <c r="CE32" s="1616"/>
      <c r="CF32" s="1616" t="s">
        <v>101</v>
      </c>
      <c r="CG32" s="1616"/>
      <c r="CH32" s="1616"/>
      <c r="CI32" s="1616"/>
      <c r="CJ32" s="1616"/>
      <c r="CK32" s="1616"/>
      <c r="CL32" s="1616" t="s">
        <v>101</v>
      </c>
      <c r="CM32" s="1616"/>
      <c r="CN32" s="1616"/>
      <c r="CO32" s="1616" t="s">
        <v>101</v>
      </c>
      <c r="CP32" s="1616"/>
      <c r="CQ32" s="1616"/>
      <c r="CR32" s="1616"/>
      <c r="CS32" s="1616"/>
      <c r="CT32" s="1616" t="s">
        <v>101</v>
      </c>
      <c r="CU32" s="1616" t="s">
        <v>101</v>
      </c>
      <c r="CV32" s="1616"/>
      <c r="CW32" s="1616"/>
      <c r="CX32" s="1616"/>
      <c r="CY32" s="1616"/>
      <c r="CZ32" s="1649" t="s">
        <v>593</v>
      </c>
      <c r="DA32" s="1616"/>
      <c r="DB32" s="1616"/>
      <c r="DC32" s="1616" t="s">
        <v>101</v>
      </c>
      <c r="DD32" s="1616"/>
      <c r="DE32" s="1616"/>
      <c r="DF32" s="1616"/>
      <c r="DG32" s="1616"/>
      <c r="DH32" s="1616"/>
      <c r="DI32" s="1616"/>
      <c r="DJ32" s="1616"/>
      <c r="DK32" s="1616" t="s">
        <v>101</v>
      </c>
      <c r="DL32" s="1616"/>
      <c r="DM32" s="1616"/>
      <c r="DN32" s="1616"/>
      <c r="DO32" s="1616"/>
      <c r="DP32" s="1616"/>
      <c r="DQ32" s="1616"/>
      <c r="DR32" s="1616"/>
      <c r="DS32" s="1616"/>
      <c r="DT32" s="1616"/>
      <c r="DU32" s="1616"/>
      <c r="DV32" s="1616"/>
      <c r="DW32" s="1616"/>
      <c r="DX32" s="1616"/>
      <c r="DY32" s="1616"/>
      <c r="DZ32" s="1616"/>
      <c r="EA32" s="1616"/>
      <c r="EB32" s="1616"/>
      <c r="EC32" s="1616"/>
      <c r="ED32" s="1651" t="s">
        <v>101</v>
      </c>
      <c r="EE32" s="1651" t="s">
        <v>101</v>
      </c>
      <c r="EF32" s="1651" t="s">
        <v>101</v>
      </c>
      <c r="EG32" s="1616"/>
      <c r="EH32" s="1651" t="s">
        <v>101</v>
      </c>
      <c r="EI32" s="1616"/>
      <c r="EJ32" s="1616"/>
      <c r="EK32" s="1651" t="s">
        <v>101</v>
      </c>
      <c r="EL32" s="1616"/>
      <c r="EM32" s="1616"/>
      <c r="EN32" s="1616"/>
      <c r="EO32" s="1616"/>
      <c r="EP32" s="1616"/>
      <c r="EQ32" s="1616"/>
      <c r="ER32" s="1616"/>
      <c r="ES32" s="1616"/>
      <c r="ET32" s="1616"/>
      <c r="EU32" s="1616"/>
      <c r="EV32" s="1616"/>
      <c r="EW32" s="1616"/>
      <c r="EX32" s="1616"/>
      <c r="EY32" s="1651" t="s">
        <v>101</v>
      </c>
      <c r="EZ32" s="1616"/>
      <c r="FA32" s="1616"/>
      <c r="FB32" s="1616"/>
      <c r="FC32" s="1616"/>
      <c r="FD32" s="1616"/>
      <c r="FE32" s="1616"/>
      <c r="FF32" s="1616"/>
      <c r="FG32" s="1616"/>
      <c r="FH32" s="1616"/>
      <c r="FI32" s="1616"/>
      <c r="FJ32" s="1651" t="s">
        <v>589</v>
      </c>
      <c r="FK32" s="1616"/>
      <c r="FL32" s="1616"/>
      <c r="FM32" s="1616"/>
      <c r="FN32" s="1616"/>
      <c r="FO32" s="1616"/>
      <c r="FP32" s="1651" t="s">
        <v>101</v>
      </c>
      <c r="FQ32" s="1651" t="s">
        <v>101</v>
      </c>
      <c r="FR32" s="1616"/>
      <c r="FS32" s="1651" t="s">
        <v>101</v>
      </c>
      <c r="FT32" s="1651" t="s">
        <v>101</v>
      </c>
      <c r="FU32" s="1616"/>
      <c r="FV32" s="1651" t="s">
        <v>101</v>
      </c>
      <c r="FW32" s="1616"/>
      <c r="FX32" s="1616"/>
      <c r="FY32" s="1651" t="s">
        <v>101</v>
      </c>
      <c r="FZ32" s="1651" t="s">
        <v>101</v>
      </c>
      <c r="GA32" s="1651" t="s">
        <v>593</v>
      </c>
      <c r="GB32" s="1651" t="s">
        <v>593</v>
      </c>
      <c r="GC32" s="1616"/>
      <c r="GD32" s="1616"/>
      <c r="GE32" s="1616"/>
      <c r="GF32" s="1616"/>
      <c r="GG32" s="1616"/>
      <c r="GH32" s="1616"/>
      <c r="GI32" s="1616"/>
      <c r="GJ32" s="1616"/>
      <c r="GK32" s="1616"/>
      <c r="GL32" s="1616"/>
      <c r="GM32" s="1616"/>
      <c r="GN32" s="1616"/>
      <c r="GO32" s="1616"/>
      <c r="GP32" s="1616"/>
      <c r="GQ32" s="1616"/>
      <c r="GR32" s="1616"/>
      <c r="GS32" s="1651" t="s">
        <v>593</v>
      </c>
      <c r="GT32" s="1616"/>
      <c r="GU32" s="1651" t="s">
        <v>101</v>
      </c>
      <c r="GV32" s="1616"/>
      <c r="GW32" s="1669">
        <f>IF(职业列表!$W$27=0,0,_xlfn.IFS(IF(IFERROR(VLOOKUP(A32,职业列表!$J$3:$K$10,1,FALSE),"%^&amp;@%##@^")=A32,1,0)=1,"★",IF(IFERROR(VLOOKUP(A32,职业列表!$J$31:$J$39,1,FALSE),"%^&amp;@%##@^")=A32,1,0)=1,职业列表!$V$25,IF(IFERROR(VLOOKUP(A32,职业列表!$J$43:$J$51,1,FALSE),"%^&amp;@%##@^")=A32,1,0)=1,职业列表!$V$26,IF(IFERROR(VLOOKUP(A32,职业列表!$J$55:$J$63,1,FALSE),"%^&amp;@%##@^")=A32,1,0)=1,职业列表!$V$27,IF(IFERROR(VLOOKUP(A32,职业列表!$J$3:$K$10,1,FALSE),"%^&amp;@%##@^")=A32,1,0)+IF(IFERROR(VLOOKUP(A32,职业列表!$J$31:$J$39,1,FALSE),"%^&amp;@%##@^")=A32,1,0)+IF(IFERROR(VLOOKUP(A32,职业列表!$J$43:$J$51,1,FALSE),"%^&amp;@%##@^")=A32,1,0)+IF(IFERROR(VLOOKUP(A32,职业列表!$J$55:$J$63,1,FALSE),"%^&amp;@%##@^")=A32,1,0)=0,0))</f>
        <v>0</v>
      </c>
      <c r="GX32" s="1616"/>
      <c r="GY32" s="1616" t="s">
        <v>101</v>
      </c>
      <c r="GZ32" s="1616"/>
      <c r="HA32" s="1616"/>
      <c r="HB32" s="1616"/>
      <c r="HC32" s="1616"/>
      <c r="HD32" s="1616"/>
      <c r="HE32" s="1616"/>
      <c r="HF32" s="1616" t="s">
        <v>101</v>
      </c>
      <c r="HG32" s="1616"/>
      <c r="HH32" s="1616"/>
      <c r="HI32" s="1616"/>
      <c r="HJ32" s="1616"/>
      <c r="HK32" s="1649" t="s">
        <v>101</v>
      </c>
      <c r="HL32" s="1616" t="s">
        <v>101</v>
      </c>
      <c r="HM32" s="1616"/>
      <c r="HN32" s="1616"/>
      <c r="HO32" s="1649" t="s">
        <v>101</v>
      </c>
      <c r="HP32" s="1616"/>
      <c r="HQ32" s="1649" t="s">
        <v>101</v>
      </c>
      <c r="HR32" s="1616" t="s">
        <v>101</v>
      </c>
      <c r="HS32" s="1616"/>
      <c r="HT32" s="1616"/>
      <c r="HU32" s="1616" t="s">
        <v>593</v>
      </c>
      <c r="HV32" s="1616"/>
      <c r="HW32" s="1616" t="s">
        <v>101</v>
      </c>
      <c r="HX32" s="1616"/>
      <c r="HY32" s="1681" t="s">
        <v>101</v>
      </c>
      <c r="HZ32" s="1681" t="s">
        <v>101</v>
      </c>
      <c r="IA32" s="1686" t="s">
        <v>101</v>
      </c>
      <c r="IB32" s="1681"/>
      <c r="IC32" s="1681" t="s">
        <v>101</v>
      </c>
      <c r="ID32" s="1681"/>
      <c r="IE32" s="1681"/>
      <c r="IF32" s="1681"/>
      <c r="IG32" s="1681"/>
      <c r="IH32" s="1681"/>
      <c r="II32" s="1681"/>
      <c r="IJ32" s="1681"/>
      <c r="IK32" s="1681"/>
      <c r="IL32" s="1681"/>
      <c r="IM32" s="1681"/>
      <c r="IN32" s="1681"/>
      <c r="IO32" s="1681"/>
      <c r="IP32" s="1681"/>
      <c r="IQ32" s="1681"/>
      <c r="IR32" s="1681"/>
      <c r="IS32" s="1681"/>
      <c r="IT32" s="1681"/>
      <c r="IU32" s="1681"/>
      <c r="IV32" s="1681"/>
    </row>
    <row r="33" ht="20" customHeight="1" spans="1:256">
      <c r="A33" s="1615" t="s">
        <v>151</v>
      </c>
      <c r="B33" s="1616"/>
      <c r="C33" s="1616"/>
      <c r="D33" s="1616" t="s">
        <v>101</v>
      </c>
      <c r="E33" s="1616"/>
      <c r="F33" s="1616"/>
      <c r="G33" s="1616"/>
      <c r="H33" s="1616"/>
      <c r="I33" s="1616" t="s">
        <v>101</v>
      </c>
      <c r="J33" s="1616" t="s">
        <v>101</v>
      </c>
      <c r="K33" s="1616" t="s">
        <v>101</v>
      </c>
      <c r="L33" s="1616"/>
      <c r="M33" s="1651" t="s">
        <v>589</v>
      </c>
      <c r="N33" s="1616"/>
      <c r="O33" s="1616"/>
      <c r="P33" s="1616" t="s">
        <v>101</v>
      </c>
      <c r="Q33" s="1616"/>
      <c r="R33" s="1616"/>
      <c r="S33" s="1616" t="s">
        <v>101</v>
      </c>
      <c r="T33" s="1616"/>
      <c r="U33" s="1616"/>
      <c r="V33" s="1616"/>
      <c r="W33" s="1616" t="s">
        <v>101</v>
      </c>
      <c r="X33" s="1616"/>
      <c r="Y33" s="1616"/>
      <c r="Z33" s="1616"/>
      <c r="AA33" s="1616"/>
      <c r="AB33" s="1616"/>
      <c r="AC33" s="1616"/>
      <c r="AD33" s="1616"/>
      <c r="AE33" s="1616"/>
      <c r="AF33" s="1616"/>
      <c r="AG33" s="1616"/>
      <c r="AH33" s="1616"/>
      <c r="AI33" s="1616" t="s">
        <v>101</v>
      </c>
      <c r="AJ33" s="1616" t="s">
        <v>101</v>
      </c>
      <c r="AK33" s="1616"/>
      <c r="AL33" s="1616"/>
      <c r="AM33" s="1616"/>
      <c r="AN33" s="1616" t="s">
        <v>101</v>
      </c>
      <c r="AO33" s="1616"/>
      <c r="AP33" s="1616"/>
      <c r="AQ33" s="1616"/>
      <c r="AR33" s="1616"/>
      <c r="AS33" s="1616"/>
      <c r="AT33" s="1616"/>
      <c r="AU33" s="1616"/>
      <c r="AV33" s="1616"/>
      <c r="AW33" s="1616" t="s">
        <v>101</v>
      </c>
      <c r="AX33" s="1616" t="s">
        <v>101</v>
      </c>
      <c r="AY33" s="1616"/>
      <c r="AZ33" s="1616"/>
      <c r="BA33" s="1616" t="s">
        <v>101</v>
      </c>
      <c r="BB33" s="1616"/>
      <c r="BC33" s="1616"/>
      <c r="BD33" s="1616"/>
      <c r="BE33" s="1616" t="s">
        <v>101</v>
      </c>
      <c r="BF33" s="1616"/>
      <c r="BG33" s="1616"/>
      <c r="BH33" s="1616"/>
      <c r="BI33" s="1616"/>
      <c r="BJ33" s="1616" t="s">
        <v>101</v>
      </c>
      <c r="BK33" s="1616"/>
      <c r="BL33" s="1616"/>
      <c r="BM33" s="1616" t="s">
        <v>101</v>
      </c>
      <c r="BN33" s="1616" t="s">
        <v>101</v>
      </c>
      <c r="BO33" s="1616" t="s">
        <v>101</v>
      </c>
      <c r="BP33" s="1616"/>
      <c r="BQ33" s="1616"/>
      <c r="BR33" s="1616"/>
      <c r="BS33" s="1616"/>
      <c r="BT33" s="1616"/>
      <c r="BU33" s="1616"/>
      <c r="BV33" s="1616"/>
      <c r="BW33" s="1616"/>
      <c r="BX33" s="1616"/>
      <c r="BY33" s="1616"/>
      <c r="BZ33" s="1616" t="s">
        <v>101</v>
      </c>
      <c r="CA33" s="1616"/>
      <c r="CB33" s="1616"/>
      <c r="CC33" s="1616" t="s">
        <v>101</v>
      </c>
      <c r="CD33" s="1616"/>
      <c r="CE33" s="1616" t="s">
        <v>101</v>
      </c>
      <c r="CF33" s="1616"/>
      <c r="CG33" s="1616"/>
      <c r="CH33" s="1616"/>
      <c r="CI33" s="1616"/>
      <c r="CJ33" s="1616"/>
      <c r="CK33" s="1616"/>
      <c r="CL33" s="1616"/>
      <c r="CM33" s="1616"/>
      <c r="CN33" s="1616"/>
      <c r="CO33" s="1616" t="s">
        <v>101</v>
      </c>
      <c r="CP33" s="1616"/>
      <c r="CQ33" s="1616"/>
      <c r="CR33" s="1616"/>
      <c r="CS33" s="1616" t="s">
        <v>101</v>
      </c>
      <c r="CT33" s="1616"/>
      <c r="CU33" s="1616"/>
      <c r="CV33" s="1616"/>
      <c r="CW33" s="1616"/>
      <c r="CX33" s="1616"/>
      <c r="CY33" s="1616"/>
      <c r="CZ33" s="1616"/>
      <c r="DA33" s="1616"/>
      <c r="DB33" s="1616"/>
      <c r="DC33" s="1616"/>
      <c r="DD33" s="1616"/>
      <c r="DE33" s="1616" t="s">
        <v>101</v>
      </c>
      <c r="DF33" s="1616"/>
      <c r="DG33" s="1616"/>
      <c r="DH33" s="1616"/>
      <c r="DI33" s="1616"/>
      <c r="DJ33" s="1616" t="s">
        <v>101</v>
      </c>
      <c r="DK33" s="1616"/>
      <c r="DL33" s="1651" t="s">
        <v>101</v>
      </c>
      <c r="DM33" s="1616"/>
      <c r="DN33" s="1616"/>
      <c r="DO33" s="1616"/>
      <c r="DP33" s="1616"/>
      <c r="DQ33" s="1616"/>
      <c r="DR33" s="1616"/>
      <c r="DS33" s="1616"/>
      <c r="DT33" s="1651" t="s">
        <v>101</v>
      </c>
      <c r="DU33" s="1651" t="s">
        <v>101</v>
      </c>
      <c r="DV33" s="1651" t="s">
        <v>101</v>
      </c>
      <c r="DW33" s="1616"/>
      <c r="DX33" s="1651" t="s">
        <v>101</v>
      </c>
      <c r="DY33" s="1616"/>
      <c r="DZ33" s="1616"/>
      <c r="EA33" s="1616"/>
      <c r="EB33" s="1616"/>
      <c r="EC33" s="1616"/>
      <c r="ED33" s="1616"/>
      <c r="EE33" s="1616"/>
      <c r="EF33" s="1616"/>
      <c r="EG33" s="1616"/>
      <c r="EH33" s="1616"/>
      <c r="EI33" s="1616"/>
      <c r="EJ33" s="1616"/>
      <c r="EK33" s="1616"/>
      <c r="EL33" s="1616"/>
      <c r="EM33" s="1616"/>
      <c r="EN33" s="1616"/>
      <c r="EO33" s="1616"/>
      <c r="EP33" s="1616"/>
      <c r="EQ33" s="1616"/>
      <c r="ER33" s="1616"/>
      <c r="ES33" s="1616"/>
      <c r="ET33" s="1616"/>
      <c r="EU33" s="1616"/>
      <c r="EV33" s="1616"/>
      <c r="EW33" s="1616"/>
      <c r="EX33" s="1616"/>
      <c r="EY33" s="1616"/>
      <c r="EZ33" s="1651" t="s">
        <v>101</v>
      </c>
      <c r="FA33" s="1616"/>
      <c r="FB33" s="1616"/>
      <c r="FC33" s="1651" t="s">
        <v>589</v>
      </c>
      <c r="FD33" s="1616"/>
      <c r="FE33" s="1616"/>
      <c r="FF33" s="1616"/>
      <c r="FG33" s="1651" t="s">
        <v>589</v>
      </c>
      <c r="FH33" s="1651" t="s">
        <v>101</v>
      </c>
      <c r="FI33" s="1651" t="s">
        <v>589</v>
      </c>
      <c r="FJ33" s="1616"/>
      <c r="FK33" s="1651" t="s">
        <v>101</v>
      </c>
      <c r="FL33" s="1616"/>
      <c r="FM33" s="1616"/>
      <c r="FN33" s="1616"/>
      <c r="FO33" s="1616"/>
      <c r="FP33" s="1616"/>
      <c r="FQ33" s="1616"/>
      <c r="FR33" s="1616"/>
      <c r="FS33" s="1616"/>
      <c r="FT33" s="1616"/>
      <c r="FU33" s="1616"/>
      <c r="FV33" s="1616"/>
      <c r="FW33" s="1616"/>
      <c r="FX33" s="1616"/>
      <c r="FY33" s="1616"/>
      <c r="FZ33" s="1616"/>
      <c r="GA33" s="1616"/>
      <c r="GB33" s="1616"/>
      <c r="GC33" s="1651" t="s">
        <v>101</v>
      </c>
      <c r="GD33" s="1651" t="s">
        <v>589</v>
      </c>
      <c r="GE33" s="1616"/>
      <c r="GF33" s="1616"/>
      <c r="GG33" s="1616"/>
      <c r="GH33" s="1616"/>
      <c r="GI33" s="1616"/>
      <c r="GJ33" s="1616"/>
      <c r="GK33" s="1616"/>
      <c r="GL33" s="1616"/>
      <c r="GM33" s="1616"/>
      <c r="GN33" s="1616"/>
      <c r="GO33" s="1651" t="s">
        <v>101</v>
      </c>
      <c r="GP33" s="1616"/>
      <c r="GQ33" s="1616"/>
      <c r="GR33" s="1616"/>
      <c r="GS33" s="1616"/>
      <c r="GT33" s="1616"/>
      <c r="GU33" s="1616"/>
      <c r="GV33" s="1616"/>
      <c r="GW33" s="1669">
        <f>IF(职业列表!$W$27=0,0,_xlfn.IFS(IF(IFERROR(VLOOKUP(A33,职业列表!$J$3:$K$10,1,FALSE),"%^&amp;@%##@^")=A33,1,0)=1,"★",IF(IFERROR(VLOOKUP(A33,职业列表!$J$31:$J$39,1,FALSE),"%^&amp;@%##@^")=A33,1,0)=1,职业列表!$V$25,IF(IFERROR(VLOOKUP(A33,职业列表!$J$43:$J$51,1,FALSE),"%^&amp;@%##@^")=A33,1,0)=1,职业列表!$V$26,IF(IFERROR(VLOOKUP(A33,职业列表!$J$55:$J$63,1,FALSE),"%^&amp;@%##@^")=A33,1,0)=1,职业列表!$V$27,IF(IFERROR(VLOOKUP(A33,职业列表!$J$3:$K$10,1,FALSE),"%^&amp;@%##@^")=A33,1,0)+IF(IFERROR(VLOOKUP(A33,职业列表!$J$31:$J$39,1,FALSE),"%^&amp;@%##@^")=A33,1,0)+IF(IFERROR(VLOOKUP(A33,职业列表!$J$43:$J$51,1,FALSE),"%^&amp;@%##@^")=A33,1,0)+IF(IFERROR(VLOOKUP(A33,职业列表!$J$55:$J$63,1,FALSE),"%^&amp;@%##@^")=A33,1,0)=0,0))</f>
        <v>0</v>
      </c>
      <c r="GX33" s="1616"/>
      <c r="GY33" s="1616"/>
      <c r="GZ33" s="1649" t="s">
        <v>101</v>
      </c>
      <c r="HA33" s="1616"/>
      <c r="HB33" s="1649" t="s">
        <v>101</v>
      </c>
      <c r="HC33" s="1649" t="s">
        <v>101</v>
      </c>
      <c r="HD33" s="1616"/>
      <c r="HE33" s="1649" t="s">
        <v>101</v>
      </c>
      <c r="HF33" s="1616" t="s">
        <v>101</v>
      </c>
      <c r="HG33" s="1651"/>
      <c r="HH33" s="1616"/>
      <c r="HI33" s="1616"/>
      <c r="HJ33" s="1616"/>
      <c r="HK33" s="1616"/>
      <c r="HL33" s="1616"/>
      <c r="HM33" s="1616"/>
      <c r="HN33" s="1616"/>
      <c r="HO33" s="1616"/>
      <c r="HP33" s="1649" t="s">
        <v>101</v>
      </c>
      <c r="HQ33" s="1616"/>
      <c r="HR33" s="1616"/>
      <c r="HS33" s="1616"/>
      <c r="HT33" s="1616" t="s">
        <v>101</v>
      </c>
      <c r="HU33" s="1616"/>
      <c r="HV33" s="1616"/>
      <c r="HW33" s="1616"/>
      <c r="HX33" s="1616" t="s">
        <v>101</v>
      </c>
      <c r="HY33" s="1681"/>
      <c r="HZ33" s="1681"/>
      <c r="IA33" s="1681"/>
      <c r="IB33" s="1681"/>
      <c r="IC33" s="1681"/>
      <c r="ID33" s="1681"/>
      <c r="IE33" s="1681"/>
      <c r="IF33" s="1681"/>
      <c r="IG33" s="1681"/>
      <c r="IH33" s="1681"/>
      <c r="II33" s="1681"/>
      <c r="IJ33" s="1681"/>
      <c r="IK33" s="1681"/>
      <c r="IL33" s="1681"/>
      <c r="IM33" s="1681"/>
      <c r="IN33" s="1681"/>
      <c r="IO33" s="1681"/>
      <c r="IP33" s="1681"/>
      <c r="IQ33" s="1681"/>
      <c r="IR33" s="1681"/>
      <c r="IS33" s="1681"/>
      <c r="IT33" s="1681"/>
      <c r="IU33" s="1681"/>
      <c r="IV33" s="1681"/>
    </row>
    <row r="34" s="1597" customFormat="1" ht="20" customHeight="1" spans="1:256">
      <c r="A34" s="1633" t="s">
        <v>154</v>
      </c>
      <c r="B34" s="1623"/>
      <c r="C34" s="1623"/>
      <c r="D34" s="1624" t="s">
        <v>597</v>
      </c>
      <c r="E34" s="1623" t="s">
        <v>597</v>
      </c>
      <c r="F34" s="1623" t="s">
        <v>597</v>
      </c>
      <c r="G34" s="1623"/>
      <c r="H34" s="1623"/>
      <c r="I34" s="1623" t="s">
        <v>597</v>
      </c>
      <c r="J34" s="1623" t="s">
        <v>597</v>
      </c>
      <c r="K34" s="1623"/>
      <c r="L34" s="1623"/>
      <c r="M34" s="1623" t="s">
        <v>597</v>
      </c>
      <c r="N34" s="1623" t="s">
        <v>597</v>
      </c>
      <c r="O34" s="1623" t="s">
        <v>597</v>
      </c>
      <c r="P34" s="1623"/>
      <c r="Q34" s="1623" t="s">
        <v>597</v>
      </c>
      <c r="R34" s="1623"/>
      <c r="S34" s="1654" t="s">
        <v>597</v>
      </c>
      <c r="T34" s="1654" t="s">
        <v>597</v>
      </c>
      <c r="U34" s="1623" t="s">
        <v>101</v>
      </c>
      <c r="V34" s="1623"/>
      <c r="W34" s="1654" t="s">
        <v>597</v>
      </c>
      <c r="X34" s="1623"/>
      <c r="Y34" s="1654" t="s">
        <v>597</v>
      </c>
      <c r="Z34" s="1623"/>
      <c r="AA34" s="1623"/>
      <c r="AB34" s="1623"/>
      <c r="AC34" s="1623" t="s">
        <v>101</v>
      </c>
      <c r="AD34" s="1654" t="s">
        <v>597</v>
      </c>
      <c r="AE34" s="1623"/>
      <c r="AF34" s="1654" t="s">
        <v>597</v>
      </c>
      <c r="AG34" s="1654" t="s">
        <v>597</v>
      </c>
      <c r="AH34" s="1654" t="s">
        <v>597</v>
      </c>
      <c r="AI34" s="1654" t="s">
        <v>597</v>
      </c>
      <c r="AJ34" s="1623"/>
      <c r="AK34" s="1654" t="s">
        <v>597</v>
      </c>
      <c r="AL34" s="1654" t="s">
        <v>597</v>
      </c>
      <c r="AM34" s="1654" t="s">
        <v>597</v>
      </c>
      <c r="AN34" s="1654" t="s">
        <v>597</v>
      </c>
      <c r="AO34" s="1660"/>
      <c r="AP34" s="1654" t="s">
        <v>597</v>
      </c>
      <c r="AQ34" s="1623"/>
      <c r="AR34" s="1623"/>
      <c r="AS34" s="1654" t="s">
        <v>597</v>
      </c>
      <c r="AT34" s="1654" t="s">
        <v>597</v>
      </c>
      <c r="AU34" s="1654" t="s">
        <v>597</v>
      </c>
      <c r="AV34" s="1623"/>
      <c r="AW34" s="1654" t="s">
        <v>597</v>
      </c>
      <c r="AX34" s="1623" t="s">
        <v>101</v>
      </c>
      <c r="AY34" s="1623"/>
      <c r="AZ34" s="1654" t="s">
        <v>597</v>
      </c>
      <c r="BA34" s="1623"/>
      <c r="BB34" s="1654" t="s">
        <v>597</v>
      </c>
      <c r="BC34" s="1623"/>
      <c r="BD34" s="1623"/>
      <c r="BE34" s="1654" t="s">
        <v>597</v>
      </c>
      <c r="BF34" s="1623"/>
      <c r="BG34" s="1654" t="s">
        <v>597</v>
      </c>
      <c r="BH34" s="1654" t="s">
        <v>597</v>
      </c>
      <c r="BI34" s="1654" t="s">
        <v>597</v>
      </c>
      <c r="BJ34" s="1654" t="s">
        <v>597</v>
      </c>
      <c r="BK34" s="1623"/>
      <c r="BL34" s="1654" t="s">
        <v>597</v>
      </c>
      <c r="BM34" s="1654" t="s">
        <v>597</v>
      </c>
      <c r="BN34" s="1654" t="s">
        <v>597</v>
      </c>
      <c r="BO34" s="1623" t="s">
        <v>101</v>
      </c>
      <c r="BP34" s="1623"/>
      <c r="BQ34" s="1623"/>
      <c r="BR34" s="1623"/>
      <c r="BS34" s="1660"/>
      <c r="BT34" s="1654" t="s">
        <v>597</v>
      </c>
      <c r="BU34" s="1623"/>
      <c r="BV34" s="1623"/>
      <c r="BW34" s="1654" t="s">
        <v>597</v>
      </c>
      <c r="BX34" s="1654" t="s">
        <v>597</v>
      </c>
      <c r="BY34" s="1623"/>
      <c r="BZ34" s="1623"/>
      <c r="CA34" s="1654" t="s">
        <v>597</v>
      </c>
      <c r="CB34" s="1654" t="s">
        <v>597</v>
      </c>
      <c r="CC34" s="1654" t="s">
        <v>597</v>
      </c>
      <c r="CD34" s="1623"/>
      <c r="CE34" s="1623"/>
      <c r="CF34" s="1654" t="s">
        <v>597</v>
      </c>
      <c r="CG34" s="1654" t="s">
        <v>597</v>
      </c>
      <c r="CH34" s="1654" t="s">
        <v>597</v>
      </c>
      <c r="CI34" s="1623"/>
      <c r="CJ34" s="1623"/>
      <c r="CK34" s="1654" t="s">
        <v>597</v>
      </c>
      <c r="CL34" s="1623" t="s">
        <v>597</v>
      </c>
      <c r="CM34" s="1654" t="s">
        <v>597</v>
      </c>
      <c r="CN34" s="1623"/>
      <c r="CO34" s="1654"/>
      <c r="CP34" s="1654" t="s">
        <v>597</v>
      </c>
      <c r="CQ34" s="1623"/>
      <c r="CR34" s="1623"/>
      <c r="CS34" s="1654" t="s">
        <v>597</v>
      </c>
      <c r="CT34" s="1623"/>
      <c r="CU34" s="1654" t="s">
        <v>597</v>
      </c>
      <c r="CV34" s="1654" t="s">
        <v>597</v>
      </c>
      <c r="CW34" s="1654" t="s">
        <v>597</v>
      </c>
      <c r="CX34" s="1623" t="s">
        <v>597</v>
      </c>
      <c r="CY34" s="1654" t="s">
        <v>597</v>
      </c>
      <c r="CZ34" s="1623"/>
      <c r="DA34" s="1654" t="s">
        <v>597</v>
      </c>
      <c r="DB34" s="1623"/>
      <c r="DC34" s="1623"/>
      <c r="DD34" s="1623"/>
      <c r="DE34" s="1654" t="s">
        <v>597</v>
      </c>
      <c r="DF34" s="1654" t="s">
        <v>597</v>
      </c>
      <c r="DG34" s="1654" t="s">
        <v>597</v>
      </c>
      <c r="DH34" s="1654" t="s">
        <v>597</v>
      </c>
      <c r="DI34" s="1654" t="s">
        <v>597</v>
      </c>
      <c r="DJ34" s="1654" t="s">
        <v>597</v>
      </c>
      <c r="DK34" s="1623"/>
      <c r="DL34" s="1654" t="s">
        <v>101</v>
      </c>
      <c r="DM34" s="1654" t="s">
        <v>597</v>
      </c>
      <c r="DN34" s="1654" t="s">
        <v>597</v>
      </c>
      <c r="DO34" s="1654" t="s">
        <v>597</v>
      </c>
      <c r="DP34" s="1654" t="s">
        <v>597</v>
      </c>
      <c r="DQ34" s="1654" t="s">
        <v>597</v>
      </c>
      <c r="DR34" s="1654" t="s">
        <v>597</v>
      </c>
      <c r="DS34" s="1654" t="s">
        <v>597</v>
      </c>
      <c r="DT34" s="1654" t="s">
        <v>597</v>
      </c>
      <c r="DU34" s="1654" t="s">
        <v>597</v>
      </c>
      <c r="DV34" s="1654" t="s">
        <v>597</v>
      </c>
      <c r="DW34" s="1654" t="s">
        <v>597</v>
      </c>
      <c r="DX34" s="1654" t="s">
        <v>597</v>
      </c>
      <c r="DY34" s="1654" t="s">
        <v>597</v>
      </c>
      <c r="DZ34" s="1654" t="s">
        <v>597</v>
      </c>
      <c r="EA34" s="1654" t="s">
        <v>597</v>
      </c>
      <c r="EB34" s="1623"/>
      <c r="EC34" s="1654" t="s">
        <v>597</v>
      </c>
      <c r="ED34" s="1623"/>
      <c r="EE34" s="1623"/>
      <c r="EF34" s="1623"/>
      <c r="EG34" s="1654" t="s">
        <v>597</v>
      </c>
      <c r="EH34" s="1654" t="s">
        <v>597</v>
      </c>
      <c r="EI34" s="1654" t="s">
        <v>597</v>
      </c>
      <c r="EJ34" s="1623"/>
      <c r="EK34" s="1654" t="s">
        <v>597</v>
      </c>
      <c r="EL34" s="1623"/>
      <c r="EM34" s="1654" t="s">
        <v>597</v>
      </c>
      <c r="EN34" s="1623"/>
      <c r="EO34" s="1623"/>
      <c r="EP34" s="1654" t="s">
        <v>597</v>
      </c>
      <c r="EQ34" s="1654" t="s">
        <v>597</v>
      </c>
      <c r="ER34" s="1654" t="s">
        <v>597</v>
      </c>
      <c r="ES34" s="1654" t="s">
        <v>597</v>
      </c>
      <c r="ET34" s="1654" t="s">
        <v>597</v>
      </c>
      <c r="EU34" s="1623"/>
      <c r="EV34" s="1654" t="s">
        <v>597</v>
      </c>
      <c r="EW34" s="1654" t="s">
        <v>597</v>
      </c>
      <c r="EX34" s="1623"/>
      <c r="EY34" s="1654" t="s">
        <v>597</v>
      </c>
      <c r="EZ34" s="1654" t="s">
        <v>597</v>
      </c>
      <c r="FA34" s="1623"/>
      <c r="FB34" s="1654" t="s">
        <v>101</v>
      </c>
      <c r="FC34" s="1654" t="s">
        <v>597</v>
      </c>
      <c r="FD34" s="1654" t="s">
        <v>597</v>
      </c>
      <c r="FE34" s="1654" t="s">
        <v>597</v>
      </c>
      <c r="FF34" s="1623"/>
      <c r="FG34" s="1623"/>
      <c r="FH34" s="1623"/>
      <c r="FI34" s="1623"/>
      <c r="FJ34" s="1623"/>
      <c r="FK34" s="1654" t="s">
        <v>597</v>
      </c>
      <c r="FL34" s="1623"/>
      <c r="FM34" s="1654" t="s">
        <v>101</v>
      </c>
      <c r="FN34" s="1623"/>
      <c r="FO34" s="1654" t="s">
        <v>597</v>
      </c>
      <c r="FP34" s="1654" t="s">
        <v>597</v>
      </c>
      <c r="FQ34" s="1623"/>
      <c r="FR34" s="1623"/>
      <c r="FS34" s="1623"/>
      <c r="FT34" s="1654" t="s">
        <v>597</v>
      </c>
      <c r="FU34" s="1623"/>
      <c r="FV34" s="1623"/>
      <c r="FW34" s="1654" t="s">
        <v>597</v>
      </c>
      <c r="FX34" s="1623"/>
      <c r="FY34" s="1623"/>
      <c r="FZ34" s="1654" t="s">
        <v>597</v>
      </c>
      <c r="GA34" s="1623"/>
      <c r="GB34" s="1623"/>
      <c r="GC34" s="1623"/>
      <c r="GD34" s="1654" t="s">
        <v>597</v>
      </c>
      <c r="GE34" s="1654" t="s">
        <v>597</v>
      </c>
      <c r="GF34" s="1654" t="s">
        <v>597</v>
      </c>
      <c r="GG34" s="1654" t="s">
        <v>597</v>
      </c>
      <c r="GH34" s="1623"/>
      <c r="GI34" s="1623"/>
      <c r="GJ34" s="1623"/>
      <c r="GK34" s="1623"/>
      <c r="GL34" s="1654" t="s">
        <v>597</v>
      </c>
      <c r="GM34" s="1654" t="s">
        <v>597</v>
      </c>
      <c r="GN34" s="1654" t="s">
        <v>597</v>
      </c>
      <c r="GO34" s="1654" t="s">
        <v>597</v>
      </c>
      <c r="GP34" s="1623"/>
      <c r="GQ34" s="1623"/>
      <c r="GR34" s="1654" t="s">
        <v>597</v>
      </c>
      <c r="GS34" s="1623"/>
      <c r="GT34" s="1623"/>
      <c r="GU34" s="1654" t="s">
        <v>597</v>
      </c>
      <c r="GV34" s="1654" t="s">
        <v>597</v>
      </c>
      <c r="GW34" s="1669">
        <f>IF(职业列表!$W$27=0,0,_xlfn.IFS(IF(IFERROR(VLOOKUP(A34,职业列表!$J$3:$K$10,1,FALSE),"%^&amp;@%##@^")=A34,1,0)=1,"★",IF(IFERROR(VLOOKUP(A34,职业列表!$J$31:$J$39,1,FALSE),"%^&amp;@%##@^")=A34,1,0)=1,职业列表!$V$25,IF(IFERROR(VLOOKUP(A34,职业列表!$J$43:$J$51,1,FALSE),"%^&amp;@%##@^")=A34,1,0)=1,职业列表!$V$26,IF(IFERROR(VLOOKUP(A34,职业列表!$J$55:$J$63,1,FALSE),"%^&amp;@%##@^")=A34,1,0)=1,职业列表!$V$27,IF(IFERROR(VLOOKUP(A34,职业列表!$J$3:$K$10,1,FALSE),"%^&amp;@%##@^")=A34,1,0)+IF(IFERROR(VLOOKUP(A34,职业列表!$J$31:$J$39,1,FALSE),"%^&amp;@%##@^")=A34,1,0)+IF(IFERROR(VLOOKUP(A34,职业列表!$J$43:$J$51,1,FALSE),"%^&amp;@%##@^")=A34,1,0)+IF(IFERROR(VLOOKUP(A34,职业列表!$J$55:$J$63,1,FALSE),"%^&amp;@%##@^")=A34,1,0)=0,0))</f>
        <v>0</v>
      </c>
      <c r="GX34" s="1623"/>
      <c r="GY34" s="1623" t="s">
        <v>597</v>
      </c>
      <c r="GZ34" s="1624" t="s">
        <v>597</v>
      </c>
      <c r="HA34" s="1624" t="s">
        <v>597</v>
      </c>
      <c r="HB34" s="1623"/>
      <c r="HC34" s="1624" t="s">
        <v>597</v>
      </c>
      <c r="HD34" s="1623"/>
      <c r="HE34" s="1624" t="s">
        <v>597</v>
      </c>
      <c r="HF34" s="1623"/>
      <c r="HG34" s="1623" t="s">
        <v>597</v>
      </c>
      <c r="HH34" s="1623" t="s">
        <v>597</v>
      </c>
      <c r="HI34" s="1623"/>
      <c r="HJ34" s="1623" t="s">
        <v>597</v>
      </c>
      <c r="HK34" s="1623" t="s">
        <v>597</v>
      </c>
      <c r="HL34" s="1623"/>
      <c r="HM34" s="1654" t="s">
        <v>597</v>
      </c>
      <c r="HN34" s="1654" t="s">
        <v>597</v>
      </c>
      <c r="HO34" s="1623" t="s">
        <v>597</v>
      </c>
      <c r="HP34" s="1623" t="s">
        <v>597</v>
      </c>
      <c r="HQ34" s="1654"/>
      <c r="HR34" s="1624" t="s">
        <v>597</v>
      </c>
      <c r="HS34" s="1623" t="s">
        <v>597</v>
      </c>
      <c r="HT34" s="1623" t="s">
        <v>597</v>
      </c>
      <c r="HU34" s="1623"/>
      <c r="HV34" s="1623" t="s">
        <v>597</v>
      </c>
      <c r="HW34" s="1623"/>
      <c r="HX34" s="1654" t="s">
        <v>597</v>
      </c>
      <c r="HY34" s="1684" t="s">
        <v>597</v>
      </c>
      <c r="HZ34" s="1683" t="s">
        <v>101</v>
      </c>
      <c r="IA34" s="1684" t="s">
        <v>597</v>
      </c>
      <c r="IB34" s="1683" t="s">
        <v>597</v>
      </c>
      <c r="IC34" s="1683"/>
      <c r="ID34" s="1683"/>
      <c r="IE34" s="1683"/>
      <c r="IF34" s="1683"/>
      <c r="IG34" s="1683"/>
      <c r="IH34" s="1683"/>
      <c r="II34" s="1683"/>
      <c r="IJ34" s="1683"/>
      <c r="IK34" s="1683"/>
      <c r="IL34" s="1683"/>
      <c r="IM34" s="1683"/>
      <c r="IN34" s="1683"/>
      <c r="IO34" s="1683"/>
      <c r="IP34" s="1683"/>
      <c r="IQ34" s="1683"/>
      <c r="IR34" s="1683"/>
      <c r="IS34" s="1683"/>
      <c r="IT34" s="1683"/>
      <c r="IU34" s="1683"/>
      <c r="IV34" s="1683"/>
    </row>
    <row r="35" ht="20" customHeight="1" spans="1:256">
      <c r="A35" s="1615" t="s">
        <v>156</v>
      </c>
      <c r="B35" s="1616"/>
      <c r="C35" s="1616" t="s">
        <v>101</v>
      </c>
      <c r="D35" s="1616"/>
      <c r="E35" s="1616"/>
      <c r="F35" s="1616"/>
      <c r="G35" s="1616"/>
      <c r="H35" s="1616" t="s">
        <v>101</v>
      </c>
      <c r="I35" s="1616"/>
      <c r="J35" s="1616"/>
      <c r="K35" s="1616"/>
      <c r="L35" s="1616"/>
      <c r="M35" s="1616"/>
      <c r="N35" s="1616"/>
      <c r="O35" s="1616" t="s">
        <v>101</v>
      </c>
      <c r="P35" s="1616"/>
      <c r="Q35" s="1616"/>
      <c r="R35" s="1616"/>
      <c r="S35" s="1616"/>
      <c r="T35" s="1616"/>
      <c r="U35" s="1616" t="s">
        <v>101</v>
      </c>
      <c r="V35" s="1616"/>
      <c r="W35" s="1616"/>
      <c r="X35" s="1616"/>
      <c r="Y35" s="1616"/>
      <c r="Z35" s="1616" t="s">
        <v>101</v>
      </c>
      <c r="AA35" s="1616"/>
      <c r="AB35" s="1616"/>
      <c r="AC35" s="1616"/>
      <c r="AD35" s="1616"/>
      <c r="AE35" s="1616"/>
      <c r="AF35" s="1616"/>
      <c r="AG35" s="1616"/>
      <c r="AH35" s="1616"/>
      <c r="AI35" s="1616"/>
      <c r="AJ35" s="1616"/>
      <c r="AK35" s="1616"/>
      <c r="AL35" s="1616" t="s">
        <v>101</v>
      </c>
      <c r="AM35" s="1616"/>
      <c r="AN35" s="1616"/>
      <c r="AO35" s="1616"/>
      <c r="AP35" s="1616"/>
      <c r="AQ35" s="1616"/>
      <c r="AR35" s="1616"/>
      <c r="AS35" s="1616" t="s">
        <v>101</v>
      </c>
      <c r="AT35" s="1616"/>
      <c r="AU35" s="1616"/>
      <c r="AV35" s="1616"/>
      <c r="AW35" s="1616"/>
      <c r="AX35" s="1616"/>
      <c r="AY35" s="1616"/>
      <c r="AZ35" s="1616"/>
      <c r="BA35" s="1616" t="s">
        <v>101</v>
      </c>
      <c r="BB35" s="1621"/>
      <c r="BC35" s="1616"/>
      <c r="BD35" s="1616" t="s">
        <v>101</v>
      </c>
      <c r="BE35" s="1616"/>
      <c r="BF35" s="1616"/>
      <c r="BG35" s="1616"/>
      <c r="BH35" s="1616"/>
      <c r="BI35" s="1616"/>
      <c r="BJ35" s="1616"/>
      <c r="BK35" s="1616" t="s">
        <v>101</v>
      </c>
      <c r="BL35" s="1616"/>
      <c r="BM35" s="1616"/>
      <c r="BN35" s="1616"/>
      <c r="BO35" s="1616"/>
      <c r="BP35" s="1616"/>
      <c r="BQ35" s="1616"/>
      <c r="BR35" s="1616" t="s">
        <v>101</v>
      </c>
      <c r="BS35" s="1616" t="s">
        <v>101</v>
      </c>
      <c r="BT35" s="1616"/>
      <c r="BU35" s="1616"/>
      <c r="BV35" s="1616"/>
      <c r="BW35" s="1616"/>
      <c r="BX35" s="1616"/>
      <c r="BY35" s="1616" t="s">
        <v>101</v>
      </c>
      <c r="BZ35" s="1616"/>
      <c r="CA35" s="1616"/>
      <c r="CB35" s="1616"/>
      <c r="CC35" s="1616"/>
      <c r="CD35" s="1616"/>
      <c r="CE35" s="1616"/>
      <c r="CF35" s="1616"/>
      <c r="CG35" s="1616"/>
      <c r="CH35" s="1616"/>
      <c r="CI35" s="1616"/>
      <c r="CJ35" s="1616"/>
      <c r="CK35" s="1616"/>
      <c r="CL35" s="1616"/>
      <c r="CM35" s="1616"/>
      <c r="CN35" s="1616"/>
      <c r="CO35" s="1616"/>
      <c r="CP35" s="1616"/>
      <c r="CQ35" s="1616"/>
      <c r="CR35" s="1616"/>
      <c r="CS35" s="1616"/>
      <c r="CT35" s="1616"/>
      <c r="CU35" s="1616"/>
      <c r="CV35" s="1616"/>
      <c r="CW35" s="1616"/>
      <c r="CX35" s="1616"/>
      <c r="CY35" s="1616"/>
      <c r="CZ35" s="1616"/>
      <c r="DA35" s="1616"/>
      <c r="DB35" s="1616"/>
      <c r="DC35" s="1616" t="s">
        <v>101</v>
      </c>
      <c r="DD35" s="1616"/>
      <c r="DE35" s="1616"/>
      <c r="DF35" s="1616"/>
      <c r="DG35" s="1616"/>
      <c r="DH35" s="1616"/>
      <c r="DI35" s="1616"/>
      <c r="DJ35" s="1616"/>
      <c r="DK35" s="1616"/>
      <c r="DL35" s="1616"/>
      <c r="DM35" s="1651" t="s">
        <v>101</v>
      </c>
      <c r="DN35" s="1651" t="s">
        <v>101</v>
      </c>
      <c r="DO35" s="1651" t="s">
        <v>101</v>
      </c>
      <c r="DP35" s="1651" t="s">
        <v>101</v>
      </c>
      <c r="DQ35" s="1616"/>
      <c r="DR35" s="1616"/>
      <c r="DS35" s="1616"/>
      <c r="DT35" s="1616"/>
      <c r="DU35" s="1616"/>
      <c r="DV35" s="1616"/>
      <c r="DW35" s="1616"/>
      <c r="DX35" s="1616"/>
      <c r="DY35" s="1616"/>
      <c r="DZ35" s="1616"/>
      <c r="EA35" s="1616"/>
      <c r="EB35" s="1616"/>
      <c r="EC35" s="1616"/>
      <c r="ED35" s="1616"/>
      <c r="EE35" s="1616"/>
      <c r="EF35" s="1616"/>
      <c r="EG35" s="1616"/>
      <c r="EH35" s="1651" t="s">
        <v>589</v>
      </c>
      <c r="EI35" s="1616"/>
      <c r="EJ35" s="1616"/>
      <c r="EK35" s="1616"/>
      <c r="EL35" s="1651" t="s">
        <v>101</v>
      </c>
      <c r="EM35" s="1616"/>
      <c r="EN35" s="1616"/>
      <c r="EO35" s="1616"/>
      <c r="EP35" s="1616"/>
      <c r="EQ35" s="1616"/>
      <c r="ER35" s="1616"/>
      <c r="ES35" s="1616"/>
      <c r="ET35" s="1616"/>
      <c r="EU35" s="1616"/>
      <c r="EV35" s="1616"/>
      <c r="EW35" s="1616"/>
      <c r="EX35" s="1616"/>
      <c r="EY35" s="1616"/>
      <c r="EZ35" s="1651" t="s">
        <v>101</v>
      </c>
      <c r="FA35" s="1616"/>
      <c r="FB35" s="1616"/>
      <c r="FC35" s="1616"/>
      <c r="FD35" s="1616"/>
      <c r="FE35" s="1616"/>
      <c r="FF35" s="1616"/>
      <c r="FG35" s="1651" t="s">
        <v>101</v>
      </c>
      <c r="FH35" s="1616"/>
      <c r="FI35" s="1616"/>
      <c r="FJ35" s="1616"/>
      <c r="FK35" s="1616"/>
      <c r="FL35" s="1616"/>
      <c r="FM35" s="1651" t="s">
        <v>101</v>
      </c>
      <c r="FN35" s="1616"/>
      <c r="FO35" s="1616"/>
      <c r="FP35" s="1616"/>
      <c r="FQ35" s="1616"/>
      <c r="FR35" s="1651" t="s">
        <v>101</v>
      </c>
      <c r="FS35" s="1651" t="s">
        <v>101</v>
      </c>
      <c r="FT35" s="1616"/>
      <c r="FU35" s="1616"/>
      <c r="FV35" s="1651" t="s">
        <v>101</v>
      </c>
      <c r="FW35" s="1616"/>
      <c r="FX35" s="1616"/>
      <c r="FY35" s="1616"/>
      <c r="FZ35" s="1616"/>
      <c r="GA35" s="1616"/>
      <c r="GB35" s="1616"/>
      <c r="GC35" s="1651" t="s">
        <v>101</v>
      </c>
      <c r="GD35" s="1616"/>
      <c r="GE35" s="1616"/>
      <c r="GF35" s="1616"/>
      <c r="GG35" s="1616"/>
      <c r="GH35" s="1651" t="s">
        <v>101</v>
      </c>
      <c r="GI35" s="1616"/>
      <c r="GJ35" s="1616"/>
      <c r="GK35" s="1616"/>
      <c r="GL35" s="1616"/>
      <c r="GM35" s="1616"/>
      <c r="GN35" s="1616"/>
      <c r="GO35" s="1616"/>
      <c r="GP35" s="1616"/>
      <c r="GQ35" s="1616"/>
      <c r="GR35" s="1616"/>
      <c r="GS35" s="1616"/>
      <c r="GT35" s="1616"/>
      <c r="GU35" s="1616"/>
      <c r="GV35" s="1616"/>
      <c r="GW35" s="1669">
        <f>IF(职业列表!$W$27=0,0,_xlfn.IFS(IF(IFERROR(VLOOKUP(A35,职业列表!$J$3:$K$10,1,FALSE),"%^&amp;@%##@^")=A35,1,0)=1,"★",IF(IFERROR(VLOOKUP(A35,职业列表!$J$31:$J$39,1,FALSE),"%^&amp;@%##@^")=A35,1,0)=1,职业列表!$V$25,IF(IFERROR(VLOOKUP(A35,职业列表!$J$43:$J$51,1,FALSE),"%^&amp;@%##@^")=A35,1,0)=1,职业列表!$V$26,IF(IFERROR(VLOOKUP(A35,职业列表!$J$55:$J$63,1,FALSE),"%^&amp;@%##@^")=A35,1,0)=1,职业列表!$V$27,IF(IFERROR(VLOOKUP(A35,职业列表!$J$3:$K$10,1,FALSE),"%^&amp;@%##@^")=A35,1,0)+IF(IFERROR(VLOOKUP(A35,职业列表!$J$31:$J$39,1,FALSE),"%^&amp;@%##@^")=A35,1,0)+IF(IFERROR(VLOOKUP(A35,职业列表!$J$43:$J$51,1,FALSE),"%^&amp;@%##@^")=A35,1,0)+IF(IFERROR(VLOOKUP(A35,职业列表!$J$55:$J$63,1,FALSE),"%^&amp;@%##@^")=A35,1,0)=0,0))</f>
        <v>0</v>
      </c>
      <c r="GX35" s="1616"/>
      <c r="GY35" s="1616"/>
      <c r="GZ35" s="1616"/>
      <c r="HA35" s="1616"/>
      <c r="HB35" s="1616"/>
      <c r="HC35" s="1616"/>
      <c r="HD35" s="1616" t="s">
        <v>101</v>
      </c>
      <c r="HE35" s="1616"/>
      <c r="HF35" s="1616"/>
      <c r="HG35" s="1616"/>
      <c r="HH35" s="1616"/>
      <c r="HI35" s="1616"/>
      <c r="HJ35" s="1616"/>
      <c r="HK35" s="1616"/>
      <c r="HL35" s="1616"/>
      <c r="HM35" s="1616"/>
      <c r="HN35" s="1616"/>
      <c r="HO35" s="1616"/>
      <c r="HP35" s="1616"/>
      <c r="HQ35" s="1616"/>
      <c r="HR35" s="1616"/>
      <c r="HS35" s="1616"/>
      <c r="HT35" s="1616"/>
      <c r="HU35" s="1616"/>
      <c r="HV35" s="1616"/>
      <c r="HW35" s="1616"/>
      <c r="HX35" s="1616"/>
      <c r="HY35" s="1681"/>
      <c r="HZ35" s="1681"/>
      <c r="IA35" s="1681"/>
      <c r="IB35" s="1681"/>
      <c r="IC35" s="1681"/>
      <c r="ID35" s="1681"/>
      <c r="IE35" s="1681"/>
      <c r="IF35" s="1681"/>
      <c r="IG35" s="1681"/>
      <c r="IH35" s="1681"/>
      <c r="II35" s="1681"/>
      <c r="IJ35" s="1681"/>
      <c r="IK35" s="1681"/>
      <c r="IL35" s="1681"/>
      <c r="IM35" s="1681"/>
      <c r="IN35" s="1681"/>
      <c r="IO35" s="1681"/>
      <c r="IP35" s="1681"/>
      <c r="IQ35" s="1681"/>
      <c r="IR35" s="1681"/>
      <c r="IS35" s="1681"/>
      <c r="IT35" s="1681"/>
      <c r="IU35" s="1681"/>
      <c r="IV35" s="1681"/>
    </row>
    <row r="36" s="1601" customFormat="1" ht="20" customHeight="1" spans="1:256">
      <c r="A36" s="1634" t="s">
        <v>158</v>
      </c>
      <c r="B36" s="1635"/>
      <c r="C36" s="1635"/>
      <c r="D36" s="1635"/>
      <c r="E36" s="1635"/>
      <c r="F36" s="1635"/>
      <c r="G36" s="1635" t="s">
        <v>101</v>
      </c>
      <c r="H36" s="1635"/>
      <c r="I36" s="1635" t="s">
        <v>101</v>
      </c>
      <c r="J36" s="1635"/>
      <c r="K36" s="1635" t="s">
        <v>101</v>
      </c>
      <c r="L36" s="1635"/>
      <c r="M36" s="1635" t="s">
        <v>101</v>
      </c>
      <c r="N36" s="1635"/>
      <c r="O36" s="1635"/>
      <c r="P36" s="1635" t="s">
        <v>101</v>
      </c>
      <c r="Q36" s="1635"/>
      <c r="R36" s="1635" t="s">
        <v>601</v>
      </c>
      <c r="S36" s="1635" t="s">
        <v>101</v>
      </c>
      <c r="T36" s="1635"/>
      <c r="U36" s="1635"/>
      <c r="V36" s="1635" t="s">
        <v>101</v>
      </c>
      <c r="W36" s="1635" t="s">
        <v>101</v>
      </c>
      <c r="X36" s="1635"/>
      <c r="Y36" s="1635"/>
      <c r="Z36" s="1635"/>
      <c r="AA36" s="1635"/>
      <c r="AB36" s="1635"/>
      <c r="AC36" s="1635"/>
      <c r="AD36" s="1635"/>
      <c r="AE36" s="1635"/>
      <c r="AF36" s="1657" t="s">
        <v>589</v>
      </c>
      <c r="AG36" s="1635"/>
      <c r="AH36" s="1635"/>
      <c r="AI36" s="1635"/>
      <c r="AJ36" s="1635"/>
      <c r="AK36" s="1635"/>
      <c r="AL36" s="1635"/>
      <c r="AM36" s="1635"/>
      <c r="AN36" s="1635"/>
      <c r="AO36" s="1663"/>
      <c r="AP36" s="1635" t="s">
        <v>101</v>
      </c>
      <c r="AQ36" s="1663"/>
      <c r="AR36" s="1664" t="s">
        <v>3476</v>
      </c>
      <c r="AS36" s="1635"/>
      <c r="AT36" s="1635"/>
      <c r="AU36" s="1635"/>
      <c r="AV36" s="1635"/>
      <c r="AW36" s="1635"/>
      <c r="AX36" s="1635"/>
      <c r="AY36" s="1635"/>
      <c r="AZ36" s="1635"/>
      <c r="BA36" s="1635" t="s">
        <v>101</v>
      </c>
      <c r="BB36" s="1663"/>
      <c r="BC36" s="1635"/>
      <c r="BD36" s="1635"/>
      <c r="BE36" s="1635" t="s">
        <v>101</v>
      </c>
      <c r="BF36" s="1664" t="s">
        <v>3477</v>
      </c>
      <c r="BG36" s="1635"/>
      <c r="BH36" s="1635"/>
      <c r="BI36" s="1635"/>
      <c r="BJ36" s="1635" t="s">
        <v>101</v>
      </c>
      <c r="BK36" s="1635"/>
      <c r="BL36" s="1635"/>
      <c r="BM36" s="1635"/>
      <c r="BN36" s="1635"/>
      <c r="BO36" s="1635"/>
      <c r="BP36" s="1635" t="s">
        <v>101</v>
      </c>
      <c r="BQ36" s="1635"/>
      <c r="BR36" s="1635"/>
      <c r="BS36" s="1635"/>
      <c r="BT36" s="1635"/>
      <c r="BU36" s="1635" t="s">
        <v>101</v>
      </c>
      <c r="BV36" s="1635"/>
      <c r="BW36" s="1635"/>
      <c r="BX36" s="1635"/>
      <c r="BY36" s="1635" t="s">
        <v>101</v>
      </c>
      <c r="BZ36" s="1635" t="s">
        <v>101</v>
      </c>
      <c r="CA36" s="1635"/>
      <c r="CB36" s="1635"/>
      <c r="CC36" s="1635" t="s">
        <v>101</v>
      </c>
      <c r="CD36" s="1635"/>
      <c r="CE36" s="1635" t="s">
        <v>101</v>
      </c>
      <c r="CF36" s="1664" t="s">
        <v>3476</v>
      </c>
      <c r="CG36" s="1663"/>
      <c r="CH36" s="1635" t="s">
        <v>101</v>
      </c>
      <c r="CI36" s="1635"/>
      <c r="CJ36" s="1635"/>
      <c r="CK36" s="1635"/>
      <c r="CL36" s="1635"/>
      <c r="CM36" s="1635"/>
      <c r="CN36" s="1635" t="s">
        <v>101</v>
      </c>
      <c r="CO36" s="1635"/>
      <c r="CP36" s="1635"/>
      <c r="CQ36" s="1635" t="s">
        <v>101</v>
      </c>
      <c r="CR36" s="1635"/>
      <c r="CS36" s="1635" t="s">
        <v>101</v>
      </c>
      <c r="CT36" s="1635"/>
      <c r="CU36" s="1635"/>
      <c r="CV36" s="1635"/>
      <c r="CW36" s="1635" t="s">
        <v>101</v>
      </c>
      <c r="CX36" s="1635"/>
      <c r="CY36" s="1635"/>
      <c r="CZ36" s="1664" t="s">
        <v>593</v>
      </c>
      <c r="DA36" s="1635" t="s">
        <v>101</v>
      </c>
      <c r="DB36" s="1635" t="s">
        <v>589</v>
      </c>
      <c r="DC36" s="1635"/>
      <c r="DD36" s="1635"/>
      <c r="DE36" s="1635"/>
      <c r="DF36" s="1635"/>
      <c r="DG36" s="1635"/>
      <c r="DH36" s="1635" t="s">
        <v>101</v>
      </c>
      <c r="DI36" s="1635" t="s">
        <v>101</v>
      </c>
      <c r="DJ36" s="1635"/>
      <c r="DK36" s="1635"/>
      <c r="DL36" s="1657" t="s">
        <v>3478</v>
      </c>
      <c r="DM36" s="1657" t="s">
        <v>101</v>
      </c>
      <c r="DN36" s="1635"/>
      <c r="DO36" s="1635"/>
      <c r="DP36" s="1657" t="s">
        <v>101</v>
      </c>
      <c r="DQ36" s="1657" t="s">
        <v>101</v>
      </c>
      <c r="DR36" s="1635"/>
      <c r="DS36" s="1657" t="s">
        <v>3476</v>
      </c>
      <c r="DT36" s="1635"/>
      <c r="DU36" s="1657" t="s">
        <v>3479</v>
      </c>
      <c r="DV36" s="1657" t="s">
        <v>101</v>
      </c>
      <c r="DW36" s="1657" t="s">
        <v>101</v>
      </c>
      <c r="DX36" s="1635"/>
      <c r="DY36" s="1635"/>
      <c r="DZ36" s="1635"/>
      <c r="EA36" s="1635"/>
      <c r="EB36" s="1635"/>
      <c r="EC36" s="1635"/>
      <c r="ED36" s="1657" t="s">
        <v>3476</v>
      </c>
      <c r="EE36" s="1657" t="s">
        <v>3476</v>
      </c>
      <c r="EF36" s="1657" t="s">
        <v>3476</v>
      </c>
      <c r="EG36" s="1635"/>
      <c r="EH36" s="1657" t="s">
        <v>101</v>
      </c>
      <c r="EI36" s="1635"/>
      <c r="EJ36" s="1635"/>
      <c r="EK36" s="1635"/>
      <c r="EL36" s="1657" t="s">
        <v>101</v>
      </c>
      <c r="EM36" s="1635"/>
      <c r="EN36" s="1635"/>
      <c r="EO36" s="1635"/>
      <c r="EP36" s="1635"/>
      <c r="EQ36" s="1635"/>
      <c r="ER36" s="1635"/>
      <c r="ES36" s="1635"/>
      <c r="ET36" s="1635"/>
      <c r="EU36" s="1635"/>
      <c r="EV36" s="1657" t="s">
        <v>101</v>
      </c>
      <c r="EW36" s="1635"/>
      <c r="EX36" s="1635"/>
      <c r="EY36" s="1635"/>
      <c r="EZ36" s="1635"/>
      <c r="FA36" s="1635"/>
      <c r="FB36" s="1635"/>
      <c r="FC36" s="1657" t="s">
        <v>3480</v>
      </c>
      <c r="FD36" s="1635"/>
      <c r="FE36" s="1635"/>
      <c r="FF36" s="1635"/>
      <c r="FG36" s="1657" t="s">
        <v>101</v>
      </c>
      <c r="FH36" s="1635"/>
      <c r="FI36" s="1635"/>
      <c r="FJ36" s="1657" t="s">
        <v>3480</v>
      </c>
      <c r="FK36" s="1635"/>
      <c r="FL36" s="1635"/>
      <c r="FM36" s="1635"/>
      <c r="FN36" s="1635"/>
      <c r="FO36" s="1657" t="s">
        <v>101</v>
      </c>
      <c r="FP36" s="1657" t="s">
        <v>101</v>
      </c>
      <c r="FQ36" s="1657" t="s">
        <v>101</v>
      </c>
      <c r="FR36" s="1635"/>
      <c r="FS36" s="1635"/>
      <c r="FT36" s="1657" t="s">
        <v>101</v>
      </c>
      <c r="FU36" s="1635"/>
      <c r="FV36" s="1657" t="s">
        <v>101</v>
      </c>
      <c r="FW36" s="1635"/>
      <c r="FX36" s="1635"/>
      <c r="FY36" s="1635"/>
      <c r="FZ36" s="1635"/>
      <c r="GA36" s="1657" t="s">
        <v>593</v>
      </c>
      <c r="GB36" s="1657" t="s">
        <v>593</v>
      </c>
      <c r="GC36" s="1657" t="s">
        <v>101</v>
      </c>
      <c r="GD36" s="1657" t="s">
        <v>101</v>
      </c>
      <c r="GE36" s="1635"/>
      <c r="GF36" s="1635"/>
      <c r="GG36" s="1635"/>
      <c r="GH36" s="1635"/>
      <c r="GI36" s="1635"/>
      <c r="GJ36" s="1635"/>
      <c r="GK36" s="1635"/>
      <c r="GL36" s="1635"/>
      <c r="GM36" s="1635"/>
      <c r="GN36" s="1635"/>
      <c r="GO36" s="1635"/>
      <c r="GP36" s="1635"/>
      <c r="GQ36" s="1657" t="s">
        <v>101</v>
      </c>
      <c r="GR36" s="1635"/>
      <c r="GS36" s="1657" t="s">
        <v>593</v>
      </c>
      <c r="GT36" s="1635"/>
      <c r="GU36" s="1635"/>
      <c r="GV36" s="1635"/>
      <c r="GW36" s="1669">
        <f>IF(职业列表!$W$27=0,0,_xlfn.IFS(IF(IFERROR(VLOOKUP(A36,职业列表!$J$3:$K$10,1,FALSE),"%^&amp;@%##@^")=A36,1,0)=1,"★",IF(IFERROR(VLOOKUP(A36,职业列表!$J$31:$J$39,1,FALSE),"%^&amp;@%##@^")=A36,1,0)=1,职业列表!$V$25,IF(IFERROR(VLOOKUP(A36,职业列表!$J$43:$J$51,1,FALSE),"%^&amp;@%##@^")=A36,1,0)=1,职业列表!$V$26,IF(IFERROR(VLOOKUP(A36,职业列表!$J$55:$J$63,1,FALSE),"%^&amp;@%##@^")=A36,1,0)=1,职业列表!$V$27,IF(IFERROR(VLOOKUP(A36,职业列表!$J$3:$K$10,1,FALSE),"%^&amp;@%##@^")=A36,1,0)+IF(IFERROR(VLOOKUP(A36,职业列表!$J$31:$J$39,1,FALSE),"%^&amp;@%##@^")=A36,1,0)+IF(IFERROR(VLOOKUP(A36,职业列表!$J$43:$J$51,1,FALSE),"%^&amp;@%##@^")=A36,1,0)+IF(IFERROR(VLOOKUP(A36,职业列表!$J$55:$J$63,1,FALSE),"%^&amp;@%##@^")=A36,1,0)=0,0))</f>
        <v>0</v>
      </c>
      <c r="GX36" s="1635"/>
      <c r="GY36" s="1635" t="s">
        <v>101</v>
      </c>
      <c r="GZ36" s="1664" t="s">
        <v>3481</v>
      </c>
      <c r="HA36" s="1664" t="s">
        <v>3481</v>
      </c>
      <c r="HB36" s="1664" t="s">
        <v>3481</v>
      </c>
      <c r="HC36" s="1664" t="s">
        <v>3481</v>
      </c>
      <c r="HD36" s="1635"/>
      <c r="HE36" s="1664" t="s">
        <v>3476</v>
      </c>
      <c r="HF36" s="1635" t="s">
        <v>101</v>
      </c>
      <c r="HG36" s="1635"/>
      <c r="HH36" s="1635"/>
      <c r="HI36" s="1635"/>
      <c r="HJ36" s="1635"/>
      <c r="HK36" s="1635" t="s">
        <v>101</v>
      </c>
      <c r="HL36" s="1635" t="s">
        <v>101</v>
      </c>
      <c r="HM36" s="1635"/>
      <c r="HN36" s="1664" t="s">
        <v>3481</v>
      </c>
      <c r="HO36" s="1635"/>
      <c r="HP36" s="1664" t="s">
        <v>3476</v>
      </c>
      <c r="HQ36" s="1664" t="s">
        <v>3476</v>
      </c>
      <c r="HR36" s="1635"/>
      <c r="HS36" s="1664" t="s">
        <v>3481</v>
      </c>
      <c r="HT36" s="1635"/>
      <c r="HU36" s="1679" t="s">
        <v>593</v>
      </c>
      <c r="HV36" s="1635"/>
      <c r="HW36" s="1635"/>
      <c r="HX36" s="1664" t="s">
        <v>3481</v>
      </c>
      <c r="IA36" s="1691" t="s">
        <v>101</v>
      </c>
      <c r="IB36" s="1692"/>
      <c r="IC36" s="1692"/>
      <c r="ID36" s="1692"/>
      <c r="IE36" s="1692"/>
      <c r="IF36" s="1692"/>
      <c r="IG36" s="1692"/>
      <c r="IH36" s="1692"/>
      <c r="II36" s="1692"/>
      <c r="IJ36" s="1692"/>
      <c r="IK36" s="1692"/>
      <c r="IL36" s="1692"/>
      <c r="IM36" s="1692"/>
      <c r="IN36" s="1692"/>
      <c r="IO36" s="1692"/>
      <c r="IP36" s="1692"/>
      <c r="IQ36" s="1692"/>
      <c r="IR36" s="1692"/>
      <c r="IS36" s="1692"/>
      <c r="IT36" s="1692"/>
      <c r="IU36" s="1692"/>
      <c r="IV36" s="1692"/>
    </row>
    <row r="37" ht="20" customHeight="1" spans="1:256">
      <c r="A37" s="1620" t="s">
        <v>160</v>
      </c>
      <c r="B37" s="1621"/>
      <c r="C37" s="1621"/>
      <c r="D37" s="1621"/>
      <c r="E37" s="1621"/>
      <c r="F37" s="1621"/>
      <c r="G37" s="1616" t="s">
        <v>101</v>
      </c>
      <c r="H37" s="1621"/>
      <c r="I37" s="1616" t="s">
        <v>101</v>
      </c>
      <c r="J37" s="1621"/>
      <c r="K37" s="1616" t="s">
        <v>101</v>
      </c>
      <c r="L37" s="1621"/>
      <c r="M37" s="1616" t="s">
        <v>101</v>
      </c>
      <c r="N37" s="1621"/>
      <c r="O37" s="1621"/>
      <c r="P37" s="1616" t="s">
        <v>101</v>
      </c>
      <c r="Q37" s="1621"/>
      <c r="R37" s="1616" t="s">
        <v>601</v>
      </c>
      <c r="S37" s="1616" t="s">
        <v>101</v>
      </c>
      <c r="T37" s="1621"/>
      <c r="U37" s="1621"/>
      <c r="V37" s="1616" t="s">
        <v>101</v>
      </c>
      <c r="W37" s="1616" t="s">
        <v>101</v>
      </c>
      <c r="X37" s="1621"/>
      <c r="Y37" s="1621"/>
      <c r="Z37" s="1621"/>
      <c r="AA37" s="1621"/>
      <c r="AB37" s="1621"/>
      <c r="AC37" s="1621"/>
      <c r="AD37" s="1621"/>
      <c r="AE37" s="1621"/>
      <c r="AF37" s="1651" t="s">
        <v>589</v>
      </c>
      <c r="AG37" s="1621"/>
      <c r="AH37" s="1621"/>
      <c r="AI37" s="1621"/>
      <c r="AJ37" s="1621"/>
      <c r="AK37" s="1621"/>
      <c r="AL37" s="1621"/>
      <c r="AM37" s="1621"/>
      <c r="AN37" s="1621"/>
      <c r="AO37" s="1621"/>
      <c r="AP37" s="1616" t="s">
        <v>101</v>
      </c>
      <c r="AQ37" s="1621"/>
      <c r="AR37" s="1621"/>
      <c r="AS37" s="1621"/>
      <c r="AT37" s="1621"/>
      <c r="AU37" s="1621"/>
      <c r="AV37" s="1621"/>
      <c r="AW37" s="1621"/>
      <c r="AX37" s="1621"/>
      <c r="AY37" s="1621"/>
      <c r="AZ37" s="1621"/>
      <c r="BA37" s="1616" t="s">
        <v>101</v>
      </c>
      <c r="BB37" s="1621"/>
      <c r="BC37" s="1621"/>
      <c r="BD37" s="1621"/>
      <c r="BE37" s="1616" t="s">
        <v>101</v>
      </c>
      <c r="BF37" s="1621"/>
      <c r="BG37" s="1621"/>
      <c r="BH37" s="1621"/>
      <c r="BI37" s="1621"/>
      <c r="BJ37" s="1621"/>
      <c r="BK37" s="1621"/>
      <c r="BL37" s="1621"/>
      <c r="BM37" s="1621"/>
      <c r="BN37" s="1621"/>
      <c r="BO37" s="1621"/>
      <c r="BP37" s="1616"/>
      <c r="BQ37" s="1621"/>
      <c r="BR37" s="1621"/>
      <c r="BS37" s="1621"/>
      <c r="BT37" s="1621"/>
      <c r="BU37" s="1616" t="s">
        <v>101</v>
      </c>
      <c r="BV37" s="1621"/>
      <c r="BW37" s="1621"/>
      <c r="BX37" s="1621"/>
      <c r="BY37" s="1616" t="s">
        <v>101</v>
      </c>
      <c r="BZ37" s="1616" t="s">
        <v>101</v>
      </c>
      <c r="CA37" s="1621"/>
      <c r="CB37" s="1621"/>
      <c r="CC37" s="1616" t="s">
        <v>101</v>
      </c>
      <c r="CD37" s="1621"/>
      <c r="CE37" s="1616" t="s">
        <v>101</v>
      </c>
      <c r="CF37" s="1621"/>
      <c r="CG37" s="1621"/>
      <c r="CH37" s="1616" t="s">
        <v>101</v>
      </c>
      <c r="CI37" s="1621"/>
      <c r="CJ37" s="1621"/>
      <c r="CK37" s="1621"/>
      <c r="CL37" s="1621"/>
      <c r="CM37" s="1621"/>
      <c r="CN37" s="1616" t="s">
        <v>101</v>
      </c>
      <c r="CO37" s="1621"/>
      <c r="CP37" s="1621"/>
      <c r="CQ37" s="1616" t="s">
        <v>101</v>
      </c>
      <c r="CR37" s="1621"/>
      <c r="CS37" s="1616" t="s">
        <v>101</v>
      </c>
      <c r="CT37" s="1621"/>
      <c r="CU37" s="1621"/>
      <c r="CV37" s="1621"/>
      <c r="CW37" s="1616" t="s">
        <v>101</v>
      </c>
      <c r="CX37" s="1621"/>
      <c r="CY37" s="1621"/>
      <c r="CZ37" s="1649"/>
      <c r="DA37" s="1616" t="s">
        <v>101</v>
      </c>
      <c r="DB37" s="1616" t="s">
        <v>589</v>
      </c>
      <c r="DC37" s="1621"/>
      <c r="DD37" s="1621"/>
      <c r="DE37" s="1621"/>
      <c r="DF37" s="1621"/>
      <c r="DG37" s="1621"/>
      <c r="DH37" s="1616" t="s">
        <v>101</v>
      </c>
      <c r="DI37" s="1616" t="s">
        <v>101</v>
      </c>
      <c r="DJ37" s="1621"/>
      <c r="DK37" s="1621"/>
      <c r="DL37" s="1651" t="s">
        <v>3478</v>
      </c>
      <c r="DM37" s="1651"/>
      <c r="DN37" s="1616"/>
      <c r="DO37" s="1616"/>
      <c r="DP37" s="1616"/>
      <c r="DQ37" s="1651" t="s">
        <v>101</v>
      </c>
      <c r="DR37" s="1616"/>
      <c r="DS37" s="1616"/>
      <c r="DT37" s="1616"/>
      <c r="DU37" s="1616"/>
      <c r="DV37" s="1651" t="s">
        <v>101</v>
      </c>
      <c r="DW37" s="1651" t="s">
        <v>101</v>
      </c>
      <c r="DX37" s="1616"/>
      <c r="DY37" s="1616"/>
      <c r="DZ37" s="1616"/>
      <c r="EA37" s="1616"/>
      <c r="EB37" s="1616"/>
      <c r="EC37" s="1616"/>
      <c r="ED37" s="1616"/>
      <c r="EE37" s="1616"/>
      <c r="EF37" s="1616"/>
      <c r="EG37" s="1616"/>
      <c r="EH37" s="1651" t="s">
        <v>101</v>
      </c>
      <c r="EI37" s="1616"/>
      <c r="EJ37" s="1616"/>
      <c r="EK37" s="1616"/>
      <c r="EL37" s="1651" t="s">
        <v>101</v>
      </c>
      <c r="EM37" s="1616"/>
      <c r="EN37" s="1616"/>
      <c r="EO37" s="1616"/>
      <c r="EP37" s="1616"/>
      <c r="EQ37" s="1616"/>
      <c r="ER37" s="1616"/>
      <c r="ES37" s="1616"/>
      <c r="ET37" s="1616"/>
      <c r="EU37" s="1616"/>
      <c r="EV37" s="1651" t="s">
        <v>101</v>
      </c>
      <c r="EW37" s="1616"/>
      <c r="EX37" s="1616"/>
      <c r="EY37" s="1616"/>
      <c r="EZ37" s="1616"/>
      <c r="FA37" s="1616"/>
      <c r="FB37" s="1616"/>
      <c r="FC37" s="1651" t="s">
        <v>3482</v>
      </c>
      <c r="FD37" s="1616"/>
      <c r="FE37" s="1616"/>
      <c r="FF37" s="1616"/>
      <c r="FG37" s="1616"/>
      <c r="FH37" s="1616"/>
      <c r="FI37" s="1616"/>
      <c r="FJ37" s="1616"/>
      <c r="FK37" s="1616"/>
      <c r="FL37" s="1616"/>
      <c r="FM37" s="1616"/>
      <c r="FN37" s="1616"/>
      <c r="FO37" s="1651" t="s">
        <v>101</v>
      </c>
      <c r="FP37" s="1651" t="s">
        <v>101</v>
      </c>
      <c r="FQ37" s="1616"/>
      <c r="FR37" s="1616"/>
      <c r="FS37" s="1616"/>
      <c r="FT37" s="1651" t="s">
        <v>101</v>
      </c>
      <c r="FU37" s="1616"/>
      <c r="FV37" s="1651" t="s">
        <v>101</v>
      </c>
      <c r="FW37" s="1616"/>
      <c r="FX37" s="1616"/>
      <c r="FY37" s="1616"/>
      <c r="FZ37" s="1616"/>
      <c r="GA37" s="1616"/>
      <c r="GB37" s="1616"/>
      <c r="GC37" s="1651" t="s">
        <v>101</v>
      </c>
      <c r="GD37" s="1651" t="s">
        <v>101</v>
      </c>
      <c r="GE37" s="1616"/>
      <c r="GF37" s="1616"/>
      <c r="GG37" s="1616"/>
      <c r="GH37" s="1616"/>
      <c r="GI37" s="1616"/>
      <c r="GJ37" s="1616"/>
      <c r="GK37" s="1616"/>
      <c r="GL37" s="1616"/>
      <c r="GM37" s="1616"/>
      <c r="GN37" s="1616"/>
      <c r="GO37" s="1616"/>
      <c r="GP37" s="1616"/>
      <c r="GQ37" s="1651" t="s">
        <v>101</v>
      </c>
      <c r="GR37" s="1616"/>
      <c r="GS37" s="1616"/>
      <c r="GT37" s="1616"/>
      <c r="GU37" s="1616"/>
      <c r="GV37" s="1616"/>
      <c r="GW37" s="1669">
        <f>IF(职业列表!$W$27=0,0,_xlfn.IFS(IF(IFERROR(VLOOKUP(A37,职业列表!$J$3:$K$10,1,FALSE),"%^&amp;@%##@^")=A37,1,0)=1,"★",IF(IFERROR(VLOOKUP(A37,职业列表!$J$31:$J$39,1,FALSE),"%^&amp;@%##@^")=A37,1,0)=1,职业列表!$V$25,IF(IFERROR(VLOOKUP(A37,职业列表!$J$43:$J$51,1,FALSE),"%^&amp;@%##@^")=A37,1,0)=1,职业列表!$V$26,IF(IFERROR(VLOOKUP(A37,职业列表!$J$55:$J$63,1,FALSE),"%^&amp;@%##@^")=A37,1,0)=1,职业列表!$V$27,IF(IFERROR(VLOOKUP(A37,职业列表!$J$3:$K$10,1,FALSE),"%^&amp;@%##@^")=A37,1,0)+IF(IFERROR(VLOOKUP(A37,职业列表!$J$31:$J$39,1,FALSE),"%^&amp;@%##@^")=A37,1,0)+IF(IFERROR(VLOOKUP(A37,职业列表!$J$43:$J$51,1,FALSE),"%^&amp;@%##@^")=A37,1,0)+IF(IFERROR(VLOOKUP(A37,职业列表!$J$55:$J$63,1,FALSE),"%^&amp;@%##@^")=A37,1,0)=0,0))</f>
        <v>0</v>
      </c>
      <c r="GX37" s="1616"/>
      <c r="GY37" s="1621"/>
      <c r="GZ37" s="1621"/>
      <c r="HA37" s="1649" t="s">
        <v>3476</v>
      </c>
      <c r="HB37" s="1621"/>
      <c r="HC37" s="1616"/>
      <c r="HD37" s="1621"/>
      <c r="HE37" s="1616"/>
      <c r="HF37" s="1621"/>
      <c r="HG37" s="1616"/>
      <c r="HH37" s="1621"/>
      <c r="HI37" s="1621"/>
      <c r="HJ37" s="1616"/>
      <c r="HK37" s="1621"/>
      <c r="HL37" s="1616"/>
      <c r="HM37" s="1616"/>
      <c r="HN37" s="1621"/>
      <c r="HO37" s="1621"/>
      <c r="HP37" s="1616"/>
      <c r="HQ37" s="1616"/>
      <c r="HR37" s="1621"/>
      <c r="HS37" s="1621"/>
      <c r="HT37" s="1621"/>
      <c r="HU37" s="1621"/>
      <c r="HV37" s="1621"/>
      <c r="HW37" s="1621"/>
      <c r="HX37" s="1621"/>
      <c r="HY37" s="1681"/>
      <c r="HZ37" s="1681"/>
      <c r="IA37" s="1681"/>
      <c r="IB37" s="1681"/>
      <c r="IC37" s="1681"/>
      <c r="ID37" s="1681"/>
      <c r="IE37" s="1681"/>
      <c r="IF37" s="1681"/>
      <c r="IG37" s="1681"/>
      <c r="IH37" s="1681"/>
      <c r="II37" s="1681"/>
      <c r="IJ37" s="1681"/>
      <c r="IK37" s="1681"/>
      <c r="IL37" s="1681"/>
      <c r="IM37" s="1681"/>
      <c r="IN37" s="1681"/>
      <c r="IO37" s="1681"/>
      <c r="IP37" s="1681"/>
      <c r="IQ37" s="1681"/>
      <c r="IR37" s="1681"/>
      <c r="IS37" s="1681"/>
      <c r="IT37" s="1681"/>
      <c r="IU37" s="1681"/>
      <c r="IV37" s="1681"/>
    </row>
    <row r="38" ht="20" customHeight="1" spans="1:256">
      <c r="A38" s="1620" t="s">
        <v>162</v>
      </c>
      <c r="B38" s="1621"/>
      <c r="C38" s="1621"/>
      <c r="D38" s="1621"/>
      <c r="E38" s="1621"/>
      <c r="F38" s="1621"/>
      <c r="G38" s="1616"/>
      <c r="H38" s="1621"/>
      <c r="I38" s="1616"/>
      <c r="J38" s="1621"/>
      <c r="K38" s="1616"/>
      <c r="L38" s="1621"/>
      <c r="M38" s="1616"/>
      <c r="N38" s="1621"/>
      <c r="O38" s="1621"/>
      <c r="P38" s="1616"/>
      <c r="Q38" s="1621"/>
      <c r="R38" s="1616"/>
      <c r="S38" s="1616"/>
      <c r="T38" s="1621"/>
      <c r="U38" s="1621"/>
      <c r="V38" s="1616"/>
      <c r="W38" s="1616"/>
      <c r="X38" s="1621"/>
      <c r="Y38" s="1621"/>
      <c r="Z38" s="1621"/>
      <c r="AA38" s="1621"/>
      <c r="AB38" s="1621"/>
      <c r="AC38" s="1621"/>
      <c r="AD38" s="1621"/>
      <c r="AE38" s="1621"/>
      <c r="AF38" s="1616"/>
      <c r="AG38" s="1621"/>
      <c r="AH38" s="1621"/>
      <c r="AI38" s="1621"/>
      <c r="AJ38" s="1621"/>
      <c r="AK38" s="1621"/>
      <c r="AL38" s="1621"/>
      <c r="AM38" s="1621"/>
      <c r="AN38" s="1621"/>
      <c r="AO38" s="1621"/>
      <c r="AP38" s="1616"/>
      <c r="AQ38" s="1621"/>
      <c r="AR38" s="1621"/>
      <c r="AS38" s="1621"/>
      <c r="AT38" s="1621"/>
      <c r="AU38" s="1621"/>
      <c r="AV38" s="1621"/>
      <c r="AW38" s="1621"/>
      <c r="AX38" s="1621"/>
      <c r="AY38" s="1621"/>
      <c r="AZ38" s="1621"/>
      <c r="BA38" s="1616"/>
      <c r="BB38" s="1621"/>
      <c r="BC38" s="1621"/>
      <c r="BD38" s="1621"/>
      <c r="BE38" s="1616"/>
      <c r="BF38" s="1621"/>
      <c r="BG38" s="1621"/>
      <c r="BH38" s="1621"/>
      <c r="BI38" s="1621"/>
      <c r="BJ38" s="1621"/>
      <c r="BK38" s="1621"/>
      <c r="BL38" s="1621"/>
      <c r="BM38" s="1621"/>
      <c r="BN38" s="1621"/>
      <c r="BO38" s="1621"/>
      <c r="BP38" s="1616"/>
      <c r="BQ38" s="1621"/>
      <c r="BR38" s="1621"/>
      <c r="BS38" s="1621"/>
      <c r="BT38" s="1621"/>
      <c r="BU38" s="1616"/>
      <c r="BV38" s="1621"/>
      <c r="BW38" s="1621"/>
      <c r="BX38" s="1621"/>
      <c r="BY38" s="1616"/>
      <c r="BZ38" s="1616"/>
      <c r="CA38" s="1621"/>
      <c r="CB38" s="1621"/>
      <c r="CC38" s="1616"/>
      <c r="CD38" s="1621"/>
      <c r="CE38" s="1616"/>
      <c r="CF38" s="1621"/>
      <c r="CG38" s="1621"/>
      <c r="CH38" s="1616"/>
      <c r="CI38" s="1621"/>
      <c r="CJ38" s="1621"/>
      <c r="CK38" s="1621"/>
      <c r="CL38" s="1621"/>
      <c r="CM38" s="1621"/>
      <c r="CN38" s="1616"/>
      <c r="CO38" s="1621"/>
      <c r="CP38" s="1621"/>
      <c r="CQ38" s="1616"/>
      <c r="CR38" s="1621"/>
      <c r="CS38" s="1616"/>
      <c r="CT38" s="1621"/>
      <c r="CU38" s="1621"/>
      <c r="CV38" s="1621"/>
      <c r="CW38" s="1616"/>
      <c r="CX38" s="1621"/>
      <c r="CY38" s="1621"/>
      <c r="CZ38" s="1616"/>
      <c r="DA38" s="1616"/>
      <c r="DB38" s="1616"/>
      <c r="DC38" s="1621"/>
      <c r="DD38" s="1621"/>
      <c r="DE38" s="1621"/>
      <c r="DF38" s="1621"/>
      <c r="DG38" s="1621"/>
      <c r="DH38" s="1616"/>
      <c r="DI38" s="1616"/>
      <c r="DJ38" s="1621"/>
      <c r="DK38" s="1621"/>
      <c r="DL38" s="1616"/>
      <c r="DM38" s="1651"/>
      <c r="DN38" s="1616"/>
      <c r="DO38" s="1616"/>
      <c r="DP38" s="1616"/>
      <c r="DQ38" s="1651"/>
      <c r="DR38" s="1616"/>
      <c r="DS38" s="1616"/>
      <c r="DT38" s="1616"/>
      <c r="DU38" s="1616"/>
      <c r="DV38" s="1651"/>
      <c r="DW38" s="1651"/>
      <c r="DX38" s="1616"/>
      <c r="DY38" s="1616"/>
      <c r="DZ38" s="1616"/>
      <c r="EA38" s="1616"/>
      <c r="EB38" s="1616"/>
      <c r="EC38" s="1616"/>
      <c r="ED38" s="1616"/>
      <c r="EE38" s="1616"/>
      <c r="EF38" s="1616"/>
      <c r="EG38" s="1616"/>
      <c r="EH38" s="1651"/>
      <c r="EI38" s="1616"/>
      <c r="EJ38" s="1616"/>
      <c r="EK38" s="1616"/>
      <c r="EL38" s="1651"/>
      <c r="EM38" s="1616"/>
      <c r="EN38" s="1616"/>
      <c r="EO38" s="1616"/>
      <c r="EP38" s="1616"/>
      <c r="EQ38" s="1616"/>
      <c r="ER38" s="1616"/>
      <c r="ES38" s="1616"/>
      <c r="ET38" s="1616"/>
      <c r="EU38" s="1616"/>
      <c r="EV38" s="1651"/>
      <c r="EW38" s="1616"/>
      <c r="EX38" s="1616"/>
      <c r="EY38" s="1616"/>
      <c r="EZ38" s="1616"/>
      <c r="FA38" s="1616"/>
      <c r="FB38" s="1616"/>
      <c r="FC38" s="1616"/>
      <c r="FD38" s="1616"/>
      <c r="FE38" s="1616"/>
      <c r="FF38" s="1616"/>
      <c r="FG38" s="1616"/>
      <c r="FH38" s="1616"/>
      <c r="FI38" s="1616"/>
      <c r="FJ38" s="1616"/>
      <c r="FK38" s="1616"/>
      <c r="FL38" s="1616"/>
      <c r="FM38" s="1616"/>
      <c r="FN38" s="1616"/>
      <c r="FO38" s="1651"/>
      <c r="FP38" s="1651"/>
      <c r="FQ38" s="1616"/>
      <c r="FR38" s="1616"/>
      <c r="FS38" s="1616"/>
      <c r="FT38" s="1651"/>
      <c r="FU38" s="1616"/>
      <c r="FV38" s="1651"/>
      <c r="FW38" s="1616"/>
      <c r="FX38" s="1616"/>
      <c r="FY38" s="1616"/>
      <c r="FZ38" s="1616"/>
      <c r="GA38" s="1616"/>
      <c r="GB38" s="1616"/>
      <c r="GC38" s="1651"/>
      <c r="GD38" s="1651"/>
      <c r="GE38" s="1616"/>
      <c r="GF38" s="1616"/>
      <c r="GG38" s="1616"/>
      <c r="GH38" s="1616"/>
      <c r="GI38" s="1616"/>
      <c r="GJ38" s="1616"/>
      <c r="GK38" s="1616"/>
      <c r="GL38" s="1616"/>
      <c r="GM38" s="1616"/>
      <c r="GN38" s="1616"/>
      <c r="GO38" s="1616"/>
      <c r="GP38" s="1616"/>
      <c r="GQ38" s="1651"/>
      <c r="GR38" s="1616"/>
      <c r="GS38" s="1616"/>
      <c r="GT38" s="1616"/>
      <c r="GU38" s="1616"/>
      <c r="GV38" s="1616"/>
      <c r="GW38" s="1669">
        <f>IF(职业列表!$W$27=0,0,_xlfn.IFS(IF(IFERROR(VLOOKUP(A38,职业列表!$J$3:$K$10,1,FALSE),"%^&amp;@%##@^")=A38,1,0)=1,"★",IF(IFERROR(VLOOKUP(A38,职业列表!$J$31:$J$39,1,FALSE),"%^&amp;@%##@^")=A38,1,0)=1,职业列表!$V$25,IF(IFERROR(VLOOKUP(A38,职业列表!$J$43:$J$51,1,FALSE),"%^&amp;@%##@^")=A38,1,0)=1,职业列表!$V$26,IF(IFERROR(VLOOKUP(A38,职业列表!$J$55:$J$63,1,FALSE),"%^&amp;@%##@^")=A38,1,0)=1,职业列表!$V$27,IF(IFERROR(VLOOKUP(A38,职业列表!$J$3:$K$10,1,FALSE),"%^&amp;@%##@^")=A38,1,0)+IF(IFERROR(VLOOKUP(A38,职业列表!$J$31:$J$39,1,FALSE),"%^&amp;@%##@^")=A38,1,0)+IF(IFERROR(VLOOKUP(A38,职业列表!$J$43:$J$51,1,FALSE),"%^&amp;@%##@^")=A38,1,0)+IF(IFERROR(VLOOKUP(A38,职业列表!$J$55:$J$63,1,FALSE),"%^&amp;@%##@^")=A38,1,0)=0,0))</f>
        <v>0</v>
      </c>
      <c r="GX38" s="1616"/>
      <c r="GY38" s="1621"/>
      <c r="GZ38" s="1621"/>
      <c r="HA38" s="1616"/>
      <c r="HB38" s="1621"/>
      <c r="HC38" s="1616"/>
      <c r="HD38" s="1621"/>
      <c r="HE38" s="1616"/>
      <c r="HF38" s="1621"/>
      <c r="HG38" s="1616"/>
      <c r="HH38" s="1621"/>
      <c r="HI38" s="1621"/>
      <c r="HJ38" s="1616"/>
      <c r="HK38" s="1621"/>
      <c r="HL38" s="1616"/>
      <c r="HM38" s="1616"/>
      <c r="HN38" s="1621"/>
      <c r="HO38" s="1621"/>
      <c r="HP38" s="1616"/>
      <c r="HQ38" s="1616"/>
      <c r="HR38" s="1621"/>
      <c r="HS38" s="1621"/>
      <c r="HT38" s="1621"/>
      <c r="HU38" s="1621"/>
      <c r="HV38" s="1621"/>
      <c r="HW38" s="1621"/>
      <c r="HX38" s="1621"/>
      <c r="HY38" s="1681"/>
      <c r="HZ38" s="1681"/>
      <c r="IA38" s="1681"/>
      <c r="IB38" s="1681"/>
      <c r="IC38" s="1681"/>
      <c r="ID38" s="1681"/>
      <c r="IE38" s="1681"/>
      <c r="IF38" s="1681"/>
      <c r="IG38" s="1681"/>
      <c r="IH38" s="1681"/>
      <c r="II38" s="1681"/>
      <c r="IJ38" s="1681"/>
      <c r="IK38" s="1681"/>
      <c r="IL38" s="1681"/>
      <c r="IM38" s="1681"/>
      <c r="IN38" s="1681"/>
      <c r="IO38" s="1681"/>
      <c r="IP38" s="1681"/>
      <c r="IQ38" s="1681"/>
      <c r="IR38" s="1681"/>
      <c r="IS38" s="1681"/>
      <c r="IT38" s="1681"/>
      <c r="IU38" s="1681"/>
      <c r="IV38" s="1681"/>
    </row>
    <row r="39" s="1601" customFormat="1" ht="20" customHeight="1" spans="1:256">
      <c r="A39" s="1634" t="s">
        <v>164</v>
      </c>
      <c r="B39" s="1635"/>
      <c r="C39" s="1635"/>
      <c r="D39" s="1635"/>
      <c r="E39" s="1635"/>
      <c r="F39" s="1635"/>
      <c r="G39" s="1635"/>
      <c r="H39" s="1635"/>
      <c r="I39" s="1635"/>
      <c r="J39" s="1635"/>
      <c r="K39" s="1635"/>
      <c r="L39" s="1635" t="s">
        <v>101</v>
      </c>
      <c r="M39" s="1635"/>
      <c r="N39" s="1635"/>
      <c r="O39" s="1635"/>
      <c r="P39" s="1635" t="s">
        <v>101</v>
      </c>
      <c r="Q39" s="1635"/>
      <c r="R39" s="1635"/>
      <c r="S39" s="1635" t="s">
        <v>101</v>
      </c>
      <c r="T39" s="1635"/>
      <c r="U39" s="1635"/>
      <c r="V39" s="1635"/>
      <c r="W39" s="1635"/>
      <c r="X39" s="1635"/>
      <c r="Y39" s="1635"/>
      <c r="Z39" s="1635"/>
      <c r="AA39" s="1635"/>
      <c r="AB39" s="1635"/>
      <c r="AC39" s="1635"/>
      <c r="AD39" s="1635"/>
      <c r="AE39" s="1635"/>
      <c r="AF39" s="1635"/>
      <c r="AG39" s="1635"/>
      <c r="AH39" s="1635"/>
      <c r="AI39" s="1635"/>
      <c r="AJ39" s="1635"/>
      <c r="AK39" s="1635"/>
      <c r="AL39" s="1635"/>
      <c r="AM39" s="1635"/>
      <c r="AN39" s="1635"/>
      <c r="AO39" s="1635"/>
      <c r="AP39" s="1635"/>
      <c r="AQ39" s="1635"/>
      <c r="AR39" s="1635"/>
      <c r="AS39" s="1635"/>
      <c r="AT39" s="1635"/>
      <c r="AU39" s="1635"/>
      <c r="AV39" s="1635"/>
      <c r="AW39" s="1635" t="s">
        <v>101</v>
      </c>
      <c r="AX39" s="1635" t="s">
        <v>101</v>
      </c>
      <c r="AY39" s="1635"/>
      <c r="AZ39" s="1635"/>
      <c r="BA39" s="1635"/>
      <c r="BB39" s="1635"/>
      <c r="BC39" s="1635"/>
      <c r="BD39" s="1635"/>
      <c r="BE39" s="1635" t="s">
        <v>101</v>
      </c>
      <c r="BF39" s="1635"/>
      <c r="BG39" s="1635"/>
      <c r="BH39" s="1635"/>
      <c r="BI39" s="1635"/>
      <c r="BJ39" s="1635"/>
      <c r="BK39" s="1635"/>
      <c r="BL39" s="1635"/>
      <c r="BM39" s="1635" t="s">
        <v>101</v>
      </c>
      <c r="BN39" s="1663"/>
      <c r="BO39" s="1635" t="s">
        <v>101</v>
      </c>
      <c r="BP39" s="1635"/>
      <c r="BQ39" s="1635"/>
      <c r="BR39" s="1635"/>
      <c r="BS39" s="1635"/>
      <c r="BT39" s="1635"/>
      <c r="BU39" s="1635" t="s">
        <v>101</v>
      </c>
      <c r="BV39" s="1635"/>
      <c r="BW39" s="1635"/>
      <c r="BX39" s="1635"/>
      <c r="BY39" s="1635"/>
      <c r="BZ39" s="1635"/>
      <c r="CA39" s="1635"/>
      <c r="CB39" s="1635"/>
      <c r="CC39" s="1635"/>
      <c r="CD39" s="1635"/>
      <c r="CE39" s="1635"/>
      <c r="CF39" s="1635"/>
      <c r="CG39" s="1635"/>
      <c r="CH39" s="1635"/>
      <c r="CI39" s="1635"/>
      <c r="CJ39" s="1635"/>
      <c r="CK39" s="1635"/>
      <c r="CL39" s="1635"/>
      <c r="CM39" s="1635"/>
      <c r="CN39" s="1635" t="s">
        <v>101</v>
      </c>
      <c r="CO39" s="1635"/>
      <c r="CP39" s="1635"/>
      <c r="CQ39" s="1635"/>
      <c r="CR39" s="1635"/>
      <c r="CS39" s="1635"/>
      <c r="CT39" s="1635"/>
      <c r="CU39" s="1635"/>
      <c r="CV39" s="1635"/>
      <c r="CW39" s="1635" t="s">
        <v>101</v>
      </c>
      <c r="CX39" s="1635" t="s">
        <v>101</v>
      </c>
      <c r="CY39" s="1635"/>
      <c r="CZ39" s="1635"/>
      <c r="DA39" s="1635"/>
      <c r="DB39" s="1635" t="s">
        <v>589</v>
      </c>
      <c r="DC39" s="1635"/>
      <c r="DD39" s="1635"/>
      <c r="DE39" s="1635"/>
      <c r="DF39" s="1635"/>
      <c r="DG39" s="1635"/>
      <c r="DH39" s="1635" t="s">
        <v>101</v>
      </c>
      <c r="DI39" s="1635"/>
      <c r="DJ39" s="1635"/>
      <c r="DK39" s="1635"/>
      <c r="DL39" s="1657" t="s">
        <v>101</v>
      </c>
      <c r="DM39" s="1635"/>
      <c r="DN39" s="1635"/>
      <c r="DO39" s="1635"/>
      <c r="DP39" s="1635"/>
      <c r="DQ39" s="1635"/>
      <c r="DR39" s="1635"/>
      <c r="DS39" s="1657" t="s">
        <v>101</v>
      </c>
      <c r="DT39" s="1635"/>
      <c r="DU39" s="1657" t="s">
        <v>101</v>
      </c>
      <c r="DV39" s="1657" t="s">
        <v>101</v>
      </c>
      <c r="DW39" s="1635"/>
      <c r="DX39" s="1657" t="s">
        <v>101</v>
      </c>
      <c r="DY39" s="1635"/>
      <c r="DZ39" s="1635"/>
      <c r="EA39" s="1635"/>
      <c r="EB39" s="1635"/>
      <c r="EC39" s="1635"/>
      <c r="ED39" s="1635"/>
      <c r="EE39" s="1635"/>
      <c r="EF39" s="1635"/>
      <c r="EG39" s="1635"/>
      <c r="EH39" s="1635"/>
      <c r="EI39" s="1635"/>
      <c r="EJ39" s="1635"/>
      <c r="EK39" s="1635"/>
      <c r="EL39" s="1635"/>
      <c r="EM39" s="1635"/>
      <c r="EN39" s="1635"/>
      <c r="EO39" s="1657" t="s">
        <v>101</v>
      </c>
      <c r="EP39" s="1635"/>
      <c r="EQ39" s="1635"/>
      <c r="ER39" s="1635"/>
      <c r="ES39" s="1657" t="s">
        <v>101</v>
      </c>
      <c r="ET39" s="1657" t="s">
        <v>101</v>
      </c>
      <c r="EU39" s="1635"/>
      <c r="EV39" s="1657" t="s">
        <v>101</v>
      </c>
      <c r="EW39" s="1635"/>
      <c r="EX39" s="1635"/>
      <c r="EY39" s="1635"/>
      <c r="EZ39" s="1635"/>
      <c r="FA39" s="1635"/>
      <c r="FB39" s="1635"/>
      <c r="FC39" s="1635"/>
      <c r="FD39" s="1635"/>
      <c r="FE39" s="1635"/>
      <c r="FF39" s="1635"/>
      <c r="FG39" s="1657" t="s">
        <v>101</v>
      </c>
      <c r="FH39" s="1635"/>
      <c r="FI39" s="1635"/>
      <c r="FJ39" s="1635"/>
      <c r="FK39" s="1657" t="s">
        <v>101</v>
      </c>
      <c r="FL39" s="1635"/>
      <c r="FM39" s="1635"/>
      <c r="FN39" s="1635"/>
      <c r="FO39" s="1635"/>
      <c r="FP39" s="1635"/>
      <c r="FQ39" s="1635"/>
      <c r="FR39" s="1635"/>
      <c r="FS39" s="1635"/>
      <c r="FT39" s="1635"/>
      <c r="FU39" s="1635"/>
      <c r="FV39" s="1635"/>
      <c r="FW39" s="1635"/>
      <c r="FX39" s="1635"/>
      <c r="FY39" s="1635"/>
      <c r="FZ39" s="1635"/>
      <c r="GA39" s="1635"/>
      <c r="GB39" s="1635"/>
      <c r="GC39" s="1635"/>
      <c r="GD39" s="1657" t="s">
        <v>101</v>
      </c>
      <c r="GE39" s="1635"/>
      <c r="GF39" s="1635"/>
      <c r="GG39" s="1635"/>
      <c r="GH39" s="1635"/>
      <c r="GI39" s="1657" t="s">
        <v>101</v>
      </c>
      <c r="GJ39" s="1657" t="s">
        <v>101</v>
      </c>
      <c r="GK39" s="1657" t="s">
        <v>101</v>
      </c>
      <c r="GL39" s="1635"/>
      <c r="GM39" s="1635"/>
      <c r="GN39" s="1635"/>
      <c r="GO39" s="1635"/>
      <c r="GP39" s="1635"/>
      <c r="GQ39" s="1635"/>
      <c r="GR39" s="1635"/>
      <c r="GS39" s="1635"/>
      <c r="GT39" s="1657" t="s">
        <v>101</v>
      </c>
      <c r="GU39" s="1635"/>
      <c r="GV39" s="1635"/>
      <c r="GW39" s="1669">
        <f>IF(职业列表!$W$27=0,0,_xlfn.IFS(IF(IFERROR(VLOOKUP(A39,职业列表!$J$3:$K$10,1,FALSE),"%^&amp;@%##@^")=A39,1,0)=1,"★",IF(IFERROR(VLOOKUP(A39,职业列表!$J$31:$J$39,1,FALSE),"%^&amp;@%##@^")=A39,1,0)=1,职业列表!$V$25,IF(IFERROR(VLOOKUP(A39,职业列表!$J$43:$J$51,1,FALSE),"%^&amp;@%##@^")=A39,1,0)=1,职业列表!$V$26,IF(IFERROR(VLOOKUP(A39,职业列表!$J$55:$J$63,1,FALSE),"%^&amp;@%##@^")=A39,1,0)=1,职业列表!$V$27,IF(IFERROR(VLOOKUP(A39,职业列表!$J$3:$K$10,1,FALSE),"%^&amp;@%##@^")=A39,1,0)+IF(IFERROR(VLOOKUP(A39,职业列表!$J$31:$J$39,1,FALSE),"%^&amp;@%##@^")=A39,1,0)+IF(IFERROR(VLOOKUP(A39,职业列表!$J$43:$J$51,1,FALSE),"%^&amp;@%##@^")=A39,1,0)+IF(IFERROR(VLOOKUP(A39,职业列表!$J$55:$J$63,1,FALSE),"%^&amp;@%##@^")=A39,1,0)=0,0))</f>
        <v>0</v>
      </c>
      <c r="GX39" s="1635"/>
      <c r="GY39" s="1635"/>
      <c r="GZ39" s="1635"/>
      <c r="HA39" s="1635"/>
      <c r="HB39" s="1635"/>
      <c r="HC39" s="1635" t="s">
        <v>101</v>
      </c>
      <c r="HD39" s="1635"/>
      <c r="HE39" s="1635"/>
      <c r="HF39" s="1635"/>
      <c r="HG39" s="1635"/>
      <c r="HH39" s="1635"/>
      <c r="HI39" s="1635"/>
      <c r="HJ39" s="1635" t="s">
        <v>101</v>
      </c>
      <c r="HK39" s="1635"/>
      <c r="HL39" s="1635"/>
      <c r="HM39" s="1635"/>
      <c r="HN39" s="1635" t="s">
        <v>101</v>
      </c>
      <c r="HO39" s="1635"/>
      <c r="HP39" s="1635"/>
      <c r="HQ39" s="1635"/>
      <c r="HR39" s="1635"/>
      <c r="HS39" s="1635"/>
      <c r="HT39" s="1635"/>
      <c r="HU39" s="1635"/>
      <c r="HV39" s="1635"/>
      <c r="HW39" s="1635"/>
      <c r="HX39" s="1635"/>
      <c r="HY39" s="1692"/>
      <c r="HZ39" s="1692"/>
      <c r="IA39" s="1692"/>
      <c r="IB39" s="1692"/>
      <c r="IC39" s="1692"/>
      <c r="ID39" s="1692"/>
      <c r="IE39" s="1692"/>
      <c r="IF39" s="1692"/>
      <c r="IG39" s="1692"/>
      <c r="IH39" s="1692"/>
      <c r="II39" s="1692"/>
      <c r="IJ39" s="1692"/>
      <c r="IK39" s="1692"/>
      <c r="IL39" s="1692"/>
      <c r="IM39" s="1692"/>
      <c r="IN39" s="1692"/>
      <c r="IO39" s="1692"/>
      <c r="IP39" s="1692"/>
      <c r="IQ39" s="1692"/>
      <c r="IR39" s="1692"/>
      <c r="IS39" s="1692"/>
      <c r="IT39" s="1692"/>
      <c r="IU39" s="1692"/>
      <c r="IV39" s="1692"/>
    </row>
    <row r="40" ht="20" customHeight="1" spans="1:256">
      <c r="A40" s="1615" t="s">
        <v>70</v>
      </c>
      <c r="B40" s="1616" t="s">
        <v>101</v>
      </c>
      <c r="C40" s="1616"/>
      <c r="D40" s="1616"/>
      <c r="E40" s="1616"/>
      <c r="F40" s="1616" t="s">
        <v>101</v>
      </c>
      <c r="G40" s="1616" t="s">
        <v>101</v>
      </c>
      <c r="H40" s="1616"/>
      <c r="I40" s="1616"/>
      <c r="J40" s="1616"/>
      <c r="K40" s="1616"/>
      <c r="L40" s="1616" t="s">
        <v>101</v>
      </c>
      <c r="M40" s="1616"/>
      <c r="N40" s="1616"/>
      <c r="O40" s="1616"/>
      <c r="P40" s="1616"/>
      <c r="Q40" s="1616"/>
      <c r="R40" s="1616"/>
      <c r="S40" s="1616"/>
      <c r="T40" s="1616" t="s">
        <v>101</v>
      </c>
      <c r="U40" s="1616"/>
      <c r="V40" s="1616"/>
      <c r="W40" s="1616"/>
      <c r="X40" s="1616"/>
      <c r="Y40" s="1616"/>
      <c r="Z40" s="1616"/>
      <c r="AA40" s="1616"/>
      <c r="AB40" s="1616"/>
      <c r="AC40" s="1616"/>
      <c r="AD40" s="1616"/>
      <c r="AE40" s="1616"/>
      <c r="AF40" s="1651" t="s">
        <v>589</v>
      </c>
      <c r="AG40" s="1616"/>
      <c r="AH40" s="1616"/>
      <c r="AI40" s="1616"/>
      <c r="AJ40" s="1616"/>
      <c r="AK40" s="1616"/>
      <c r="AL40" s="1616"/>
      <c r="AM40" s="1616"/>
      <c r="AN40" s="1616"/>
      <c r="AO40" s="1616"/>
      <c r="AP40" s="1616"/>
      <c r="AQ40" s="1616"/>
      <c r="AR40" s="1616"/>
      <c r="AS40" s="1616"/>
      <c r="AT40" s="1616"/>
      <c r="AU40" s="1616"/>
      <c r="AV40" s="1616"/>
      <c r="AW40" s="1616"/>
      <c r="AX40" s="1616"/>
      <c r="AY40" s="1616"/>
      <c r="AZ40" s="1616"/>
      <c r="BA40" s="1616"/>
      <c r="BB40" s="1616"/>
      <c r="BC40" s="1616" t="s">
        <v>101</v>
      </c>
      <c r="BD40" s="1616"/>
      <c r="BE40" s="1616"/>
      <c r="BF40" s="1616"/>
      <c r="BG40" s="1616"/>
      <c r="BH40" s="1616" t="s">
        <v>101</v>
      </c>
      <c r="BI40" s="1616"/>
      <c r="BJ40" s="1616"/>
      <c r="BK40" s="1616"/>
      <c r="BL40" s="1616"/>
      <c r="BM40" s="1616"/>
      <c r="BN40" s="1616"/>
      <c r="BO40" s="1616" t="s">
        <v>101</v>
      </c>
      <c r="BP40" s="1616"/>
      <c r="BQ40" s="1616"/>
      <c r="BR40" s="1616"/>
      <c r="BS40" s="1616"/>
      <c r="BT40" s="1616" t="s">
        <v>101</v>
      </c>
      <c r="BU40" s="1616"/>
      <c r="BV40" s="1616"/>
      <c r="BW40" s="1616"/>
      <c r="BX40" s="1616"/>
      <c r="BY40" s="1616"/>
      <c r="BZ40" s="1616"/>
      <c r="CA40" s="1616"/>
      <c r="CB40" s="1616"/>
      <c r="CC40" s="1616"/>
      <c r="CD40" s="1616"/>
      <c r="CE40" s="1616"/>
      <c r="CF40" s="1616"/>
      <c r="CG40" s="1616"/>
      <c r="CH40" s="1616"/>
      <c r="CI40" s="1616"/>
      <c r="CJ40" s="1616"/>
      <c r="CK40" s="1616" t="s">
        <v>101</v>
      </c>
      <c r="CL40" s="1616" t="s">
        <v>101</v>
      </c>
      <c r="CM40" s="1616" t="s">
        <v>101</v>
      </c>
      <c r="CN40" s="1616"/>
      <c r="CO40" s="1616"/>
      <c r="CP40" s="1616"/>
      <c r="CQ40" s="1616"/>
      <c r="CR40" s="1616"/>
      <c r="CS40" s="1616"/>
      <c r="CT40" s="1616"/>
      <c r="CU40" s="1616"/>
      <c r="CV40" s="1616"/>
      <c r="CW40" s="1616"/>
      <c r="CX40" s="1616"/>
      <c r="CY40" s="1616"/>
      <c r="CZ40" s="1616"/>
      <c r="DA40" s="1616"/>
      <c r="DB40" s="1616"/>
      <c r="DC40" s="1616"/>
      <c r="DD40" s="1616"/>
      <c r="DE40" s="1616"/>
      <c r="DF40" s="1616" t="s">
        <v>101</v>
      </c>
      <c r="DG40" s="1616"/>
      <c r="DH40" s="1616" t="s">
        <v>101</v>
      </c>
      <c r="DI40" s="1616" t="s">
        <v>101</v>
      </c>
      <c r="DJ40" s="1616"/>
      <c r="DK40" s="1616"/>
      <c r="DL40" s="1616"/>
      <c r="DM40" s="1616"/>
      <c r="DN40" s="1616"/>
      <c r="DO40" s="1616"/>
      <c r="DP40" s="1616"/>
      <c r="DQ40" s="1616"/>
      <c r="DR40" s="1651" t="s">
        <v>101</v>
      </c>
      <c r="DS40" s="1616"/>
      <c r="DT40" s="1616"/>
      <c r="DU40" s="1616"/>
      <c r="DV40" s="1616"/>
      <c r="DW40" s="1616"/>
      <c r="DX40" s="1616"/>
      <c r="DY40" s="1616"/>
      <c r="DZ40" s="1616"/>
      <c r="EA40" s="1616"/>
      <c r="EB40" s="1651" t="s">
        <v>101</v>
      </c>
      <c r="EC40" s="1651" t="s">
        <v>101</v>
      </c>
      <c r="ED40" s="1616"/>
      <c r="EE40" s="1616"/>
      <c r="EF40" s="1616"/>
      <c r="EG40" s="1616"/>
      <c r="EH40" s="1616"/>
      <c r="EI40" s="1616"/>
      <c r="EJ40" s="1651" t="s">
        <v>101</v>
      </c>
      <c r="EK40" s="1616"/>
      <c r="EL40" s="1616"/>
      <c r="EM40" s="1616"/>
      <c r="EN40" s="1616"/>
      <c r="EO40" s="1616"/>
      <c r="EP40" s="1616"/>
      <c r="EQ40" s="1616"/>
      <c r="ER40" s="1616"/>
      <c r="ES40" s="1616"/>
      <c r="ET40" s="1616"/>
      <c r="EU40" s="1616"/>
      <c r="EV40" s="1616"/>
      <c r="EW40" s="1651" t="s">
        <v>101</v>
      </c>
      <c r="EX40" s="1616"/>
      <c r="EY40" s="1616"/>
      <c r="EZ40" s="1616"/>
      <c r="FA40" s="1651" t="s">
        <v>101</v>
      </c>
      <c r="FB40" s="1616"/>
      <c r="FC40" s="1616"/>
      <c r="FD40" s="1616"/>
      <c r="FE40" s="1616"/>
      <c r="FF40" s="1616"/>
      <c r="FG40" s="1616"/>
      <c r="FH40" s="1616"/>
      <c r="FI40" s="1616"/>
      <c r="FJ40" s="1616"/>
      <c r="FK40" s="1616"/>
      <c r="FL40" s="1616"/>
      <c r="FM40" s="1616"/>
      <c r="FN40" s="1616"/>
      <c r="FO40" s="1651" t="s">
        <v>101</v>
      </c>
      <c r="FP40" s="1616"/>
      <c r="FQ40" s="1616"/>
      <c r="FR40" s="1616"/>
      <c r="FS40" s="1616"/>
      <c r="FT40" s="1651" t="s">
        <v>101</v>
      </c>
      <c r="FU40" s="1651" t="s">
        <v>101</v>
      </c>
      <c r="FV40" s="1616"/>
      <c r="FW40" s="1616"/>
      <c r="FX40" s="1616"/>
      <c r="FY40" s="1616"/>
      <c r="FZ40" s="1616"/>
      <c r="GA40" s="1616"/>
      <c r="GB40" s="1616"/>
      <c r="GC40" s="1616"/>
      <c r="GD40" s="1616"/>
      <c r="GE40" s="1616"/>
      <c r="GF40" s="1616"/>
      <c r="GG40" s="1616"/>
      <c r="GH40" s="1616"/>
      <c r="GI40" s="1616"/>
      <c r="GJ40" s="1616"/>
      <c r="GK40" s="1616"/>
      <c r="GL40" s="1616"/>
      <c r="GM40" s="1651" t="s">
        <v>101</v>
      </c>
      <c r="GN40" s="1616"/>
      <c r="GO40" s="1616"/>
      <c r="GP40" s="1616"/>
      <c r="GQ40" s="1616"/>
      <c r="GR40" s="1616"/>
      <c r="GS40" s="1616"/>
      <c r="GT40" s="1616"/>
      <c r="GU40" s="1651" t="s">
        <v>101</v>
      </c>
      <c r="GV40" s="1616"/>
      <c r="GW40" s="1669">
        <f>IF(职业列表!$W$27=0,0,_xlfn.IFS(IF(IFERROR(VLOOKUP(A40,职业列表!$J$3:$K$10,1,FALSE),"%^&amp;@%##@^")=A40,1,0)=1,"★",IF(IFERROR(VLOOKUP(A40,职业列表!$J$31:$J$39,1,FALSE),"%^&amp;@%##@^")=A40,1,0)=1,职业列表!$V$25,IF(IFERROR(VLOOKUP(A40,职业列表!$J$43:$J$51,1,FALSE),"%^&amp;@%##@^")=A40,1,0)=1,职业列表!$V$26,IF(IFERROR(VLOOKUP(A40,职业列表!$J$55:$J$63,1,FALSE),"%^&amp;@%##@^")=A40,1,0)=1,职业列表!$V$27,IF(IFERROR(VLOOKUP(A40,职业列表!$J$3:$K$10,1,FALSE),"%^&amp;@%##@^")=A40,1,0)+IF(IFERROR(VLOOKUP(A40,职业列表!$J$31:$J$39,1,FALSE),"%^&amp;@%##@^")=A40,1,0)+IF(IFERROR(VLOOKUP(A40,职业列表!$J$43:$J$51,1,FALSE),"%^&amp;@%##@^")=A40,1,0)+IF(IFERROR(VLOOKUP(A40,职业列表!$J$55:$J$63,1,FALSE),"%^&amp;@%##@^")=A40,1,0)=0,0))</f>
        <v>0</v>
      </c>
      <c r="GX40" s="1616"/>
      <c r="GY40" s="1616"/>
      <c r="GZ40" s="1616"/>
      <c r="HA40" s="1649" t="s">
        <v>101</v>
      </c>
      <c r="HB40" s="1616"/>
      <c r="HC40" s="1616"/>
      <c r="HD40" s="1616"/>
      <c r="HE40" s="1616"/>
      <c r="HF40" s="1616" t="s">
        <v>101</v>
      </c>
      <c r="HG40" s="1616"/>
      <c r="HH40" s="1616"/>
      <c r="HI40" s="1616"/>
      <c r="HJ40" s="1616"/>
      <c r="HK40" s="1616"/>
      <c r="HL40" s="1616"/>
      <c r="HM40" s="1649" t="s">
        <v>101</v>
      </c>
      <c r="HN40" s="1616"/>
      <c r="HO40" s="1616"/>
      <c r="HP40" s="1616" t="s">
        <v>101</v>
      </c>
      <c r="HQ40" s="1616"/>
      <c r="HR40" s="1616" t="s">
        <v>101</v>
      </c>
      <c r="HS40" s="1616"/>
      <c r="HT40" s="1616"/>
      <c r="HU40" s="1616"/>
      <c r="HV40" s="1616"/>
      <c r="HW40" s="1616"/>
      <c r="HX40" s="1616"/>
      <c r="HY40" s="1681"/>
      <c r="HZ40" s="1681"/>
      <c r="IA40" s="1686" t="s">
        <v>101</v>
      </c>
      <c r="IB40" s="1681" t="s">
        <v>101</v>
      </c>
      <c r="IC40" s="1681" t="s">
        <v>101</v>
      </c>
      <c r="ID40" s="1681"/>
      <c r="IE40" s="1681"/>
      <c r="IF40" s="1681"/>
      <c r="IG40" s="1681"/>
      <c r="IH40" s="1681"/>
      <c r="II40" s="1681"/>
      <c r="IJ40" s="1681"/>
      <c r="IK40" s="1681"/>
      <c r="IL40" s="1681"/>
      <c r="IM40" s="1681"/>
      <c r="IN40" s="1681"/>
      <c r="IO40" s="1681"/>
      <c r="IP40" s="1681"/>
      <c r="IQ40" s="1681"/>
      <c r="IR40" s="1681"/>
      <c r="IS40" s="1681"/>
      <c r="IT40" s="1681"/>
      <c r="IU40" s="1681"/>
      <c r="IV40" s="1681"/>
    </row>
    <row r="41" s="1602" customFormat="1" ht="20" customHeight="1" spans="1:256">
      <c r="A41" s="1636" t="s">
        <v>72</v>
      </c>
      <c r="B41" s="1637" t="s">
        <v>101</v>
      </c>
      <c r="C41" s="1637"/>
      <c r="D41" s="1637"/>
      <c r="E41" s="1637"/>
      <c r="F41" s="1637" t="s">
        <v>101</v>
      </c>
      <c r="G41" s="1637"/>
      <c r="H41" s="1637"/>
      <c r="I41" s="1637" t="s">
        <v>101</v>
      </c>
      <c r="J41" s="1637" t="s">
        <v>101</v>
      </c>
      <c r="K41" s="1637" t="s">
        <v>101</v>
      </c>
      <c r="L41" s="1652" t="s">
        <v>589</v>
      </c>
      <c r="M41" s="1637"/>
      <c r="N41" s="1637"/>
      <c r="O41" s="1637"/>
      <c r="P41" s="1637" t="s">
        <v>101</v>
      </c>
      <c r="Q41" s="1637"/>
      <c r="R41" s="1637"/>
      <c r="S41" s="1637" t="s">
        <v>101</v>
      </c>
      <c r="T41" s="1637"/>
      <c r="U41" s="1637"/>
      <c r="V41" s="1637"/>
      <c r="W41" s="1637" t="s">
        <v>101</v>
      </c>
      <c r="X41" s="1637" t="s">
        <v>101</v>
      </c>
      <c r="Y41" s="1637" t="s">
        <v>101</v>
      </c>
      <c r="Z41" s="1637"/>
      <c r="AA41" s="1637"/>
      <c r="AB41" s="1637"/>
      <c r="AC41" s="1637"/>
      <c r="AD41" s="1637"/>
      <c r="AE41" s="1637"/>
      <c r="AF41" s="1637"/>
      <c r="AG41" s="1637"/>
      <c r="AH41" s="1637"/>
      <c r="AI41" s="1637" t="s">
        <v>101</v>
      </c>
      <c r="AJ41" s="1637" t="s">
        <v>101</v>
      </c>
      <c r="AK41" s="1637"/>
      <c r="AL41" s="1637"/>
      <c r="AM41" s="1637"/>
      <c r="AN41" s="1637"/>
      <c r="AO41" s="1652" t="s">
        <v>589</v>
      </c>
      <c r="AP41" s="1637"/>
      <c r="AQ41" s="1637"/>
      <c r="AR41" s="1637"/>
      <c r="AS41" s="1637"/>
      <c r="AT41" s="1637"/>
      <c r="AU41" s="1637"/>
      <c r="AV41" s="1637"/>
      <c r="AW41" s="1637"/>
      <c r="AX41" s="1637"/>
      <c r="AY41" s="1637" t="s">
        <v>101</v>
      </c>
      <c r="AZ41" s="1637"/>
      <c r="BA41" s="1637"/>
      <c r="BB41" s="1637"/>
      <c r="BC41" s="1637"/>
      <c r="BD41" s="1637"/>
      <c r="BE41" s="1637"/>
      <c r="BF41" s="1637" t="s">
        <v>101</v>
      </c>
      <c r="BG41" s="1637"/>
      <c r="BH41" s="1637"/>
      <c r="BI41" s="1637"/>
      <c r="BJ41" s="1637"/>
      <c r="BK41" s="1637"/>
      <c r="BL41" s="1637"/>
      <c r="BM41" s="1637" t="s">
        <v>101</v>
      </c>
      <c r="BN41" s="1637"/>
      <c r="BO41" s="1637" t="s">
        <v>101</v>
      </c>
      <c r="BP41" s="1637" t="s">
        <v>589</v>
      </c>
      <c r="BQ41" s="1637"/>
      <c r="BR41" s="1637"/>
      <c r="BS41" s="1637"/>
      <c r="BT41" s="1637" t="s">
        <v>101</v>
      </c>
      <c r="BU41" s="1637" t="s">
        <v>101</v>
      </c>
      <c r="BV41" s="1637"/>
      <c r="BW41" s="1637"/>
      <c r="BX41" s="1637"/>
      <c r="BY41" s="1637"/>
      <c r="BZ41" s="1637" t="s">
        <v>101</v>
      </c>
      <c r="CA41" s="1637"/>
      <c r="CB41" s="1637"/>
      <c r="CC41" s="1637" t="s">
        <v>101</v>
      </c>
      <c r="CD41" s="1637"/>
      <c r="CE41" s="1637" t="s">
        <v>101</v>
      </c>
      <c r="CF41" s="1637" t="s">
        <v>101</v>
      </c>
      <c r="CG41" s="1637"/>
      <c r="CH41" s="1637"/>
      <c r="CI41" s="1637"/>
      <c r="CJ41" s="1637"/>
      <c r="CK41" s="1637"/>
      <c r="CL41" s="1637"/>
      <c r="CM41" s="1637" t="s">
        <v>101</v>
      </c>
      <c r="CN41" s="1637" t="s">
        <v>101</v>
      </c>
      <c r="CO41" s="1637"/>
      <c r="CP41" s="1637"/>
      <c r="CQ41" s="1637"/>
      <c r="CR41" s="1637" t="s">
        <v>101</v>
      </c>
      <c r="CS41" s="1637" t="s">
        <v>101</v>
      </c>
      <c r="CT41" s="1637"/>
      <c r="CU41" s="1637"/>
      <c r="CV41" s="1637"/>
      <c r="CW41" s="1637" t="s">
        <v>589</v>
      </c>
      <c r="CX41" s="1637" t="s">
        <v>601</v>
      </c>
      <c r="CY41" s="1637"/>
      <c r="CZ41" s="1637"/>
      <c r="DA41" s="1637"/>
      <c r="DB41" s="1637" t="s">
        <v>101</v>
      </c>
      <c r="DC41" s="1637"/>
      <c r="DD41" s="1637"/>
      <c r="DE41" s="1637"/>
      <c r="DF41" s="1637"/>
      <c r="DG41" s="1637"/>
      <c r="DH41" s="1637" t="s">
        <v>589</v>
      </c>
      <c r="DI41" s="1637"/>
      <c r="DJ41" s="1637"/>
      <c r="DK41" s="1637"/>
      <c r="DL41" s="1637"/>
      <c r="DM41" s="1637"/>
      <c r="DN41" s="1637"/>
      <c r="DO41" s="1637"/>
      <c r="DP41" s="1637"/>
      <c r="DQ41" s="1637"/>
      <c r="DR41" s="1652" t="s">
        <v>101</v>
      </c>
      <c r="DS41" s="1652" t="s">
        <v>101</v>
      </c>
      <c r="DT41" s="1652" t="s">
        <v>101</v>
      </c>
      <c r="DU41" s="1652" t="s">
        <v>101</v>
      </c>
      <c r="DV41" s="1652" t="s">
        <v>101</v>
      </c>
      <c r="DW41" s="1637"/>
      <c r="DX41" s="1652" t="s">
        <v>101</v>
      </c>
      <c r="DY41" s="1637"/>
      <c r="DZ41" s="1637"/>
      <c r="EA41" s="1637"/>
      <c r="EB41" s="1652" t="s">
        <v>101</v>
      </c>
      <c r="EC41" s="1652" t="s">
        <v>101</v>
      </c>
      <c r="ED41" s="1637"/>
      <c r="EE41" s="1637"/>
      <c r="EF41" s="1637"/>
      <c r="EG41" s="1637"/>
      <c r="EH41" s="1652" t="s">
        <v>101</v>
      </c>
      <c r="EI41" s="1637"/>
      <c r="EJ41" s="1637"/>
      <c r="EK41" s="1637"/>
      <c r="EL41" s="1637"/>
      <c r="EM41" s="1637"/>
      <c r="EN41" s="1637"/>
      <c r="EO41" s="1637"/>
      <c r="EP41" s="1637"/>
      <c r="EQ41" s="1637"/>
      <c r="ER41" s="1637"/>
      <c r="ES41" s="1637"/>
      <c r="ET41" s="1637"/>
      <c r="EU41" s="1652" t="s">
        <v>101</v>
      </c>
      <c r="EV41" s="1637"/>
      <c r="EW41" s="1637"/>
      <c r="EX41" s="1652" t="s">
        <v>101</v>
      </c>
      <c r="EY41" s="1637"/>
      <c r="EZ41" s="1637"/>
      <c r="FA41" s="1637"/>
      <c r="FB41" s="1637"/>
      <c r="FC41" s="1652" t="s">
        <v>589</v>
      </c>
      <c r="FD41" s="1652" t="s">
        <v>101</v>
      </c>
      <c r="FE41" s="1652" t="s">
        <v>101</v>
      </c>
      <c r="FF41" s="1637"/>
      <c r="FG41" s="1652" t="s">
        <v>101</v>
      </c>
      <c r="FH41" s="1637"/>
      <c r="FI41" s="1652" t="s">
        <v>589</v>
      </c>
      <c r="FJ41" s="1652" t="s">
        <v>101</v>
      </c>
      <c r="FK41" s="1637"/>
      <c r="FL41" s="1637"/>
      <c r="FM41" s="1637"/>
      <c r="FN41" s="1637"/>
      <c r="FO41" s="1637"/>
      <c r="FP41" s="1652" t="s">
        <v>101</v>
      </c>
      <c r="FQ41" s="1652" t="s">
        <v>101</v>
      </c>
      <c r="FR41" s="1637"/>
      <c r="FS41" s="1637"/>
      <c r="FT41" s="1637"/>
      <c r="FU41" s="1637"/>
      <c r="FV41" s="1637"/>
      <c r="FW41" s="1637"/>
      <c r="FX41" s="1652" t="s">
        <v>589</v>
      </c>
      <c r="FY41" s="1637"/>
      <c r="FZ41" s="1637"/>
      <c r="GA41" s="1637"/>
      <c r="GB41" s="1637"/>
      <c r="GC41" s="1637"/>
      <c r="GD41" s="1652" t="s">
        <v>589</v>
      </c>
      <c r="GE41" s="1637"/>
      <c r="GF41" s="1637"/>
      <c r="GG41" s="1637"/>
      <c r="GH41" s="1637"/>
      <c r="GI41" s="1637"/>
      <c r="GJ41" s="1637"/>
      <c r="GK41" s="1637"/>
      <c r="GL41" s="1637"/>
      <c r="GM41" s="1637"/>
      <c r="GN41" s="1637"/>
      <c r="GO41" s="1652" t="s">
        <v>101</v>
      </c>
      <c r="GP41" s="1637"/>
      <c r="GQ41" s="1637"/>
      <c r="GR41" s="1652" t="s">
        <v>101</v>
      </c>
      <c r="GS41" s="1637"/>
      <c r="GT41" s="1652" t="s">
        <v>101</v>
      </c>
      <c r="GU41" s="1637"/>
      <c r="GV41" s="1637"/>
      <c r="GW41" s="1669">
        <f>IF(职业列表!$W$27=0,0,_xlfn.IFS(IF(IFERROR(VLOOKUP(A41,职业列表!$J$3:$K$10,1,FALSE),"%^&amp;@%##@^")=A41,1,0)=1,"★",IF(IFERROR(VLOOKUP(A41,职业列表!$J$31:$J$39,1,FALSE),"%^&amp;@%##@^")=A41,1,0)=1,职业列表!$V$25,IF(IFERROR(VLOOKUP(A41,职业列表!$J$43:$J$51,1,FALSE),"%^&amp;@%##@^")=A41,1,0)=1,职业列表!$V$26,IF(IFERROR(VLOOKUP(A41,职业列表!$J$55:$J$63,1,FALSE),"%^&amp;@%##@^")=A41,1,0)=1,职业列表!$V$27,IF(IFERROR(VLOOKUP(A41,职业列表!$J$3:$K$10,1,FALSE),"%^&amp;@%##@^")=A41,1,0)+IF(IFERROR(VLOOKUP(A41,职业列表!$J$31:$J$39,1,FALSE),"%^&amp;@%##@^")=A41,1,0)+IF(IFERROR(VLOOKUP(A41,职业列表!$J$43:$J$51,1,FALSE),"%^&amp;@%##@^")=A41,1,0)+IF(IFERROR(VLOOKUP(A41,职业列表!$J$55:$J$63,1,FALSE),"%^&amp;@%##@^")=A41,1,0)=0,0))</f>
        <v>0</v>
      </c>
      <c r="GX41" s="1637"/>
      <c r="GY41" s="1637"/>
      <c r="GZ41" s="1637" t="s">
        <v>101</v>
      </c>
      <c r="HA41" s="1637"/>
      <c r="HB41" s="1656" t="s">
        <v>101</v>
      </c>
      <c r="HC41" s="1637" t="s">
        <v>101</v>
      </c>
      <c r="HD41" s="1637"/>
      <c r="HE41" s="1637" t="s">
        <v>101</v>
      </c>
      <c r="HF41" s="1652" t="s">
        <v>101</v>
      </c>
      <c r="HG41" s="1637"/>
      <c r="HH41" s="1637"/>
      <c r="HI41" s="1637"/>
      <c r="HJ41" s="1637"/>
      <c r="HK41" s="1637"/>
      <c r="HL41" s="1637"/>
      <c r="HM41" s="1637" t="s">
        <v>101</v>
      </c>
      <c r="HN41" s="1637" t="s">
        <v>101</v>
      </c>
      <c r="HO41" s="1637"/>
      <c r="HP41" s="1637" t="s">
        <v>101</v>
      </c>
      <c r="HQ41" s="1637" t="s">
        <v>101</v>
      </c>
      <c r="HR41" s="1637"/>
      <c r="HS41" s="1656" t="s">
        <v>101</v>
      </c>
      <c r="HT41" s="1656" t="s">
        <v>101</v>
      </c>
      <c r="HU41" s="1637"/>
      <c r="HV41" s="1637"/>
      <c r="HW41" s="1637"/>
      <c r="HX41" s="1637" t="s">
        <v>101</v>
      </c>
      <c r="HY41" s="1693"/>
      <c r="HZ41" s="1693"/>
      <c r="IA41" s="1693"/>
      <c r="IB41" s="1693"/>
      <c r="IC41" s="1693"/>
      <c r="ID41" s="1693"/>
      <c r="IE41" s="1693"/>
      <c r="IF41" s="1693"/>
      <c r="IG41" s="1693"/>
      <c r="IH41" s="1693"/>
      <c r="II41" s="1693"/>
      <c r="IJ41" s="1693"/>
      <c r="IK41" s="1693"/>
      <c r="IL41" s="1693"/>
      <c r="IM41" s="1693"/>
      <c r="IN41" s="1693"/>
      <c r="IO41" s="1693"/>
      <c r="IP41" s="1693"/>
      <c r="IQ41" s="1693"/>
      <c r="IR41" s="1693"/>
      <c r="IS41" s="1693"/>
      <c r="IT41" s="1693"/>
      <c r="IU41" s="1693"/>
      <c r="IV41" s="1693"/>
    </row>
    <row r="42" s="1602" customFormat="1" ht="20" customHeight="1" spans="1:256">
      <c r="A42" s="1636" t="s">
        <v>76</v>
      </c>
      <c r="B42" s="1637" t="s">
        <v>101</v>
      </c>
      <c r="C42" s="1637"/>
      <c r="D42" s="1637"/>
      <c r="E42" s="1637"/>
      <c r="F42" s="1637"/>
      <c r="G42" s="1637" t="s">
        <v>101</v>
      </c>
      <c r="H42" s="1637" t="s">
        <v>101</v>
      </c>
      <c r="I42" s="1637"/>
      <c r="J42" s="1637"/>
      <c r="K42" s="1637"/>
      <c r="L42" s="1637"/>
      <c r="M42" s="1637"/>
      <c r="N42" s="1637" t="s">
        <v>101</v>
      </c>
      <c r="O42" s="1637"/>
      <c r="P42" s="1637"/>
      <c r="Q42" s="1637" t="s">
        <v>101</v>
      </c>
      <c r="R42" s="1652" t="s">
        <v>589</v>
      </c>
      <c r="S42" s="1637"/>
      <c r="T42" s="1637"/>
      <c r="U42" s="1637"/>
      <c r="V42" s="1637" t="s">
        <v>101</v>
      </c>
      <c r="W42" s="1637" t="s">
        <v>101</v>
      </c>
      <c r="X42" s="1637"/>
      <c r="Y42" s="1637"/>
      <c r="Z42" s="1637"/>
      <c r="AA42" s="1637"/>
      <c r="AB42" s="1637"/>
      <c r="AC42" s="1637"/>
      <c r="AD42" s="1637"/>
      <c r="AE42" s="1637" t="s">
        <v>101</v>
      </c>
      <c r="AF42" s="1637" t="s">
        <v>101</v>
      </c>
      <c r="AG42" s="1637"/>
      <c r="AH42" s="1637" t="s">
        <v>101</v>
      </c>
      <c r="AI42" s="1637"/>
      <c r="AJ42" s="1637"/>
      <c r="AK42" s="1637" t="s">
        <v>101</v>
      </c>
      <c r="AL42" s="1637"/>
      <c r="AM42" s="1637"/>
      <c r="AN42" s="1637"/>
      <c r="AO42" s="1637"/>
      <c r="AP42" s="1637"/>
      <c r="AQ42" s="1637"/>
      <c r="AR42" s="1637"/>
      <c r="AS42" s="1637" t="s">
        <v>101</v>
      </c>
      <c r="AT42" s="1637" t="s">
        <v>101</v>
      </c>
      <c r="AU42" s="1637" t="s">
        <v>101</v>
      </c>
      <c r="AV42" s="1637"/>
      <c r="AW42" s="1637"/>
      <c r="AX42" s="1637" t="s">
        <v>101</v>
      </c>
      <c r="AY42" s="1637"/>
      <c r="AZ42" s="1637" t="s">
        <v>101</v>
      </c>
      <c r="BA42" s="1637"/>
      <c r="BB42" s="1637"/>
      <c r="BC42" s="1637"/>
      <c r="BD42" s="1637"/>
      <c r="BE42" s="1637" t="s">
        <v>101</v>
      </c>
      <c r="BF42" s="1637"/>
      <c r="BG42" s="1637" t="s">
        <v>101</v>
      </c>
      <c r="BH42" s="1637" t="s">
        <v>101</v>
      </c>
      <c r="BI42" s="1637"/>
      <c r="BJ42" s="1637"/>
      <c r="BK42" s="1637" t="s">
        <v>101</v>
      </c>
      <c r="BL42" s="1637" t="s">
        <v>101</v>
      </c>
      <c r="BM42" s="1667"/>
      <c r="BN42" s="1637" t="s">
        <v>101</v>
      </c>
      <c r="BO42" s="1637" t="s">
        <v>101</v>
      </c>
      <c r="BP42" s="1637"/>
      <c r="BQ42" s="1637"/>
      <c r="BR42" s="1637"/>
      <c r="BS42" s="1637"/>
      <c r="BT42" s="1637"/>
      <c r="BU42" s="1637"/>
      <c r="BV42" s="1637"/>
      <c r="BW42" s="1637"/>
      <c r="BX42" s="1637"/>
      <c r="BY42" s="1637" t="s">
        <v>101</v>
      </c>
      <c r="BZ42" s="1637"/>
      <c r="CA42" s="1637" t="s">
        <v>101</v>
      </c>
      <c r="CB42" s="1637" t="s">
        <v>101</v>
      </c>
      <c r="CC42" s="1637"/>
      <c r="CD42" s="1637" t="s">
        <v>101</v>
      </c>
      <c r="CE42" s="1637"/>
      <c r="CF42" s="1637"/>
      <c r="CG42" s="1637"/>
      <c r="CH42" s="1637"/>
      <c r="CI42" s="1637"/>
      <c r="CJ42" s="1637" t="s">
        <v>101</v>
      </c>
      <c r="CK42" s="1637" t="s">
        <v>101</v>
      </c>
      <c r="CL42" s="1637"/>
      <c r="CM42" s="1637"/>
      <c r="CN42" s="1637"/>
      <c r="CO42" s="1637"/>
      <c r="CP42" s="1637"/>
      <c r="CQ42" s="1637" t="s">
        <v>101</v>
      </c>
      <c r="CR42" s="1637" t="s">
        <v>101</v>
      </c>
      <c r="CS42" s="1637"/>
      <c r="CT42" s="1637"/>
      <c r="CU42" s="1637"/>
      <c r="CV42" s="1637" t="s">
        <v>101</v>
      </c>
      <c r="CW42" s="1637"/>
      <c r="CX42" s="1637"/>
      <c r="CY42" s="1637" t="s">
        <v>101</v>
      </c>
      <c r="CZ42" s="1637"/>
      <c r="DA42" s="1637" t="s">
        <v>101</v>
      </c>
      <c r="DB42" s="1637" t="s">
        <v>101</v>
      </c>
      <c r="DC42" s="1637"/>
      <c r="DD42" s="1637" t="s">
        <v>101</v>
      </c>
      <c r="DE42" s="1637"/>
      <c r="DF42" s="1637" t="s">
        <v>101</v>
      </c>
      <c r="DG42" s="1637" t="s">
        <v>101</v>
      </c>
      <c r="DH42" s="1637" t="s">
        <v>101</v>
      </c>
      <c r="DI42" s="1637"/>
      <c r="DJ42" s="1637"/>
      <c r="DK42" s="1637"/>
      <c r="DL42" s="1652" t="s">
        <v>101</v>
      </c>
      <c r="DM42" s="1637"/>
      <c r="DN42" s="1637"/>
      <c r="DO42" s="1637"/>
      <c r="DP42" s="1637"/>
      <c r="DQ42" s="1637"/>
      <c r="DR42" s="1637"/>
      <c r="DS42" s="1637"/>
      <c r="DT42" s="1652" t="s">
        <v>101</v>
      </c>
      <c r="DU42" s="1637"/>
      <c r="DV42" s="1637"/>
      <c r="DW42" s="1637"/>
      <c r="DX42" s="1652" t="s">
        <v>101</v>
      </c>
      <c r="DY42" s="1637"/>
      <c r="DZ42" s="1637"/>
      <c r="EA42" s="1652" t="s">
        <v>101</v>
      </c>
      <c r="EB42" s="1652" t="s">
        <v>101</v>
      </c>
      <c r="EC42" s="1637"/>
      <c r="ED42" s="1637"/>
      <c r="EE42" s="1637"/>
      <c r="EF42" s="1637"/>
      <c r="EG42" s="1637"/>
      <c r="EH42" s="1637"/>
      <c r="EI42" s="1637"/>
      <c r="EJ42" s="1637"/>
      <c r="EK42" s="1637"/>
      <c r="EL42" s="1637"/>
      <c r="EM42" s="1652" t="s">
        <v>101</v>
      </c>
      <c r="EN42" s="1637"/>
      <c r="EO42" s="1637"/>
      <c r="EP42" s="1652" t="s">
        <v>101</v>
      </c>
      <c r="EQ42" s="1652" t="s">
        <v>101</v>
      </c>
      <c r="ER42" s="1637"/>
      <c r="ES42" s="1637"/>
      <c r="ET42" s="1637"/>
      <c r="EU42" s="1637"/>
      <c r="EV42" s="1652" t="s">
        <v>101</v>
      </c>
      <c r="EW42" s="1637"/>
      <c r="EX42" s="1637"/>
      <c r="EY42" s="1637"/>
      <c r="EZ42" s="1637"/>
      <c r="FA42" s="1637"/>
      <c r="FB42" s="1637"/>
      <c r="FC42" s="1652" t="s">
        <v>101</v>
      </c>
      <c r="FD42" s="1637"/>
      <c r="FE42" s="1637"/>
      <c r="FF42" s="1637"/>
      <c r="FG42" s="1637"/>
      <c r="FH42" s="1652" t="s">
        <v>101</v>
      </c>
      <c r="FI42" s="1637"/>
      <c r="FJ42" s="1637"/>
      <c r="FK42" s="1652" t="s">
        <v>101</v>
      </c>
      <c r="FL42" s="1652" t="s">
        <v>101</v>
      </c>
      <c r="FM42" s="1637"/>
      <c r="FN42" s="1637"/>
      <c r="FO42" s="1637"/>
      <c r="FP42" s="1652" t="s">
        <v>101</v>
      </c>
      <c r="FQ42" s="1637"/>
      <c r="FR42" s="1652" t="s">
        <v>101</v>
      </c>
      <c r="FS42" s="1637"/>
      <c r="FT42" s="1637"/>
      <c r="FU42" s="1637"/>
      <c r="FV42" s="1652" t="s">
        <v>101</v>
      </c>
      <c r="FW42" s="1652" t="s">
        <v>101</v>
      </c>
      <c r="FX42" s="1637"/>
      <c r="FY42" s="1637"/>
      <c r="FZ42" s="1637"/>
      <c r="GA42" s="1637"/>
      <c r="GB42" s="1637"/>
      <c r="GC42" s="1637"/>
      <c r="GD42" s="1637"/>
      <c r="GE42" s="1652" t="s">
        <v>101</v>
      </c>
      <c r="GF42" s="1652" t="s">
        <v>101</v>
      </c>
      <c r="GG42" s="1652" t="s">
        <v>101</v>
      </c>
      <c r="GH42" s="1637"/>
      <c r="GI42" s="1637"/>
      <c r="GJ42" s="1637"/>
      <c r="GK42" s="1637"/>
      <c r="GL42" s="1652" t="s">
        <v>101</v>
      </c>
      <c r="GM42" s="1652" t="s">
        <v>101</v>
      </c>
      <c r="GN42" s="1637"/>
      <c r="GO42" s="1637"/>
      <c r="GP42" s="1637"/>
      <c r="GQ42" s="1637"/>
      <c r="GR42" s="1637"/>
      <c r="GS42" s="1637"/>
      <c r="GT42" s="1652" t="s">
        <v>101</v>
      </c>
      <c r="GU42" s="1637"/>
      <c r="GV42" s="1652" t="s">
        <v>101</v>
      </c>
      <c r="GW42" s="1669">
        <f>IF(职业列表!$W$27=0,0,_xlfn.IFS(IF(IFERROR(VLOOKUP(A42,职业列表!$J$3:$K$10,1,FALSE),"%^&amp;@%##@^")=A42,1,0)=1,"★",IF(IFERROR(VLOOKUP(A42,职业列表!$J$31:$J$39,1,FALSE),"%^&amp;@%##@^")=A42,1,0)=1,职业列表!$V$25,IF(IFERROR(VLOOKUP(A42,职业列表!$J$43:$J$51,1,FALSE),"%^&amp;@%##@^")=A42,1,0)=1,职业列表!$V$26,IF(IFERROR(VLOOKUP(A42,职业列表!$J$55:$J$63,1,FALSE),"%^&amp;@%##@^")=A42,1,0)=1,职业列表!$V$27,IF(IFERROR(VLOOKUP(A42,职业列表!$J$3:$K$10,1,FALSE),"%^&amp;@%##@^")=A42,1,0)+IF(IFERROR(VLOOKUP(A42,职业列表!$J$31:$J$39,1,FALSE),"%^&amp;@%##@^")=A42,1,0)+IF(IFERROR(VLOOKUP(A42,职业列表!$J$43:$J$51,1,FALSE),"%^&amp;@%##@^")=A42,1,0)+IF(IFERROR(VLOOKUP(A42,职业列表!$J$55:$J$63,1,FALSE),"%^&amp;@%##@^")=A42,1,0)=0,0))</f>
        <v>0</v>
      </c>
      <c r="GX42" s="1637"/>
      <c r="GY42" s="1637"/>
      <c r="GZ42" s="1637"/>
      <c r="HA42" s="1637"/>
      <c r="HB42" s="1637"/>
      <c r="HC42" s="1637"/>
      <c r="HD42" s="1656" t="s">
        <v>101</v>
      </c>
      <c r="HE42" s="1637"/>
      <c r="HF42" s="1637" t="s">
        <v>101</v>
      </c>
      <c r="HG42" s="1637"/>
      <c r="HH42" s="1637"/>
      <c r="HI42" s="1637"/>
      <c r="HJ42" s="1637" t="s">
        <v>101</v>
      </c>
      <c r="HK42" s="1637"/>
      <c r="HL42" s="1652"/>
      <c r="HM42" s="1637" t="s">
        <v>101</v>
      </c>
      <c r="HN42" s="1656" t="s">
        <v>101</v>
      </c>
      <c r="HO42" s="1637"/>
      <c r="HP42" s="1637" t="s">
        <v>101</v>
      </c>
      <c r="HQ42" s="1637"/>
      <c r="HR42" s="1637" t="s">
        <v>101</v>
      </c>
      <c r="HS42" s="1637"/>
      <c r="HT42" s="1637"/>
      <c r="HU42" s="1637" t="s">
        <v>101</v>
      </c>
      <c r="HV42" s="1656" t="s">
        <v>101</v>
      </c>
      <c r="HW42" s="1656" t="s">
        <v>101</v>
      </c>
      <c r="HX42" s="1637" t="s">
        <v>101</v>
      </c>
      <c r="HY42" s="1693" t="s">
        <v>101</v>
      </c>
      <c r="HZ42" s="1693" t="s">
        <v>101</v>
      </c>
      <c r="IA42" s="1694" t="s">
        <v>101</v>
      </c>
      <c r="IB42" s="1693" t="s">
        <v>101</v>
      </c>
      <c r="IC42" s="1693" t="s">
        <v>101</v>
      </c>
      <c r="ID42" s="1693"/>
      <c r="IE42" s="1693"/>
      <c r="IF42" s="1693"/>
      <c r="IG42" s="1693"/>
      <c r="IH42" s="1693"/>
      <c r="II42" s="1693"/>
      <c r="IJ42" s="1693"/>
      <c r="IK42" s="1693"/>
      <c r="IL42" s="1693"/>
      <c r="IM42" s="1693"/>
      <c r="IN42" s="1693"/>
      <c r="IO42" s="1693"/>
      <c r="IP42" s="1693"/>
      <c r="IQ42" s="1693"/>
      <c r="IR42" s="1693"/>
      <c r="IS42" s="1693"/>
      <c r="IT42" s="1693"/>
      <c r="IU42" s="1693"/>
      <c r="IV42" s="1693"/>
    </row>
    <row r="43" ht="20" customHeight="1" spans="1:256">
      <c r="A43" s="1615" t="s">
        <v>79</v>
      </c>
      <c r="B43" s="1616"/>
      <c r="C43" s="1616"/>
      <c r="D43" s="1616"/>
      <c r="E43" s="1616"/>
      <c r="F43" s="1616"/>
      <c r="G43" s="1616"/>
      <c r="H43" s="1616"/>
      <c r="I43" s="1616"/>
      <c r="J43" s="1616"/>
      <c r="K43" s="1616"/>
      <c r="L43" s="1616"/>
      <c r="M43" s="1616"/>
      <c r="N43" s="1616"/>
      <c r="O43" s="1616"/>
      <c r="P43" s="1616"/>
      <c r="Q43" s="1616"/>
      <c r="R43" s="1616"/>
      <c r="S43" s="1616"/>
      <c r="T43" s="1616"/>
      <c r="U43" s="1616"/>
      <c r="V43" s="1616"/>
      <c r="W43" s="1616"/>
      <c r="X43" s="1616"/>
      <c r="Y43" s="1616"/>
      <c r="Z43" s="1616"/>
      <c r="AA43" s="1616"/>
      <c r="AB43" s="1616" t="s">
        <v>101</v>
      </c>
      <c r="AC43" s="1616" t="s">
        <v>101</v>
      </c>
      <c r="AD43" s="1616"/>
      <c r="AE43" s="1616" t="s">
        <v>101</v>
      </c>
      <c r="AF43" s="1616"/>
      <c r="AG43" s="1616" t="s">
        <v>593</v>
      </c>
      <c r="AH43" s="1616"/>
      <c r="AI43" s="1616"/>
      <c r="AJ43" s="1616"/>
      <c r="AK43" s="1616"/>
      <c r="AL43" s="1616"/>
      <c r="AM43" s="1616"/>
      <c r="AN43" s="1616"/>
      <c r="AO43" s="1616"/>
      <c r="AP43" s="1616"/>
      <c r="AQ43" s="1616"/>
      <c r="AR43" s="1616"/>
      <c r="AS43" s="1616"/>
      <c r="AT43" s="1616"/>
      <c r="AU43" s="1616"/>
      <c r="AV43" s="1616"/>
      <c r="AW43" s="1616"/>
      <c r="AX43" s="1616"/>
      <c r="AY43" s="1616"/>
      <c r="AZ43" s="1616"/>
      <c r="BA43" s="1616"/>
      <c r="BB43" s="1616"/>
      <c r="BC43" s="1616"/>
      <c r="BD43" s="1616"/>
      <c r="BE43" s="1616"/>
      <c r="BF43" s="1616"/>
      <c r="BG43" s="1616"/>
      <c r="BH43" s="1616"/>
      <c r="BI43" s="1616"/>
      <c r="BJ43" s="1616"/>
      <c r="BK43" s="1616" t="s">
        <v>589</v>
      </c>
      <c r="BL43" s="1616"/>
      <c r="BM43" s="1616"/>
      <c r="BN43" s="1616"/>
      <c r="BO43" s="1616"/>
      <c r="BP43" s="1616"/>
      <c r="BQ43" s="1616"/>
      <c r="BR43" s="1616"/>
      <c r="BS43" s="1616"/>
      <c r="BT43" s="1616"/>
      <c r="BU43" s="1616"/>
      <c r="BV43" s="1616"/>
      <c r="BW43" s="1616"/>
      <c r="BX43" s="1616"/>
      <c r="BY43" s="1616"/>
      <c r="BZ43" s="1616"/>
      <c r="CA43" s="1616"/>
      <c r="CB43" s="1616"/>
      <c r="CC43" s="1616"/>
      <c r="CD43" s="1616"/>
      <c r="CE43" s="1616"/>
      <c r="CF43" s="1616"/>
      <c r="CG43" s="1616"/>
      <c r="CH43" s="1616"/>
      <c r="CI43" s="1616"/>
      <c r="CJ43" s="1616"/>
      <c r="CK43" s="1616"/>
      <c r="CL43" s="1616"/>
      <c r="CM43" s="1616"/>
      <c r="CN43" s="1616"/>
      <c r="CO43" s="1616"/>
      <c r="CP43" s="1616"/>
      <c r="CQ43" s="1616"/>
      <c r="CR43" s="1616"/>
      <c r="CS43" s="1616"/>
      <c r="CT43" s="1616"/>
      <c r="CU43" s="1616"/>
      <c r="CV43" s="1616"/>
      <c r="CW43" s="1616"/>
      <c r="CX43" s="1616"/>
      <c r="CY43" s="1616"/>
      <c r="CZ43" s="1616"/>
      <c r="DA43" s="1616"/>
      <c r="DB43" s="1616"/>
      <c r="DC43" s="1616"/>
      <c r="DD43" s="1616"/>
      <c r="DE43" s="1616"/>
      <c r="DF43" s="1616"/>
      <c r="DG43" s="1616"/>
      <c r="DH43" s="1616"/>
      <c r="DI43" s="1616"/>
      <c r="DJ43" s="1616"/>
      <c r="DK43" s="1616"/>
      <c r="DL43" s="1616"/>
      <c r="DM43" s="1616"/>
      <c r="DN43" s="1616"/>
      <c r="DO43" s="1616"/>
      <c r="DP43" s="1616"/>
      <c r="DQ43" s="1616"/>
      <c r="DR43" s="1616"/>
      <c r="DS43" s="1616"/>
      <c r="DT43" s="1616"/>
      <c r="DU43" s="1616"/>
      <c r="DV43" s="1616"/>
      <c r="DW43" s="1616"/>
      <c r="DX43" s="1616"/>
      <c r="DY43" s="1616"/>
      <c r="DZ43" s="1616"/>
      <c r="EA43" s="1616"/>
      <c r="EB43" s="1616"/>
      <c r="EC43" s="1616"/>
      <c r="ED43" s="1616"/>
      <c r="EE43" s="1616"/>
      <c r="EF43" s="1616"/>
      <c r="EG43" s="1616"/>
      <c r="EH43" s="1616"/>
      <c r="EI43" s="1616"/>
      <c r="EJ43" s="1616"/>
      <c r="EK43" s="1616"/>
      <c r="EL43" s="1616"/>
      <c r="EM43" s="1616"/>
      <c r="EN43" s="1616"/>
      <c r="EO43" s="1616"/>
      <c r="EP43" s="1616"/>
      <c r="EQ43" s="1616"/>
      <c r="ER43" s="1616"/>
      <c r="ES43" s="1616"/>
      <c r="ET43" s="1616"/>
      <c r="EU43" s="1616"/>
      <c r="EV43" s="1616"/>
      <c r="EW43" s="1616"/>
      <c r="EX43" s="1616"/>
      <c r="EY43" s="1616"/>
      <c r="EZ43" s="1616"/>
      <c r="FA43" s="1616"/>
      <c r="FB43" s="1616"/>
      <c r="FC43" s="1616"/>
      <c r="FD43" s="1616"/>
      <c r="FE43" s="1616"/>
      <c r="FF43" s="1616"/>
      <c r="FG43" s="1616"/>
      <c r="FH43" s="1616"/>
      <c r="FI43" s="1616"/>
      <c r="FJ43" s="1616"/>
      <c r="FK43" s="1616"/>
      <c r="FL43" s="1616"/>
      <c r="FM43" s="1616"/>
      <c r="FN43" s="1616"/>
      <c r="FO43" s="1616"/>
      <c r="FP43" s="1616"/>
      <c r="FQ43" s="1616"/>
      <c r="FR43" s="1616"/>
      <c r="FS43" s="1651" t="s">
        <v>101</v>
      </c>
      <c r="FT43" s="1616"/>
      <c r="FU43" s="1616"/>
      <c r="FV43" s="1616"/>
      <c r="FW43" s="1616"/>
      <c r="FX43" s="1616"/>
      <c r="FY43" s="1616"/>
      <c r="FZ43" s="1616"/>
      <c r="GA43" s="1616"/>
      <c r="GB43" s="1616"/>
      <c r="GC43" s="1616"/>
      <c r="GD43" s="1616"/>
      <c r="GE43" s="1616"/>
      <c r="GF43" s="1616"/>
      <c r="GG43" s="1616"/>
      <c r="GH43" s="1616"/>
      <c r="GI43" s="1616"/>
      <c r="GJ43" s="1616"/>
      <c r="GK43" s="1616"/>
      <c r="GL43" s="1616"/>
      <c r="GM43" s="1616"/>
      <c r="GN43" s="1616"/>
      <c r="GO43" s="1616"/>
      <c r="GP43" s="1616"/>
      <c r="GQ43" s="1616"/>
      <c r="GR43" s="1616"/>
      <c r="GS43" s="1616"/>
      <c r="GT43" s="1616"/>
      <c r="GU43" s="1616"/>
      <c r="GV43" s="1616"/>
      <c r="GW43" s="1669">
        <f>IF(职业列表!$W$27=0,0,_xlfn.IFS(IF(IFERROR(VLOOKUP(A43,职业列表!$J$3:$K$10,1,FALSE),"%^&amp;@%##@^")=A43,1,0)=1,"★",IF(IFERROR(VLOOKUP(A43,职业列表!$J$31:$J$39,1,FALSE),"%^&amp;@%##@^")=A43,1,0)=1,职业列表!$V$25,IF(IFERROR(VLOOKUP(A43,职业列表!$J$43:$J$51,1,FALSE),"%^&amp;@%##@^")=A43,1,0)=1,职业列表!$V$26,IF(IFERROR(VLOOKUP(A43,职业列表!$J$55:$J$63,1,FALSE),"%^&amp;@%##@^")=A43,1,0)=1,职业列表!$V$27,IF(IFERROR(VLOOKUP(A43,职业列表!$J$3:$K$10,1,FALSE),"%^&amp;@%##@^")=A43,1,0)+IF(IFERROR(VLOOKUP(A43,职业列表!$J$31:$J$39,1,FALSE),"%^&amp;@%##@^")=A43,1,0)+IF(IFERROR(VLOOKUP(A43,职业列表!$J$43:$J$51,1,FALSE),"%^&amp;@%##@^")=A43,1,0)+IF(IFERROR(VLOOKUP(A43,职业列表!$J$55:$J$63,1,FALSE),"%^&amp;@%##@^")=A43,1,0)=0,0))</f>
        <v>0</v>
      </c>
      <c r="GX43" s="1616"/>
      <c r="GY43" s="1616" t="s">
        <v>589</v>
      </c>
      <c r="GZ43" s="1616"/>
      <c r="HA43" s="1616"/>
      <c r="HB43" s="1616"/>
      <c r="HC43" s="1616"/>
      <c r="HD43" s="1616"/>
      <c r="HE43" s="1616"/>
      <c r="HF43" s="1616"/>
      <c r="HG43" s="1616"/>
      <c r="HH43" s="1616" t="s">
        <v>101</v>
      </c>
      <c r="HI43" s="1616"/>
      <c r="HJ43" s="1616"/>
      <c r="HK43" s="1616"/>
      <c r="HL43" s="1616"/>
      <c r="HM43" s="1649" t="s">
        <v>101</v>
      </c>
      <c r="HN43" s="1616"/>
      <c r="HO43" s="1616"/>
      <c r="HP43" s="1616"/>
      <c r="HQ43" s="1616"/>
      <c r="HR43" s="1616"/>
      <c r="HS43" s="1616"/>
      <c r="HT43" s="1616"/>
      <c r="HU43" s="1616"/>
      <c r="HV43" s="1616"/>
      <c r="HW43" s="1616"/>
      <c r="HX43" s="1616" t="s">
        <v>101</v>
      </c>
      <c r="HY43" s="1681"/>
      <c r="HZ43" s="1681"/>
      <c r="IA43" s="1681"/>
      <c r="IB43" s="1681" t="s">
        <v>101</v>
      </c>
      <c r="IC43" s="1681"/>
      <c r="ID43" s="1681"/>
      <c r="IE43" s="1681"/>
      <c r="IF43" s="1681"/>
      <c r="IG43" s="1681"/>
      <c r="IH43" s="1681"/>
      <c r="II43" s="1681"/>
      <c r="IJ43" s="1681"/>
      <c r="IK43" s="1681"/>
      <c r="IL43" s="1681"/>
      <c r="IM43" s="1681"/>
      <c r="IN43" s="1681"/>
      <c r="IO43" s="1681"/>
      <c r="IP43" s="1681"/>
      <c r="IQ43" s="1681"/>
      <c r="IR43" s="1681"/>
      <c r="IS43" s="1681"/>
      <c r="IT43" s="1681"/>
      <c r="IU43" s="1681"/>
      <c r="IV43" s="1681"/>
    </row>
    <row r="44" ht="20" customHeight="1" spans="1:256">
      <c r="A44" s="1615" t="s">
        <v>81</v>
      </c>
      <c r="B44" s="1616"/>
      <c r="C44" s="1616"/>
      <c r="D44" s="1616"/>
      <c r="E44" s="1616"/>
      <c r="F44" s="1616"/>
      <c r="G44" s="1616"/>
      <c r="H44" s="1616"/>
      <c r="I44" s="1616"/>
      <c r="J44" s="1616"/>
      <c r="K44" s="1616" t="s">
        <v>101</v>
      </c>
      <c r="L44" s="1616"/>
      <c r="M44" s="1616"/>
      <c r="N44" s="1616"/>
      <c r="O44" s="1616"/>
      <c r="P44" s="1616"/>
      <c r="Q44" s="1616"/>
      <c r="R44" s="1616"/>
      <c r="S44" s="1616"/>
      <c r="T44" s="1616"/>
      <c r="U44" s="1616"/>
      <c r="V44" s="1616"/>
      <c r="W44" s="1616"/>
      <c r="X44" s="1616"/>
      <c r="Y44" s="1616"/>
      <c r="Z44" s="1616"/>
      <c r="AA44" s="1616" t="s">
        <v>101</v>
      </c>
      <c r="AB44" s="1616" t="s">
        <v>101</v>
      </c>
      <c r="AC44" s="1651" t="s">
        <v>589</v>
      </c>
      <c r="AD44" s="1616"/>
      <c r="AE44" s="1651" t="s">
        <v>589</v>
      </c>
      <c r="AF44" s="1616"/>
      <c r="AG44" s="1658" t="s">
        <v>593</v>
      </c>
      <c r="AH44" s="1616"/>
      <c r="AI44" s="1616"/>
      <c r="AJ44" s="1616"/>
      <c r="AK44" s="1616"/>
      <c r="AL44" s="1616"/>
      <c r="AM44" s="1616"/>
      <c r="AN44" s="1616"/>
      <c r="AO44" s="1616" t="s">
        <v>101</v>
      </c>
      <c r="AP44" s="1616"/>
      <c r="AQ44" s="1616" t="s">
        <v>101</v>
      </c>
      <c r="AR44" s="1616"/>
      <c r="AS44" s="1616"/>
      <c r="AT44" s="1616" t="s">
        <v>101</v>
      </c>
      <c r="AU44" s="1616" t="s">
        <v>101</v>
      </c>
      <c r="AV44" s="1616" t="s">
        <v>101</v>
      </c>
      <c r="AW44" s="1616"/>
      <c r="AX44" s="1616"/>
      <c r="AY44" s="1616" t="s">
        <v>101</v>
      </c>
      <c r="AZ44" s="1616"/>
      <c r="BA44" s="1616"/>
      <c r="BB44" s="1616" t="s">
        <v>101</v>
      </c>
      <c r="BC44" s="1616"/>
      <c r="BD44" s="1616" t="s">
        <v>101</v>
      </c>
      <c r="BE44" s="1616"/>
      <c r="BF44" s="1616"/>
      <c r="BG44" s="1616"/>
      <c r="BH44" s="1616"/>
      <c r="BI44" s="1616"/>
      <c r="BJ44" s="1616"/>
      <c r="BK44" s="1616"/>
      <c r="BL44" s="1616" t="s">
        <v>101</v>
      </c>
      <c r="BM44" s="1616"/>
      <c r="BN44" s="1616"/>
      <c r="BO44" s="1616"/>
      <c r="BP44" s="1616"/>
      <c r="BQ44" s="1616" t="s">
        <v>101</v>
      </c>
      <c r="BR44" s="1616" t="s">
        <v>101</v>
      </c>
      <c r="BS44" s="1616" t="s">
        <v>101</v>
      </c>
      <c r="BT44" s="1616"/>
      <c r="BU44" s="1616"/>
      <c r="BV44" s="1616" t="s">
        <v>101</v>
      </c>
      <c r="BW44" s="1616"/>
      <c r="BX44" s="1616" t="s">
        <v>101</v>
      </c>
      <c r="BY44" s="1616"/>
      <c r="BZ44" s="1616"/>
      <c r="CA44" s="1616"/>
      <c r="CB44" s="1616"/>
      <c r="CC44" s="1616"/>
      <c r="CD44" s="1616"/>
      <c r="CE44" s="1616"/>
      <c r="CF44" s="1616"/>
      <c r="CG44" s="1616"/>
      <c r="CH44" s="1616"/>
      <c r="CI44" s="1616" t="s">
        <v>101</v>
      </c>
      <c r="CJ44" s="1616" t="s">
        <v>101</v>
      </c>
      <c r="CK44" s="1616"/>
      <c r="CL44" s="1616"/>
      <c r="CM44" s="1616"/>
      <c r="CN44" s="1616"/>
      <c r="CO44" s="1616" t="s">
        <v>101</v>
      </c>
      <c r="CP44" s="1616"/>
      <c r="CQ44" s="1616"/>
      <c r="CR44" s="1616"/>
      <c r="CS44" s="1616"/>
      <c r="CT44" s="1616" t="s">
        <v>589</v>
      </c>
      <c r="CU44" s="1616" t="s">
        <v>101</v>
      </c>
      <c r="CV44" s="1616"/>
      <c r="CW44" s="1616"/>
      <c r="CX44" s="1616"/>
      <c r="CY44" s="1616" t="s">
        <v>101</v>
      </c>
      <c r="CZ44" s="1649" t="s">
        <v>593</v>
      </c>
      <c r="DA44" s="1616"/>
      <c r="DB44" s="1616"/>
      <c r="DC44" s="1616" t="s">
        <v>589</v>
      </c>
      <c r="DD44" s="1616"/>
      <c r="DE44" s="1616"/>
      <c r="DF44" s="1616"/>
      <c r="DG44" s="1616"/>
      <c r="DH44" s="1616"/>
      <c r="DI44" s="1616"/>
      <c r="DJ44" s="1616"/>
      <c r="DK44" s="1616"/>
      <c r="DL44" s="1616"/>
      <c r="DM44" s="1616"/>
      <c r="DN44" s="1616"/>
      <c r="DO44" s="1616"/>
      <c r="DP44" s="1616"/>
      <c r="DQ44" s="1616"/>
      <c r="DR44" s="1616"/>
      <c r="DS44" s="1616"/>
      <c r="DT44" s="1616"/>
      <c r="DU44" s="1616"/>
      <c r="DV44" s="1616"/>
      <c r="DW44" s="1616"/>
      <c r="DX44" s="1616"/>
      <c r="DY44" s="1616"/>
      <c r="DZ44" s="1616"/>
      <c r="EA44" s="1616"/>
      <c r="EB44" s="1616"/>
      <c r="EC44" s="1616"/>
      <c r="ED44" s="1616"/>
      <c r="EE44" s="1616"/>
      <c r="EF44" s="1616"/>
      <c r="EG44" s="1616" t="s">
        <v>101</v>
      </c>
      <c r="EH44" s="1616"/>
      <c r="EI44" s="1651" t="s">
        <v>101</v>
      </c>
      <c r="EJ44" s="1616"/>
      <c r="EK44" s="1616"/>
      <c r="EL44" s="1651" t="s">
        <v>589</v>
      </c>
      <c r="EM44" s="1616"/>
      <c r="EN44" s="1651" t="s">
        <v>101</v>
      </c>
      <c r="EO44" s="1616"/>
      <c r="EP44" s="1616"/>
      <c r="EQ44" s="1616"/>
      <c r="ER44" s="1616"/>
      <c r="ES44" s="1616"/>
      <c r="ET44" s="1616"/>
      <c r="EU44" s="1616"/>
      <c r="EV44" s="1616"/>
      <c r="EW44" s="1616"/>
      <c r="EX44" s="1651" t="s">
        <v>101</v>
      </c>
      <c r="EY44" s="1616"/>
      <c r="EZ44" s="1651" t="s">
        <v>589</v>
      </c>
      <c r="FA44" s="1616"/>
      <c r="FB44" s="1651" t="s">
        <v>101</v>
      </c>
      <c r="FC44" s="1616"/>
      <c r="FD44" s="1616"/>
      <c r="FE44" s="1616"/>
      <c r="FF44" s="1616"/>
      <c r="FG44" s="1616"/>
      <c r="FH44" s="1616"/>
      <c r="FI44" s="1616"/>
      <c r="FJ44" s="1616"/>
      <c r="FK44" s="1616"/>
      <c r="FL44" s="1616"/>
      <c r="FM44" s="1616"/>
      <c r="FN44" s="1651" t="s">
        <v>101</v>
      </c>
      <c r="FO44" s="1616"/>
      <c r="FP44" s="1616"/>
      <c r="FQ44" s="1616"/>
      <c r="FR44" s="1616"/>
      <c r="FS44" s="1651" t="s">
        <v>101</v>
      </c>
      <c r="FT44" s="1616"/>
      <c r="FU44" s="1616"/>
      <c r="FV44" s="1616"/>
      <c r="FW44" s="1616"/>
      <c r="FX44" s="1616"/>
      <c r="FY44" s="1651" t="s">
        <v>101</v>
      </c>
      <c r="FZ44" s="1651" t="s">
        <v>101</v>
      </c>
      <c r="GA44" s="1651" t="s">
        <v>593</v>
      </c>
      <c r="GB44" s="1651" t="s">
        <v>593</v>
      </c>
      <c r="GC44" s="1616"/>
      <c r="GD44" s="1616"/>
      <c r="GE44" s="1616"/>
      <c r="GF44" s="1616"/>
      <c r="GG44" s="1616"/>
      <c r="GH44" s="1616"/>
      <c r="GI44" s="1616"/>
      <c r="GJ44" s="1616"/>
      <c r="GK44" s="1616"/>
      <c r="GL44" s="1616"/>
      <c r="GM44" s="1616"/>
      <c r="GN44" s="1651" t="s">
        <v>101</v>
      </c>
      <c r="GO44" s="1616"/>
      <c r="GP44" s="1651" t="s">
        <v>101</v>
      </c>
      <c r="GQ44" s="1616"/>
      <c r="GR44" s="1616"/>
      <c r="GS44" s="1651" t="s">
        <v>593</v>
      </c>
      <c r="GT44" s="1616"/>
      <c r="GU44" s="1616"/>
      <c r="GV44" s="1616"/>
      <c r="GW44" s="1669">
        <f>IF(职业列表!$W$27=0,0,_xlfn.IFS(IF(IFERROR(VLOOKUP(A44,职业列表!$J$3:$K$10,1,FALSE),"%^&amp;@%##@^")=A44,1,0)=1,"★",IF(IFERROR(VLOOKUP(A44,职业列表!$J$31:$J$39,1,FALSE),"%^&amp;@%##@^")=A44,1,0)=1,职业列表!$V$25,IF(IFERROR(VLOOKUP(A44,职业列表!$J$43:$J$51,1,FALSE),"%^&amp;@%##@^")=A44,1,0)=1,职业列表!$V$26,IF(IFERROR(VLOOKUP(A44,职业列表!$J$55:$J$63,1,FALSE),"%^&amp;@%##@^")=A44,1,0)=1,职业列表!$V$27,IF(IFERROR(VLOOKUP(A44,职业列表!$J$3:$K$10,1,FALSE),"%^&amp;@%##@^")=A44,1,0)+IF(IFERROR(VLOOKUP(A44,职业列表!$J$31:$J$39,1,FALSE),"%^&amp;@%##@^")=A44,1,0)+IF(IFERROR(VLOOKUP(A44,职业列表!$J$43:$J$51,1,FALSE),"%^&amp;@%##@^")=A44,1,0)+IF(IFERROR(VLOOKUP(A44,职业列表!$J$55:$J$63,1,FALSE),"%^&amp;@%##@^")=A44,1,0)=0,0))</f>
        <v>0</v>
      </c>
      <c r="GX44" s="1616"/>
      <c r="GY44" s="1616"/>
      <c r="GZ44" s="1616"/>
      <c r="HA44" s="1616"/>
      <c r="HB44" s="1616"/>
      <c r="HC44" s="1616"/>
      <c r="HD44" s="1616" t="s">
        <v>101</v>
      </c>
      <c r="HE44" s="1616"/>
      <c r="HF44" s="1616"/>
      <c r="HG44" s="1649" t="s">
        <v>101</v>
      </c>
      <c r="HH44" s="1616"/>
      <c r="HI44" s="1616"/>
      <c r="HJ44" s="1616"/>
      <c r="HK44" s="1616"/>
      <c r="HL44" s="1616"/>
      <c r="HM44" s="1616"/>
      <c r="HN44" s="1616"/>
      <c r="HO44" s="1616" t="s">
        <v>101</v>
      </c>
      <c r="HP44" s="1616"/>
      <c r="HQ44" s="1616"/>
      <c r="HR44" s="1616"/>
      <c r="HS44" s="1616"/>
      <c r="HT44" s="1616" t="s">
        <v>101</v>
      </c>
      <c r="HU44" s="1616"/>
      <c r="HV44" s="1616"/>
      <c r="HW44" s="1651" t="s">
        <v>101</v>
      </c>
      <c r="HX44" s="1616"/>
      <c r="HY44" s="1681"/>
      <c r="HZ44" s="1681"/>
      <c r="IA44" s="1681"/>
      <c r="IB44" s="1681"/>
      <c r="IC44" s="1681"/>
      <c r="ID44" s="1681"/>
      <c r="IE44" s="1681"/>
      <c r="IF44" s="1681"/>
      <c r="IG44" s="1681"/>
      <c r="IH44" s="1681"/>
      <c r="II44" s="1681"/>
      <c r="IJ44" s="1681"/>
      <c r="IK44" s="1681"/>
      <c r="IL44" s="1681"/>
      <c r="IM44" s="1681"/>
      <c r="IN44" s="1681"/>
      <c r="IO44" s="1681"/>
      <c r="IP44" s="1681"/>
      <c r="IQ44" s="1681"/>
      <c r="IR44" s="1681"/>
      <c r="IS44" s="1681"/>
      <c r="IT44" s="1681"/>
      <c r="IU44" s="1681"/>
      <c r="IV44" s="1681"/>
    </row>
    <row r="45" ht="20" customHeight="1" spans="1:256">
      <c r="A45" s="1615" t="s">
        <v>83</v>
      </c>
      <c r="B45" s="1616"/>
      <c r="C45" s="1616"/>
      <c r="D45" s="1616"/>
      <c r="E45" s="1616"/>
      <c r="F45" s="1616"/>
      <c r="G45" s="1616" t="s">
        <v>101</v>
      </c>
      <c r="H45" s="1616"/>
      <c r="I45" s="1616"/>
      <c r="J45" s="1616"/>
      <c r="K45" s="1616"/>
      <c r="L45" s="1616"/>
      <c r="M45" s="1616"/>
      <c r="N45" s="1616"/>
      <c r="O45" s="1616"/>
      <c r="P45" s="1616"/>
      <c r="Q45" s="1616"/>
      <c r="R45" s="1616"/>
      <c r="S45" s="1616"/>
      <c r="T45" s="1616"/>
      <c r="U45" s="1616"/>
      <c r="V45" s="1616"/>
      <c r="W45" s="1616"/>
      <c r="X45" s="1616"/>
      <c r="Y45" s="1616"/>
      <c r="Z45" s="1616"/>
      <c r="AA45" s="1616"/>
      <c r="AB45" s="1616"/>
      <c r="AC45" s="1651"/>
      <c r="AD45" s="1616"/>
      <c r="AE45" s="1616"/>
      <c r="AF45" s="1616"/>
      <c r="AG45" s="1616"/>
      <c r="AH45" s="1616"/>
      <c r="AI45" s="1616"/>
      <c r="AJ45" s="1616"/>
      <c r="AK45" s="1616"/>
      <c r="AL45" s="1616"/>
      <c r="AM45" s="1616"/>
      <c r="AN45" s="1616"/>
      <c r="AO45" s="1616"/>
      <c r="AP45" s="1616"/>
      <c r="AQ45" s="1616"/>
      <c r="AR45" s="1616" t="s">
        <v>101</v>
      </c>
      <c r="AS45" s="1616"/>
      <c r="AT45" s="1616"/>
      <c r="AU45" s="1616"/>
      <c r="AV45" s="1616"/>
      <c r="AW45" s="1616"/>
      <c r="AX45" s="1616"/>
      <c r="AY45" s="1616"/>
      <c r="AZ45" s="1616"/>
      <c r="BA45" s="1616"/>
      <c r="BB45" s="1616"/>
      <c r="BC45" s="1616"/>
      <c r="BD45" s="1616"/>
      <c r="BE45" s="1616"/>
      <c r="BF45" s="1616" t="s">
        <v>101</v>
      </c>
      <c r="BG45" s="1616"/>
      <c r="BH45" s="1616"/>
      <c r="BI45" s="1616"/>
      <c r="BJ45" s="1616"/>
      <c r="BK45" s="1616"/>
      <c r="BL45" s="1616"/>
      <c r="BM45" s="1616"/>
      <c r="BN45" s="1616"/>
      <c r="BO45" s="1616"/>
      <c r="BP45" s="1616"/>
      <c r="BQ45" s="1616"/>
      <c r="BR45" s="1616"/>
      <c r="BS45" s="1616"/>
      <c r="BT45" s="1616"/>
      <c r="BU45" s="1616"/>
      <c r="BV45" s="1616"/>
      <c r="BW45" s="1616"/>
      <c r="BX45" s="1616" t="s">
        <v>101</v>
      </c>
      <c r="BY45" s="1616"/>
      <c r="BZ45" s="1616"/>
      <c r="CA45" s="1616"/>
      <c r="CB45" s="1616" t="s">
        <v>101</v>
      </c>
      <c r="CC45" s="1616"/>
      <c r="CD45" s="1616"/>
      <c r="CE45" s="1616"/>
      <c r="CF45" s="1616"/>
      <c r="CG45" s="1616"/>
      <c r="CH45" s="1616"/>
      <c r="CI45" s="1616"/>
      <c r="CJ45" s="1616"/>
      <c r="CK45" s="1616"/>
      <c r="CL45" s="1616"/>
      <c r="CM45" s="1616"/>
      <c r="CN45" s="1616"/>
      <c r="CO45" s="1616"/>
      <c r="CP45" s="1616"/>
      <c r="CQ45" s="1616" t="s">
        <v>101</v>
      </c>
      <c r="CR45" s="1616"/>
      <c r="CS45" s="1616"/>
      <c r="CT45" s="1616"/>
      <c r="CU45" s="1616"/>
      <c r="CV45" s="1616"/>
      <c r="CW45" s="1616"/>
      <c r="CX45" s="1616"/>
      <c r="CY45" s="1616"/>
      <c r="CZ45" s="1616"/>
      <c r="DA45" s="1616"/>
      <c r="DB45" s="1616"/>
      <c r="DC45" s="1616"/>
      <c r="DD45" s="1616"/>
      <c r="DE45" s="1616"/>
      <c r="DF45" s="1616"/>
      <c r="DG45" s="1616"/>
      <c r="DH45" s="1616"/>
      <c r="DI45" s="1616"/>
      <c r="DJ45" s="1616"/>
      <c r="DK45" s="1616" t="s">
        <v>101</v>
      </c>
      <c r="DL45" s="1616"/>
      <c r="DM45" s="1616"/>
      <c r="DN45" s="1616"/>
      <c r="DO45" s="1616"/>
      <c r="DP45" s="1616"/>
      <c r="DQ45" s="1616"/>
      <c r="DR45" s="1616"/>
      <c r="DS45" s="1616"/>
      <c r="DT45" s="1616"/>
      <c r="DU45" s="1616"/>
      <c r="DV45" s="1616"/>
      <c r="DW45" s="1616"/>
      <c r="DX45" s="1616"/>
      <c r="DY45" s="1616"/>
      <c r="DZ45" s="1616"/>
      <c r="EA45" s="1616"/>
      <c r="EB45" s="1616"/>
      <c r="EC45" s="1616"/>
      <c r="ED45" s="1651" t="s">
        <v>101</v>
      </c>
      <c r="EE45" s="1651" t="s">
        <v>101</v>
      </c>
      <c r="EF45" s="1651" t="s">
        <v>101</v>
      </c>
      <c r="EG45" s="1616"/>
      <c r="EH45" s="1616"/>
      <c r="EI45" s="1616"/>
      <c r="EJ45" s="1651" t="s">
        <v>101</v>
      </c>
      <c r="EK45" s="1616"/>
      <c r="EL45" s="1616"/>
      <c r="EM45" s="1616"/>
      <c r="EN45" s="1616"/>
      <c r="EO45" s="1616"/>
      <c r="EP45" s="1616"/>
      <c r="EQ45" s="1616"/>
      <c r="ER45" s="1616"/>
      <c r="ES45" s="1616"/>
      <c r="ET45" s="1616"/>
      <c r="EU45" s="1616"/>
      <c r="EV45" s="1616"/>
      <c r="EW45" s="1616"/>
      <c r="EX45" s="1651" t="s">
        <v>101</v>
      </c>
      <c r="EY45" s="1651" t="s">
        <v>101</v>
      </c>
      <c r="EZ45" s="1616"/>
      <c r="FA45" s="1616"/>
      <c r="FB45" s="1616"/>
      <c r="FC45" s="1616"/>
      <c r="FD45" s="1616"/>
      <c r="FE45" s="1616"/>
      <c r="FF45" s="1616"/>
      <c r="FG45" s="1616"/>
      <c r="FH45" s="1616"/>
      <c r="FI45" s="1616"/>
      <c r="FJ45" s="1651" t="s">
        <v>101</v>
      </c>
      <c r="FK45" s="1616"/>
      <c r="FL45" s="1616"/>
      <c r="FM45" s="1616"/>
      <c r="FN45" s="1616"/>
      <c r="FO45" s="1616"/>
      <c r="FP45" s="1616"/>
      <c r="FQ45" s="1616"/>
      <c r="FR45" s="1616"/>
      <c r="FS45" s="1651" t="s">
        <v>101</v>
      </c>
      <c r="FT45" s="1651" t="s">
        <v>101</v>
      </c>
      <c r="FU45" s="1651" t="s">
        <v>101</v>
      </c>
      <c r="FV45" s="1616"/>
      <c r="FW45" s="1616"/>
      <c r="FX45" s="1616"/>
      <c r="FY45" s="1616"/>
      <c r="FZ45" s="1616"/>
      <c r="GA45" s="1616"/>
      <c r="GB45" s="1616"/>
      <c r="GC45" s="1616"/>
      <c r="GD45" s="1616"/>
      <c r="GE45" s="1616"/>
      <c r="GF45" s="1616"/>
      <c r="GG45" s="1616"/>
      <c r="GH45" s="1616"/>
      <c r="GI45" s="1616"/>
      <c r="GJ45" s="1616"/>
      <c r="GK45" s="1616"/>
      <c r="GL45" s="1616"/>
      <c r="GM45" s="1616"/>
      <c r="GN45" s="1616"/>
      <c r="GO45" s="1616"/>
      <c r="GP45" s="1616"/>
      <c r="GQ45" s="1616"/>
      <c r="GR45" s="1616"/>
      <c r="GS45" s="1616"/>
      <c r="GT45" s="1616"/>
      <c r="GU45" s="1616"/>
      <c r="GV45" s="1616"/>
      <c r="GW45" s="1669">
        <f>IF(职业列表!$W$27=0,0,_xlfn.IFS(IF(IFERROR(VLOOKUP(A45,职业列表!$J$3:$K$10,1,FALSE),"%^&amp;@%##@^")=A45,1,0)=1,"★",IF(IFERROR(VLOOKUP(A45,职业列表!$J$31:$J$39,1,FALSE),"%^&amp;@%##@^")=A45,1,0)=1,职业列表!$V$25,IF(IFERROR(VLOOKUP(A45,职业列表!$J$43:$J$51,1,FALSE),"%^&amp;@%##@^")=A45,1,0)=1,职业列表!$V$26,IF(IFERROR(VLOOKUP(A45,职业列表!$J$55:$J$63,1,FALSE),"%^&amp;@%##@^")=A45,1,0)=1,职业列表!$V$27,IF(IFERROR(VLOOKUP(A45,职业列表!$J$3:$K$10,1,FALSE),"%^&amp;@%##@^")=A45,1,0)+IF(IFERROR(VLOOKUP(A45,职业列表!$J$31:$J$39,1,FALSE),"%^&amp;@%##@^")=A45,1,0)+IF(IFERROR(VLOOKUP(A45,职业列表!$J$43:$J$51,1,FALSE),"%^&amp;@%##@^")=A45,1,0)+IF(IFERROR(VLOOKUP(A45,职业列表!$J$55:$J$63,1,FALSE),"%^&amp;@%##@^")=A45,1,0)=0,0))</f>
        <v>0</v>
      </c>
      <c r="GX45" s="1616"/>
      <c r="GY45" s="1616"/>
      <c r="GZ45" s="1616"/>
      <c r="HA45" s="1616"/>
      <c r="HB45" s="1616"/>
      <c r="HC45" s="1616"/>
      <c r="HD45" s="1616"/>
      <c r="HE45" s="1616"/>
      <c r="HF45" s="1616"/>
      <c r="HG45" s="1616"/>
      <c r="HH45" s="1616"/>
      <c r="HI45" s="1616"/>
      <c r="HJ45" s="1616"/>
      <c r="HK45" s="1616"/>
      <c r="HL45" s="1616"/>
      <c r="HM45" s="1616"/>
      <c r="HN45" s="1616"/>
      <c r="HO45" s="1616"/>
      <c r="HP45" s="1616"/>
      <c r="HQ45" s="1616" t="s">
        <v>101</v>
      </c>
      <c r="HR45" s="1616"/>
      <c r="HS45" s="1616"/>
      <c r="HT45" s="1616"/>
      <c r="HU45" s="1616"/>
      <c r="HV45" s="1616"/>
      <c r="HW45" s="1651"/>
      <c r="HX45" s="1616"/>
      <c r="HY45" s="1681"/>
      <c r="HZ45" s="1681"/>
      <c r="IA45" s="1681"/>
      <c r="IB45" s="1681"/>
      <c r="IC45" s="1681" t="s">
        <v>101</v>
      </c>
      <c r="ID45" s="1681"/>
      <c r="IE45" s="1681"/>
      <c r="IF45" s="1681"/>
      <c r="IG45" s="1681"/>
      <c r="IH45" s="1681"/>
      <c r="II45" s="1681"/>
      <c r="IJ45" s="1681"/>
      <c r="IK45" s="1681"/>
      <c r="IL45" s="1681"/>
      <c r="IM45" s="1681"/>
      <c r="IN45" s="1681"/>
      <c r="IO45" s="1681"/>
      <c r="IP45" s="1681"/>
      <c r="IQ45" s="1681"/>
      <c r="IR45" s="1681"/>
      <c r="IS45" s="1681"/>
      <c r="IT45" s="1681"/>
      <c r="IU45" s="1681"/>
      <c r="IV45" s="1681"/>
    </row>
    <row r="46" ht="20" customHeight="1" spans="1:256">
      <c r="A46" s="1638" t="s">
        <v>85</v>
      </c>
      <c r="B46" s="1616"/>
      <c r="C46" s="1616"/>
      <c r="D46" s="1616"/>
      <c r="E46" s="1616"/>
      <c r="F46" s="1616"/>
      <c r="G46" s="1616"/>
      <c r="H46" s="1616" t="s">
        <v>101</v>
      </c>
      <c r="I46" s="1616"/>
      <c r="J46" s="1616"/>
      <c r="K46" s="1616"/>
      <c r="L46" s="1616"/>
      <c r="M46" s="1651" t="s">
        <v>589</v>
      </c>
      <c r="N46" s="1616"/>
      <c r="O46" s="1616"/>
      <c r="P46" s="1651" t="s">
        <v>589</v>
      </c>
      <c r="Q46" s="1616"/>
      <c r="R46" s="1616" t="s">
        <v>101</v>
      </c>
      <c r="S46" s="1616"/>
      <c r="T46" s="1616"/>
      <c r="U46" s="1616"/>
      <c r="V46" s="1616"/>
      <c r="W46" s="1616"/>
      <c r="X46" s="1616"/>
      <c r="Y46" s="1616"/>
      <c r="Z46" s="1651" t="s">
        <v>589</v>
      </c>
      <c r="AA46" s="1616" t="s">
        <v>101</v>
      </c>
      <c r="AB46" s="1616"/>
      <c r="AC46" s="1616"/>
      <c r="AD46" s="1616"/>
      <c r="AE46" s="1616"/>
      <c r="AF46" s="1616"/>
      <c r="AG46" s="1616"/>
      <c r="AH46" s="1616"/>
      <c r="AI46" s="1616"/>
      <c r="AJ46" s="1616"/>
      <c r="AK46" s="1616"/>
      <c r="AL46" s="1616"/>
      <c r="AM46" s="1616"/>
      <c r="AN46" s="1616"/>
      <c r="AO46" s="1616"/>
      <c r="AP46" s="1616"/>
      <c r="AQ46" s="1616"/>
      <c r="AR46" s="1616"/>
      <c r="AS46" s="1616"/>
      <c r="AT46" s="1616"/>
      <c r="AU46" s="1616"/>
      <c r="AV46" s="1616"/>
      <c r="AW46" s="1616"/>
      <c r="AX46" s="1616"/>
      <c r="AY46" s="1616"/>
      <c r="AZ46" s="1616"/>
      <c r="BA46" s="1616" t="s">
        <v>101</v>
      </c>
      <c r="BB46" s="1616" t="s">
        <v>101</v>
      </c>
      <c r="BC46" s="1616"/>
      <c r="BD46" s="1616"/>
      <c r="BE46" s="1616"/>
      <c r="BF46" s="1616"/>
      <c r="BG46" s="1616"/>
      <c r="BH46" s="1616"/>
      <c r="BI46" s="1616"/>
      <c r="BJ46" s="1616"/>
      <c r="BK46" s="1616"/>
      <c r="BL46" s="1616"/>
      <c r="BM46" s="1616"/>
      <c r="BN46" s="1616"/>
      <c r="BO46" s="1616"/>
      <c r="BP46" s="1616"/>
      <c r="BQ46" s="1621"/>
      <c r="BR46" s="1616" t="s">
        <v>589</v>
      </c>
      <c r="BS46" s="1616"/>
      <c r="BT46" s="1616"/>
      <c r="BU46" s="1616"/>
      <c r="BV46" s="1616"/>
      <c r="BW46" s="1616"/>
      <c r="BX46" s="1616" t="s">
        <v>101</v>
      </c>
      <c r="BY46" s="1616"/>
      <c r="BZ46" s="1616"/>
      <c r="CA46" s="1616"/>
      <c r="CB46" s="1616"/>
      <c r="CC46" s="1616"/>
      <c r="CD46" s="1616" t="s">
        <v>101</v>
      </c>
      <c r="CE46" s="1616"/>
      <c r="CF46" s="1616"/>
      <c r="CG46" s="1616"/>
      <c r="CH46" s="1616"/>
      <c r="CI46" s="1616"/>
      <c r="CJ46" s="1616"/>
      <c r="CK46" s="1616"/>
      <c r="CL46" s="1616"/>
      <c r="CM46" s="1616"/>
      <c r="CN46" s="1616"/>
      <c r="CO46" s="1616"/>
      <c r="CP46" s="1616"/>
      <c r="CQ46" s="1616"/>
      <c r="CR46" s="1616"/>
      <c r="CS46" s="1616"/>
      <c r="CT46" s="1616"/>
      <c r="CU46" s="1616" t="s">
        <v>101</v>
      </c>
      <c r="CV46" s="1616"/>
      <c r="CW46" s="1616"/>
      <c r="CX46" s="1616"/>
      <c r="CY46" s="1616"/>
      <c r="CZ46" s="1616"/>
      <c r="DA46" s="1616"/>
      <c r="DB46" s="1616"/>
      <c r="DC46" s="1616"/>
      <c r="DD46" s="1616" t="s">
        <v>101</v>
      </c>
      <c r="DE46" s="1616"/>
      <c r="DF46" s="1616"/>
      <c r="DG46" s="1616"/>
      <c r="DH46" s="1616"/>
      <c r="DI46" s="1616"/>
      <c r="DJ46" s="1616"/>
      <c r="DK46" s="1616" t="s">
        <v>101</v>
      </c>
      <c r="DL46" s="1616"/>
      <c r="DM46" s="1616"/>
      <c r="DN46" s="1616"/>
      <c r="DO46" s="1616"/>
      <c r="DP46" s="1616"/>
      <c r="DQ46" s="1616"/>
      <c r="DR46" s="1616"/>
      <c r="DS46" s="1616"/>
      <c r="DT46" s="1616"/>
      <c r="DU46" s="1616"/>
      <c r="DV46" s="1616"/>
      <c r="DW46" s="1616"/>
      <c r="DX46" s="1616"/>
      <c r="DY46" s="1616"/>
      <c r="DZ46" s="1616"/>
      <c r="EA46" s="1616"/>
      <c r="EB46" s="1616"/>
      <c r="EC46" s="1616"/>
      <c r="ED46" s="1616"/>
      <c r="EE46" s="1616"/>
      <c r="EF46" s="1616"/>
      <c r="EG46" s="1616"/>
      <c r="EH46" s="1616"/>
      <c r="EI46" s="1616"/>
      <c r="EJ46" s="1616"/>
      <c r="EK46" s="1616"/>
      <c r="EL46" s="1616"/>
      <c r="EM46" s="1616"/>
      <c r="EN46" s="1616"/>
      <c r="EO46" s="1616"/>
      <c r="EP46" s="1616"/>
      <c r="EQ46" s="1616"/>
      <c r="ER46" s="1616"/>
      <c r="ES46" s="1616"/>
      <c r="ET46" s="1616"/>
      <c r="EU46" s="1651" t="s">
        <v>101</v>
      </c>
      <c r="EV46" s="1616"/>
      <c r="EW46" s="1616"/>
      <c r="EX46" s="1616"/>
      <c r="EY46" s="1616"/>
      <c r="EZ46" s="1616"/>
      <c r="FA46" s="1616"/>
      <c r="FB46" s="1616"/>
      <c r="FC46" s="1616"/>
      <c r="FD46" s="1616"/>
      <c r="FE46" s="1616"/>
      <c r="FF46" s="1651" t="s">
        <v>101</v>
      </c>
      <c r="FG46" s="1616"/>
      <c r="FH46" s="1616"/>
      <c r="FI46" s="1616"/>
      <c r="FJ46" s="1651" t="s">
        <v>101</v>
      </c>
      <c r="FK46" s="1616"/>
      <c r="FL46" s="1616"/>
      <c r="FM46" s="1616"/>
      <c r="FN46" s="1651" t="s">
        <v>101</v>
      </c>
      <c r="FO46" s="1616"/>
      <c r="FP46" s="1616"/>
      <c r="FQ46" s="1616"/>
      <c r="FR46" s="1651" t="s">
        <v>101</v>
      </c>
      <c r="FS46" s="1616"/>
      <c r="FT46" s="1616"/>
      <c r="FU46" s="1616"/>
      <c r="FV46" s="1616"/>
      <c r="FW46" s="1616"/>
      <c r="FX46" s="1616"/>
      <c r="FY46" s="1616"/>
      <c r="FZ46" s="1651" t="s">
        <v>101</v>
      </c>
      <c r="GA46" s="1616"/>
      <c r="GB46" s="1616"/>
      <c r="GC46" s="1651" t="s">
        <v>101</v>
      </c>
      <c r="GD46" s="1616"/>
      <c r="GE46" s="1616"/>
      <c r="GF46" s="1616"/>
      <c r="GG46" s="1616"/>
      <c r="GH46" s="1616"/>
      <c r="GI46" s="1616"/>
      <c r="GJ46" s="1616"/>
      <c r="GK46" s="1616"/>
      <c r="GL46" s="1616"/>
      <c r="GM46" s="1616"/>
      <c r="GN46" s="1616"/>
      <c r="GO46" s="1616"/>
      <c r="GP46" s="1616"/>
      <c r="GQ46" s="1651" t="s">
        <v>101</v>
      </c>
      <c r="GR46" s="1616"/>
      <c r="GS46" s="1616"/>
      <c r="GT46" s="1616"/>
      <c r="GU46" s="1616"/>
      <c r="GV46" s="1616"/>
      <c r="GW46" s="1669">
        <f>IF(职业列表!$W$27=0,0,_xlfn.IFS(IF(IFERROR(VLOOKUP(A46,职业列表!$J$3:$K$10,1,FALSE),"%^&amp;@%##@^")=A46,1,0)=1,"★",IF(IFERROR(VLOOKUP(A46,职业列表!$J$31:$J$39,1,FALSE),"%^&amp;@%##@^")=A46,1,0)=1,职业列表!$V$25,IF(IFERROR(VLOOKUP(A46,职业列表!$J$43:$J$51,1,FALSE),"%^&amp;@%##@^")=A46,1,0)=1,职业列表!$V$26,IF(IFERROR(VLOOKUP(A46,职业列表!$J$55:$J$63,1,FALSE),"%^&amp;@%##@^")=A46,1,0)=1,职业列表!$V$27,IF(IFERROR(VLOOKUP(A46,职业列表!$J$3:$K$10,1,FALSE),"%^&amp;@%##@^")=A46,1,0)+IF(IFERROR(VLOOKUP(A46,职业列表!$J$31:$J$39,1,FALSE),"%^&amp;@%##@^")=A46,1,0)+IF(IFERROR(VLOOKUP(A46,职业列表!$J$43:$J$51,1,FALSE),"%^&amp;@%##@^")=A46,1,0)+IF(IFERROR(VLOOKUP(A46,职业列表!$J$55:$J$63,1,FALSE),"%^&amp;@%##@^")=A46,1,0)=0,0))</f>
        <v>0</v>
      </c>
      <c r="GX46" s="1616"/>
      <c r="GY46" s="1616"/>
      <c r="GZ46" s="1616"/>
      <c r="HA46" s="1616"/>
      <c r="HB46" s="1616"/>
      <c r="HC46" s="1616"/>
      <c r="HD46" s="1616" t="s">
        <v>101</v>
      </c>
      <c r="HE46" s="1616"/>
      <c r="HF46" s="1616"/>
      <c r="HG46" s="1651"/>
      <c r="HH46" s="1616"/>
      <c r="HI46" s="1616"/>
      <c r="HJ46" s="1651"/>
      <c r="HK46" s="1616"/>
      <c r="HL46" s="1616" t="s">
        <v>101</v>
      </c>
      <c r="HM46" s="1616"/>
      <c r="HN46" s="1616"/>
      <c r="HO46" s="1616"/>
      <c r="HP46" s="1616"/>
      <c r="HQ46" s="1616"/>
      <c r="HR46" s="1616"/>
      <c r="HS46" s="1616"/>
      <c r="HT46" s="1651"/>
      <c r="HU46" s="1616"/>
      <c r="HV46" s="1616"/>
      <c r="HW46" s="1616"/>
      <c r="HX46" s="1616"/>
      <c r="HY46" s="1681"/>
      <c r="HZ46" s="1681"/>
      <c r="IA46" s="1681"/>
      <c r="IB46" s="1681"/>
      <c r="IC46" s="1681"/>
      <c r="ID46" s="1681"/>
      <c r="IE46" s="1681"/>
      <c r="IF46" s="1681"/>
      <c r="IG46" s="1681"/>
      <c r="IH46" s="1681"/>
      <c r="II46" s="1681"/>
      <c r="IJ46" s="1681"/>
      <c r="IK46" s="1681"/>
      <c r="IL46" s="1681"/>
      <c r="IM46" s="1681"/>
      <c r="IN46" s="1681"/>
      <c r="IO46" s="1681"/>
      <c r="IP46" s="1681"/>
      <c r="IQ46" s="1681"/>
      <c r="IR46" s="1681"/>
      <c r="IS46" s="1681"/>
      <c r="IT46" s="1681"/>
      <c r="IU46" s="1681"/>
      <c r="IV46" s="1681"/>
    </row>
    <row r="47" ht="20" customHeight="1" spans="1:256">
      <c r="A47" s="1638" t="s">
        <v>88</v>
      </c>
      <c r="B47" s="1616"/>
      <c r="C47" s="1616"/>
      <c r="D47" s="1616"/>
      <c r="E47" s="1616"/>
      <c r="F47" s="1616"/>
      <c r="G47" s="1616"/>
      <c r="H47" s="1616"/>
      <c r="I47" s="1616"/>
      <c r="J47" s="1616" t="s">
        <v>101</v>
      </c>
      <c r="K47" s="1651" t="s">
        <v>589</v>
      </c>
      <c r="L47" s="1616"/>
      <c r="M47" s="1616"/>
      <c r="N47" s="1616"/>
      <c r="O47" s="1616"/>
      <c r="P47" s="1616"/>
      <c r="Q47" s="1616"/>
      <c r="R47" s="1616" t="s">
        <v>101</v>
      </c>
      <c r="S47" s="1616"/>
      <c r="T47" s="1616"/>
      <c r="U47" s="1616"/>
      <c r="V47" s="1616"/>
      <c r="W47" s="1616"/>
      <c r="X47" s="1616"/>
      <c r="Y47" s="1616"/>
      <c r="Z47" s="1616"/>
      <c r="AA47" s="1616"/>
      <c r="AB47" s="1616"/>
      <c r="AC47" s="1616"/>
      <c r="AD47" s="1616"/>
      <c r="AE47" s="1616"/>
      <c r="AF47" s="1616"/>
      <c r="AG47" s="1616"/>
      <c r="AH47" s="1616"/>
      <c r="AI47" s="1616"/>
      <c r="AJ47" s="1616"/>
      <c r="AK47" s="1616" t="s">
        <v>101</v>
      </c>
      <c r="AL47" s="1616"/>
      <c r="AM47" s="1616"/>
      <c r="AN47" s="1616"/>
      <c r="AO47" s="1616"/>
      <c r="AP47" s="1616"/>
      <c r="AQ47" s="1616"/>
      <c r="AR47" s="1616"/>
      <c r="AS47" s="1616" t="s">
        <v>101</v>
      </c>
      <c r="AT47" s="1616" t="s">
        <v>101</v>
      </c>
      <c r="AU47" s="1616" t="s">
        <v>101</v>
      </c>
      <c r="AV47" s="1616" t="s">
        <v>101</v>
      </c>
      <c r="AW47" s="1616"/>
      <c r="AX47" s="1616"/>
      <c r="AY47" s="1616"/>
      <c r="AZ47" s="1616"/>
      <c r="BA47" s="1616" t="s">
        <v>101</v>
      </c>
      <c r="BB47" s="1621"/>
      <c r="BC47" s="1616"/>
      <c r="BD47" s="1616"/>
      <c r="BE47" s="1616"/>
      <c r="BF47" s="1616"/>
      <c r="BG47" s="1616"/>
      <c r="BH47" s="1616"/>
      <c r="BI47" s="1616"/>
      <c r="BJ47" s="1616" t="s">
        <v>101</v>
      </c>
      <c r="BK47" s="1616" t="s">
        <v>101</v>
      </c>
      <c r="BL47" s="1616"/>
      <c r="BM47" s="1616"/>
      <c r="BN47" s="1616"/>
      <c r="BO47" s="1616"/>
      <c r="BP47" s="1616"/>
      <c r="BQ47" s="1616"/>
      <c r="BR47" s="1616"/>
      <c r="BS47" s="1616"/>
      <c r="BT47" s="1616"/>
      <c r="BU47" s="1616"/>
      <c r="BV47" s="1616"/>
      <c r="BW47" s="1616" t="s">
        <v>101</v>
      </c>
      <c r="BX47" s="1616"/>
      <c r="BY47" s="1616" t="s">
        <v>101</v>
      </c>
      <c r="BZ47" s="1616"/>
      <c r="CA47" s="1616"/>
      <c r="CB47" s="1616"/>
      <c r="CC47" s="1616"/>
      <c r="CD47" s="1616" t="s">
        <v>101</v>
      </c>
      <c r="CE47" s="1616"/>
      <c r="CF47" s="1616"/>
      <c r="CG47" s="1616"/>
      <c r="CH47" s="1616"/>
      <c r="CI47" s="1616" t="s">
        <v>101</v>
      </c>
      <c r="CJ47" s="1616" t="s">
        <v>101</v>
      </c>
      <c r="CK47" s="1616"/>
      <c r="CL47" s="1616"/>
      <c r="CM47" s="1616"/>
      <c r="CN47" s="1616"/>
      <c r="CO47" s="1616" t="s">
        <v>101</v>
      </c>
      <c r="CP47" s="1616"/>
      <c r="CQ47" s="1616"/>
      <c r="CR47" s="1616"/>
      <c r="CS47" s="1616"/>
      <c r="CT47" s="1616" t="s">
        <v>101</v>
      </c>
      <c r="CU47" s="1616" t="s">
        <v>101</v>
      </c>
      <c r="CV47" s="1616"/>
      <c r="CW47" s="1616"/>
      <c r="CX47" s="1616"/>
      <c r="CY47" s="1616"/>
      <c r="CZ47" s="1616"/>
      <c r="DA47" s="1616"/>
      <c r="DB47" s="1616"/>
      <c r="DC47" s="1616"/>
      <c r="DD47" s="1616"/>
      <c r="DE47" s="1616"/>
      <c r="DF47" s="1616"/>
      <c r="DG47" s="1616"/>
      <c r="DH47" s="1616"/>
      <c r="DI47" s="1616"/>
      <c r="DJ47" s="1616"/>
      <c r="DK47" s="1616"/>
      <c r="DL47" s="1616"/>
      <c r="DM47" s="1616"/>
      <c r="DN47" s="1616"/>
      <c r="DO47" s="1616"/>
      <c r="DP47" s="1616"/>
      <c r="DQ47" s="1616"/>
      <c r="DR47" s="1616"/>
      <c r="DS47" s="1616"/>
      <c r="DT47" s="1616"/>
      <c r="DU47" s="1616"/>
      <c r="DV47" s="1616"/>
      <c r="DW47" s="1616"/>
      <c r="DX47" s="1616"/>
      <c r="DY47" s="1616"/>
      <c r="DZ47" s="1616"/>
      <c r="EA47" s="1616"/>
      <c r="EB47" s="1616"/>
      <c r="EC47" s="1616"/>
      <c r="ED47" s="1616"/>
      <c r="EE47" s="1616"/>
      <c r="EF47" s="1616"/>
      <c r="EG47" s="1651" t="s">
        <v>101</v>
      </c>
      <c r="EH47" s="1616"/>
      <c r="EI47" s="1616"/>
      <c r="EJ47" s="1616"/>
      <c r="EK47" s="1616"/>
      <c r="EL47" s="1616"/>
      <c r="EM47" s="1616"/>
      <c r="EN47" s="1616"/>
      <c r="EO47" s="1616"/>
      <c r="EP47" s="1616"/>
      <c r="EQ47" s="1651" t="s">
        <v>101</v>
      </c>
      <c r="ER47" s="1616"/>
      <c r="ES47" s="1616"/>
      <c r="ET47" s="1616"/>
      <c r="EU47" s="1651" t="s">
        <v>101</v>
      </c>
      <c r="EV47" s="1616"/>
      <c r="EW47" s="1616"/>
      <c r="EX47" s="1616"/>
      <c r="EY47" s="1616"/>
      <c r="EZ47" s="1616"/>
      <c r="FA47" s="1616"/>
      <c r="FB47" s="1616"/>
      <c r="FC47" s="1616"/>
      <c r="FD47" s="1616"/>
      <c r="FE47" s="1616"/>
      <c r="FF47" s="1616"/>
      <c r="FG47" s="1616"/>
      <c r="FH47" s="1616"/>
      <c r="FI47" s="1616"/>
      <c r="FJ47" s="1616"/>
      <c r="FK47" s="1616"/>
      <c r="FL47" s="1616"/>
      <c r="FM47" s="1616"/>
      <c r="FN47" s="1651" t="s">
        <v>101</v>
      </c>
      <c r="FO47" s="1616"/>
      <c r="FP47" s="1616"/>
      <c r="FQ47" s="1616"/>
      <c r="FR47" s="1616"/>
      <c r="FS47" s="1616"/>
      <c r="FT47" s="1616"/>
      <c r="FU47" s="1616"/>
      <c r="FV47" s="1651" t="s">
        <v>101</v>
      </c>
      <c r="FW47" s="1616"/>
      <c r="FX47" s="1616"/>
      <c r="FY47" s="1651" t="s">
        <v>101</v>
      </c>
      <c r="FZ47" s="1651" t="s">
        <v>101</v>
      </c>
      <c r="GA47" s="1616"/>
      <c r="GB47" s="1616"/>
      <c r="GC47" s="1651" t="s">
        <v>101</v>
      </c>
      <c r="GD47" s="1616"/>
      <c r="GE47" s="1616"/>
      <c r="GF47" s="1616"/>
      <c r="GG47" s="1616"/>
      <c r="GH47" s="1616"/>
      <c r="GI47" s="1616"/>
      <c r="GJ47" s="1616"/>
      <c r="GK47" s="1616"/>
      <c r="GL47" s="1616"/>
      <c r="GM47" s="1616"/>
      <c r="GN47" s="1616"/>
      <c r="GO47" s="1616"/>
      <c r="GP47" s="1616"/>
      <c r="GQ47" s="1616"/>
      <c r="GR47" s="1616"/>
      <c r="GS47" s="1616"/>
      <c r="GT47" s="1616"/>
      <c r="GU47" s="1616"/>
      <c r="GV47" s="1616"/>
      <c r="GW47" s="1669">
        <f>IF(职业列表!$W$27=0,0,_xlfn.IFS(IF(IFERROR(VLOOKUP(A47,职业列表!$J$3:$K$10,1,FALSE),"%^&amp;@%##@^")=A47,1,0)=1,"★",IF(IFERROR(VLOOKUP(A47,职业列表!$J$31:$J$39,1,FALSE),"%^&amp;@%##@^")=A47,1,0)=1,职业列表!$V$25,IF(IFERROR(VLOOKUP(A47,职业列表!$J$43:$J$51,1,FALSE),"%^&amp;@%##@^")=A47,1,0)=1,职业列表!$V$26,IF(IFERROR(VLOOKUP(A47,职业列表!$J$55:$J$63,1,FALSE),"%^&amp;@%##@^")=A47,1,0)=1,职业列表!$V$27,IF(IFERROR(VLOOKUP(A47,职业列表!$J$3:$K$10,1,FALSE),"%^&amp;@%##@^")=A47,1,0)+IF(IFERROR(VLOOKUP(A47,职业列表!$J$31:$J$39,1,FALSE),"%^&amp;@%##@^")=A47,1,0)+IF(IFERROR(VLOOKUP(A47,职业列表!$J$43:$J$51,1,FALSE),"%^&amp;@%##@^")=A47,1,0)+IF(IFERROR(VLOOKUP(A47,职业列表!$J$55:$J$63,1,FALSE),"%^&amp;@%##@^")=A47,1,0)=0,0))</f>
        <v>0</v>
      </c>
      <c r="GX47" s="1616"/>
      <c r="GY47" s="1616"/>
      <c r="GZ47" s="1616"/>
      <c r="HA47" s="1616"/>
      <c r="HB47" s="1616"/>
      <c r="HC47" s="1616"/>
      <c r="HD47" s="1616" t="s">
        <v>101</v>
      </c>
      <c r="HE47" s="1651"/>
      <c r="HF47" s="1616"/>
      <c r="HG47" s="1616"/>
      <c r="HH47" s="1616"/>
      <c r="HI47" s="1616"/>
      <c r="HJ47" s="1616"/>
      <c r="HK47" s="1649" t="s">
        <v>101</v>
      </c>
      <c r="HL47" s="1616" t="s">
        <v>101</v>
      </c>
      <c r="HM47" s="1616"/>
      <c r="HN47" s="1616"/>
      <c r="HO47" s="1616"/>
      <c r="HP47" s="1616"/>
      <c r="HQ47" s="1616"/>
      <c r="HR47" s="1616"/>
      <c r="HS47" s="1616"/>
      <c r="HT47" s="1616"/>
      <c r="HU47" s="1616"/>
      <c r="HV47" s="1616"/>
      <c r="HW47" s="1616"/>
      <c r="HX47" s="1649" t="s">
        <v>101</v>
      </c>
      <c r="HY47" s="1681" t="s">
        <v>101</v>
      </c>
      <c r="HZ47" s="1681"/>
      <c r="IA47" s="1681"/>
      <c r="IB47" s="1681"/>
      <c r="IC47" s="1681"/>
      <c r="ID47" s="1681"/>
      <c r="IE47" s="1681"/>
      <c r="IF47" s="1681"/>
      <c r="IG47" s="1681"/>
      <c r="IH47" s="1681"/>
      <c r="II47" s="1681"/>
      <c r="IJ47" s="1681"/>
      <c r="IK47" s="1681"/>
      <c r="IL47" s="1681"/>
      <c r="IM47" s="1681"/>
      <c r="IN47" s="1681"/>
      <c r="IO47" s="1681"/>
      <c r="IP47" s="1681"/>
      <c r="IQ47" s="1681"/>
      <c r="IR47" s="1681"/>
      <c r="IS47" s="1681"/>
      <c r="IT47" s="1681"/>
      <c r="IU47" s="1681"/>
      <c r="IV47" s="1681"/>
    </row>
    <row r="48" ht="20" customHeight="1" spans="1:256">
      <c r="A48" s="1615" t="s">
        <v>91</v>
      </c>
      <c r="B48" s="1616"/>
      <c r="C48" s="1616"/>
      <c r="D48" s="1616"/>
      <c r="E48" s="1616"/>
      <c r="F48" s="1616"/>
      <c r="G48" s="1616"/>
      <c r="H48" s="1616"/>
      <c r="I48" s="1616"/>
      <c r="J48" s="1616"/>
      <c r="K48" s="1616"/>
      <c r="L48" s="1616"/>
      <c r="M48" s="1616"/>
      <c r="N48" s="1616"/>
      <c r="O48" s="1616"/>
      <c r="P48" s="1651" t="s">
        <v>589</v>
      </c>
      <c r="Q48" s="1616"/>
      <c r="R48" s="1616"/>
      <c r="S48" s="1616"/>
      <c r="T48" s="1616"/>
      <c r="U48" s="1616"/>
      <c r="V48" s="1616"/>
      <c r="W48" s="1616"/>
      <c r="X48" s="1616"/>
      <c r="Y48" s="1616"/>
      <c r="Z48" s="1616"/>
      <c r="AA48" s="1616"/>
      <c r="AB48" s="1616"/>
      <c r="AC48" s="1616"/>
      <c r="AD48" s="1616"/>
      <c r="AE48" s="1616"/>
      <c r="AF48" s="1616"/>
      <c r="AG48" s="1616"/>
      <c r="AH48" s="1616"/>
      <c r="AI48" s="1616"/>
      <c r="AJ48" s="1616"/>
      <c r="AK48" s="1616"/>
      <c r="AL48" s="1616"/>
      <c r="AM48" s="1616" t="s">
        <v>101</v>
      </c>
      <c r="AN48" s="1616" t="s">
        <v>101</v>
      </c>
      <c r="AO48" s="1616"/>
      <c r="AP48" s="1616"/>
      <c r="AQ48" s="1616"/>
      <c r="AR48" s="1616"/>
      <c r="AS48" s="1616"/>
      <c r="AT48" s="1616"/>
      <c r="AU48" s="1616"/>
      <c r="AV48" s="1616"/>
      <c r="AW48" s="1616"/>
      <c r="AX48" s="1616"/>
      <c r="AY48" s="1616"/>
      <c r="AZ48" s="1616"/>
      <c r="BA48" s="1616"/>
      <c r="BB48" s="1616"/>
      <c r="BC48" s="1616"/>
      <c r="BD48" s="1616"/>
      <c r="BE48" s="1616"/>
      <c r="BF48" s="1616"/>
      <c r="BG48" s="1616"/>
      <c r="BH48" s="1616"/>
      <c r="BI48" s="1616"/>
      <c r="BJ48" s="1616"/>
      <c r="BK48" s="1616"/>
      <c r="BL48" s="1616"/>
      <c r="BM48" s="1616"/>
      <c r="BN48" s="1616"/>
      <c r="BO48" s="1616"/>
      <c r="BP48" s="1616"/>
      <c r="BQ48" s="1616"/>
      <c r="BR48" s="1616"/>
      <c r="BS48" s="1616"/>
      <c r="BT48" s="1616"/>
      <c r="BU48" s="1616"/>
      <c r="BV48" s="1616"/>
      <c r="BW48" s="1616"/>
      <c r="BX48" s="1616"/>
      <c r="BY48" s="1616"/>
      <c r="BZ48" s="1616" t="s">
        <v>101</v>
      </c>
      <c r="CA48" s="1616"/>
      <c r="CB48" s="1616"/>
      <c r="CC48" s="1616" t="s">
        <v>101</v>
      </c>
      <c r="CD48" s="1616"/>
      <c r="CE48" s="1616" t="s">
        <v>101</v>
      </c>
      <c r="CF48" s="1616"/>
      <c r="CG48" s="1616"/>
      <c r="CH48" s="1616"/>
      <c r="CI48" s="1616"/>
      <c r="CJ48" s="1616"/>
      <c r="CK48" s="1616"/>
      <c r="CL48" s="1616"/>
      <c r="CM48" s="1616"/>
      <c r="CN48" s="1616"/>
      <c r="CO48" s="1616"/>
      <c r="CP48" s="1616"/>
      <c r="CQ48" s="1616"/>
      <c r="CR48" s="1616"/>
      <c r="CS48" s="1616"/>
      <c r="CT48" s="1616"/>
      <c r="CU48" s="1616"/>
      <c r="CV48" s="1616"/>
      <c r="CW48" s="1616"/>
      <c r="CX48" s="1616"/>
      <c r="CY48" s="1616"/>
      <c r="CZ48" s="1616"/>
      <c r="DA48" s="1616"/>
      <c r="DB48" s="1616"/>
      <c r="DC48" s="1616"/>
      <c r="DD48" s="1616" t="s">
        <v>101</v>
      </c>
      <c r="DE48" s="1616" t="s">
        <v>101</v>
      </c>
      <c r="DF48" s="1616"/>
      <c r="DG48" s="1616"/>
      <c r="DH48" s="1616"/>
      <c r="DI48" s="1616"/>
      <c r="DJ48" s="1616"/>
      <c r="DK48" s="1616"/>
      <c r="DL48" s="1616"/>
      <c r="DM48" s="1616"/>
      <c r="DN48" s="1616"/>
      <c r="DO48" s="1616"/>
      <c r="DP48" s="1616"/>
      <c r="DQ48" s="1616"/>
      <c r="DR48" s="1616"/>
      <c r="DS48" s="1651" t="s">
        <v>101</v>
      </c>
      <c r="DT48" s="1616"/>
      <c r="DU48" s="1651" t="s">
        <v>101</v>
      </c>
      <c r="DV48" s="1616"/>
      <c r="DW48" s="1616"/>
      <c r="DX48" s="1616"/>
      <c r="DY48" s="1616"/>
      <c r="DZ48" s="1616"/>
      <c r="EA48" s="1616"/>
      <c r="EB48" s="1616"/>
      <c r="EC48" s="1616"/>
      <c r="ED48" s="1616"/>
      <c r="EE48" s="1616"/>
      <c r="EF48" s="1616"/>
      <c r="EG48" s="1616"/>
      <c r="EH48" s="1616"/>
      <c r="EI48" s="1616"/>
      <c r="EJ48" s="1616"/>
      <c r="EK48" s="1616"/>
      <c r="EL48" s="1616"/>
      <c r="EM48" s="1616"/>
      <c r="EN48" s="1616"/>
      <c r="EO48" s="1616"/>
      <c r="EP48" s="1616"/>
      <c r="EQ48" s="1616"/>
      <c r="ER48" s="1616"/>
      <c r="ES48" s="1616"/>
      <c r="ET48" s="1616"/>
      <c r="EU48" s="1616"/>
      <c r="EV48" s="1616"/>
      <c r="EW48" s="1616"/>
      <c r="EX48" s="1616"/>
      <c r="EY48" s="1616"/>
      <c r="EZ48" s="1616"/>
      <c r="FA48" s="1616"/>
      <c r="FB48" s="1616"/>
      <c r="FC48" s="1616"/>
      <c r="FD48" s="1651" t="s">
        <v>101</v>
      </c>
      <c r="FE48" s="1651" t="s">
        <v>101</v>
      </c>
      <c r="FF48" s="1616" t="s">
        <v>101</v>
      </c>
      <c r="FG48" s="1616"/>
      <c r="FH48" s="1651" t="s">
        <v>101</v>
      </c>
      <c r="FI48" s="1651" t="s">
        <v>101</v>
      </c>
      <c r="FJ48" s="1651" t="s">
        <v>101</v>
      </c>
      <c r="FK48" s="1616"/>
      <c r="FL48" s="1616"/>
      <c r="FM48" s="1616"/>
      <c r="FN48" s="1616"/>
      <c r="FO48" s="1616"/>
      <c r="FP48" s="1616"/>
      <c r="FQ48" s="1616"/>
      <c r="FR48" s="1616"/>
      <c r="FS48" s="1616"/>
      <c r="FT48" s="1616"/>
      <c r="FU48" s="1616"/>
      <c r="FV48" s="1616"/>
      <c r="FW48" s="1616"/>
      <c r="FX48" s="1616"/>
      <c r="FY48" s="1616"/>
      <c r="FZ48" s="1616"/>
      <c r="GA48" s="1616"/>
      <c r="GB48" s="1616"/>
      <c r="GC48" s="1616"/>
      <c r="GD48" s="1616"/>
      <c r="GE48" s="1616"/>
      <c r="GF48" s="1616"/>
      <c r="GG48" s="1616"/>
      <c r="GH48" s="1616"/>
      <c r="GI48" s="1616"/>
      <c r="GJ48" s="1616"/>
      <c r="GK48" s="1616"/>
      <c r="GL48" s="1616"/>
      <c r="GM48" s="1616"/>
      <c r="GN48" s="1651" t="s">
        <v>101</v>
      </c>
      <c r="GO48" s="1651" t="s">
        <v>101</v>
      </c>
      <c r="GP48" s="1616"/>
      <c r="GQ48" s="1616"/>
      <c r="GR48" s="1616"/>
      <c r="GS48" s="1616"/>
      <c r="GT48" s="1616"/>
      <c r="GU48" s="1616"/>
      <c r="GV48" s="1616"/>
      <c r="GW48" s="1669">
        <f>IF(职业列表!$W$27=0,0,_xlfn.IFS(IF(IFERROR(VLOOKUP(A48,职业列表!$J$3:$K$10,1,FALSE),"%^&amp;@%##@^")=A48,1,0)=1,"★",IF(IFERROR(VLOOKUP(A48,职业列表!$J$31:$J$39,1,FALSE),"%^&amp;@%##@^")=A48,1,0)=1,职业列表!$V$25,IF(IFERROR(VLOOKUP(A48,职业列表!$J$43:$J$51,1,FALSE),"%^&amp;@%##@^")=A48,1,0)=1,职业列表!$V$26,IF(IFERROR(VLOOKUP(A48,职业列表!$J$55:$J$63,1,FALSE),"%^&amp;@%##@^")=A48,1,0)=1,职业列表!$V$27,IF(IFERROR(VLOOKUP(A48,职业列表!$J$3:$K$10,1,FALSE),"%^&amp;@%##@^")=A48,1,0)+IF(IFERROR(VLOOKUP(A48,职业列表!$J$31:$J$39,1,FALSE),"%^&amp;@%##@^")=A48,1,0)+IF(IFERROR(VLOOKUP(A48,职业列表!$J$43:$J$51,1,FALSE),"%^&amp;@%##@^")=A48,1,0)+IF(IFERROR(VLOOKUP(A48,职业列表!$J$55:$J$63,1,FALSE),"%^&amp;@%##@^")=A48,1,0)=0,0))</f>
        <v>0</v>
      </c>
      <c r="GX48" s="1616"/>
      <c r="GY48" s="1616"/>
      <c r="GZ48" s="1616"/>
      <c r="HA48" s="1616"/>
      <c r="HB48" s="1616"/>
      <c r="HC48" s="1616"/>
      <c r="HD48" s="1616"/>
      <c r="HE48" s="1616"/>
      <c r="HF48" s="1616"/>
      <c r="HG48" s="1616"/>
      <c r="HH48" s="1616"/>
      <c r="HI48" s="1616"/>
      <c r="HJ48" s="1651"/>
      <c r="HK48" s="1616"/>
      <c r="HL48" s="1616"/>
      <c r="HM48" s="1616"/>
      <c r="HN48" s="1616"/>
      <c r="HO48" s="1616"/>
      <c r="HP48" s="1616"/>
      <c r="HQ48" s="1616"/>
      <c r="HR48" s="1616"/>
      <c r="HS48" s="1616"/>
      <c r="HT48" s="1616"/>
      <c r="HU48" s="1616"/>
      <c r="HV48" s="1616"/>
      <c r="HW48" s="1616"/>
      <c r="HX48" s="1616"/>
      <c r="HY48" s="1681"/>
      <c r="HZ48" s="1681"/>
      <c r="IA48" s="1681"/>
      <c r="IB48" s="1681"/>
      <c r="IC48" s="1681"/>
      <c r="ID48" s="1681"/>
      <c r="IE48" s="1681"/>
      <c r="IF48" s="1681"/>
      <c r="IG48" s="1681"/>
      <c r="IH48" s="1681"/>
      <c r="II48" s="1681"/>
      <c r="IJ48" s="1681"/>
      <c r="IK48" s="1681"/>
      <c r="IL48" s="1681"/>
      <c r="IM48" s="1681"/>
      <c r="IN48" s="1681"/>
      <c r="IO48" s="1681"/>
      <c r="IP48" s="1681"/>
      <c r="IQ48" s="1681"/>
      <c r="IR48" s="1681"/>
      <c r="IS48" s="1681"/>
      <c r="IT48" s="1681"/>
      <c r="IU48" s="1681"/>
      <c r="IV48" s="1681"/>
    </row>
    <row r="49" ht="20" customHeight="1" spans="1:256">
      <c r="A49" s="1638" t="s">
        <v>96</v>
      </c>
      <c r="B49" s="1616"/>
      <c r="C49" s="1616"/>
      <c r="D49" s="1616"/>
      <c r="E49" s="1616"/>
      <c r="F49" s="1616"/>
      <c r="G49" s="1616"/>
      <c r="H49" s="1616"/>
      <c r="I49" s="1616"/>
      <c r="J49" s="1616"/>
      <c r="K49" s="1616"/>
      <c r="L49" s="1616"/>
      <c r="M49" s="1616"/>
      <c r="N49" s="1616"/>
      <c r="O49" s="1616"/>
      <c r="P49" s="1616"/>
      <c r="Q49" s="1616"/>
      <c r="R49" s="1616"/>
      <c r="S49" s="1616"/>
      <c r="T49" s="1616"/>
      <c r="U49" s="1616"/>
      <c r="V49" s="1616"/>
      <c r="W49" s="1616"/>
      <c r="X49" s="1616"/>
      <c r="Y49" s="1616"/>
      <c r="Z49" s="1616"/>
      <c r="AA49" s="1616"/>
      <c r="AB49" s="1616"/>
      <c r="AC49" s="1616" t="s">
        <v>101</v>
      </c>
      <c r="AD49" s="1616"/>
      <c r="AE49" s="1616"/>
      <c r="AF49" s="1616"/>
      <c r="AG49" s="1616"/>
      <c r="AH49" s="1616"/>
      <c r="AI49" s="1616"/>
      <c r="AJ49" s="1616"/>
      <c r="AK49" s="1616"/>
      <c r="AL49" s="1616"/>
      <c r="AM49" s="1616"/>
      <c r="AN49" s="1616"/>
      <c r="AO49" s="1616"/>
      <c r="AP49" s="1616"/>
      <c r="AQ49" s="1616"/>
      <c r="AR49" s="1616"/>
      <c r="AS49" s="1616"/>
      <c r="AT49" s="1616"/>
      <c r="AU49" s="1616"/>
      <c r="AV49" s="1616"/>
      <c r="AW49" s="1616"/>
      <c r="AX49" s="1616"/>
      <c r="AY49" s="1616" t="s">
        <v>101</v>
      </c>
      <c r="AZ49" s="1616"/>
      <c r="BA49" s="1616"/>
      <c r="BB49" s="1616" t="s">
        <v>101</v>
      </c>
      <c r="BC49" s="1616"/>
      <c r="BD49" s="1616" t="s">
        <v>101</v>
      </c>
      <c r="BE49" s="1616"/>
      <c r="BF49" s="1616"/>
      <c r="BG49" s="1616"/>
      <c r="BH49" s="1616"/>
      <c r="BI49" s="1616"/>
      <c r="BJ49" s="1616"/>
      <c r="BK49" s="1616"/>
      <c r="BL49" s="1616"/>
      <c r="BM49" s="1616"/>
      <c r="BN49" s="1616"/>
      <c r="BO49" s="1616"/>
      <c r="BP49" s="1616"/>
      <c r="BQ49" s="1616" t="s">
        <v>101</v>
      </c>
      <c r="BR49" s="1616"/>
      <c r="BS49" s="1616" t="s">
        <v>101</v>
      </c>
      <c r="BT49" s="1616"/>
      <c r="BU49" s="1616"/>
      <c r="BV49" s="1616" t="s">
        <v>101</v>
      </c>
      <c r="BW49" s="1616"/>
      <c r="BX49" s="1616"/>
      <c r="BY49" s="1616"/>
      <c r="BZ49" s="1616"/>
      <c r="CA49" s="1616"/>
      <c r="CB49" s="1616"/>
      <c r="CC49" s="1616"/>
      <c r="CD49" s="1616"/>
      <c r="CE49" s="1616"/>
      <c r="CF49" s="1616"/>
      <c r="CG49" s="1616"/>
      <c r="CH49" s="1616"/>
      <c r="CI49" s="1616" t="s">
        <v>101</v>
      </c>
      <c r="CJ49" s="1616"/>
      <c r="CK49" s="1616"/>
      <c r="CL49" s="1616"/>
      <c r="CM49" s="1616"/>
      <c r="CN49" s="1616"/>
      <c r="CO49" s="1616"/>
      <c r="CP49" s="1616"/>
      <c r="CQ49" s="1616"/>
      <c r="CR49" s="1616"/>
      <c r="CS49" s="1616"/>
      <c r="CT49" s="1616"/>
      <c r="CU49" s="1616"/>
      <c r="CV49" s="1616"/>
      <c r="CW49" s="1616"/>
      <c r="CX49" s="1616"/>
      <c r="CY49" s="1616"/>
      <c r="CZ49" s="1616"/>
      <c r="DA49" s="1616"/>
      <c r="DB49" s="1616"/>
      <c r="DC49" s="1616"/>
      <c r="DD49" s="1616"/>
      <c r="DE49" s="1616"/>
      <c r="DF49" s="1616" t="s">
        <v>101</v>
      </c>
      <c r="DG49" s="1616"/>
      <c r="DH49" s="1616"/>
      <c r="DI49" s="1616"/>
      <c r="DJ49" s="1616"/>
      <c r="DK49" s="1616"/>
      <c r="DL49" s="1616"/>
      <c r="DM49" s="1616"/>
      <c r="DN49" s="1616"/>
      <c r="DO49" s="1616"/>
      <c r="DP49" s="1616"/>
      <c r="DQ49" s="1616"/>
      <c r="DR49" s="1616"/>
      <c r="DS49" s="1616"/>
      <c r="DT49" s="1616"/>
      <c r="DU49" s="1616"/>
      <c r="DV49" s="1616"/>
      <c r="DW49" s="1616"/>
      <c r="DX49" s="1616"/>
      <c r="DY49" s="1616"/>
      <c r="DZ49" s="1616"/>
      <c r="EA49" s="1616"/>
      <c r="EB49" s="1616"/>
      <c r="EC49" s="1616"/>
      <c r="ED49" s="1616"/>
      <c r="EE49" s="1616"/>
      <c r="EF49" s="1616"/>
      <c r="EG49" s="1616"/>
      <c r="EH49" s="1616"/>
      <c r="EI49" s="1616"/>
      <c r="EJ49" s="1616"/>
      <c r="EK49" s="1616"/>
      <c r="EL49" s="1651" t="s">
        <v>101</v>
      </c>
      <c r="EM49" s="1616"/>
      <c r="EN49" s="1616"/>
      <c r="EO49" s="1616"/>
      <c r="EP49" s="1616"/>
      <c r="EQ49" s="1616"/>
      <c r="ER49" s="1616"/>
      <c r="ES49" s="1616"/>
      <c r="ET49" s="1616"/>
      <c r="EU49" s="1616"/>
      <c r="EV49" s="1616"/>
      <c r="EW49" s="1616"/>
      <c r="EX49" s="1616"/>
      <c r="EY49" s="1616"/>
      <c r="EZ49" s="1616"/>
      <c r="FA49" s="1616"/>
      <c r="FB49" s="1616"/>
      <c r="FC49" s="1616"/>
      <c r="FD49" s="1616"/>
      <c r="FE49" s="1616"/>
      <c r="FF49" s="1616"/>
      <c r="FG49" s="1616"/>
      <c r="FH49" s="1616"/>
      <c r="FI49" s="1616"/>
      <c r="FJ49" s="1616"/>
      <c r="FK49" s="1616"/>
      <c r="FL49" s="1616"/>
      <c r="FM49" s="1616"/>
      <c r="FN49" s="1651" t="s">
        <v>101</v>
      </c>
      <c r="FO49" s="1616"/>
      <c r="FP49" s="1616"/>
      <c r="FQ49" s="1616"/>
      <c r="FR49" s="1616"/>
      <c r="FS49" s="1616"/>
      <c r="FT49" s="1616"/>
      <c r="FU49" s="1616"/>
      <c r="FV49" s="1616"/>
      <c r="FW49" s="1616"/>
      <c r="FX49" s="1616"/>
      <c r="FY49" s="1616"/>
      <c r="FZ49" s="1616"/>
      <c r="GA49" s="1616"/>
      <c r="GB49" s="1616"/>
      <c r="GC49" s="1616"/>
      <c r="GD49" s="1616"/>
      <c r="GE49" s="1616"/>
      <c r="GF49" s="1616"/>
      <c r="GG49" s="1616"/>
      <c r="GH49" s="1616"/>
      <c r="GI49" s="1616"/>
      <c r="GJ49" s="1616"/>
      <c r="GK49" s="1616"/>
      <c r="GL49" s="1616"/>
      <c r="GM49" s="1616"/>
      <c r="GN49" s="1616"/>
      <c r="GO49" s="1616"/>
      <c r="GP49" s="1651" t="s">
        <v>101</v>
      </c>
      <c r="GQ49" s="1616"/>
      <c r="GR49" s="1616"/>
      <c r="GS49" s="1616"/>
      <c r="GT49" s="1616"/>
      <c r="GU49" s="1616"/>
      <c r="GV49" s="1616"/>
      <c r="GW49" s="1669">
        <f>IF(职业列表!$W$27=0,0,_xlfn.IFS(IF(IFERROR(VLOOKUP(A49,职业列表!$J$3:$K$10,1,FALSE),"%^&amp;@%##@^")=A49,1,0)=1,"★",IF(IFERROR(VLOOKUP(A49,职业列表!$J$31:$J$39,1,FALSE),"%^&amp;@%##@^")=A49,1,0)=1,职业列表!$V$25,IF(IFERROR(VLOOKUP(A49,职业列表!$J$43:$J$51,1,FALSE),"%^&amp;@%##@^")=A49,1,0)=1,职业列表!$V$26,IF(IFERROR(VLOOKUP(A49,职业列表!$J$55:$J$63,1,FALSE),"%^&amp;@%##@^")=A49,1,0)=1,职业列表!$V$27,IF(IFERROR(VLOOKUP(A49,职业列表!$J$3:$K$10,1,FALSE),"%^&amp;@%##@^")=A49,1,0)+IF(IFERROR(VLOOKUP(A49,职业列表!$J$31:$J$39,1,FALSE),"%^&amp;@%##@^")=A49,1,0)+IF(IFERROR(VLOOKUP(A49,职业列表!$J$43:$J$51,1,FALSE),"%^&amp;@%##@^")=A49,1,0)+IF(IFERROR(VLOOKUP(A49,职业列表!$J$55:$J$63,1,FALSE),"%^&amp;@%##@^")=A49,1,0)=0,0))</f>
        <v>0</v>
      </c>
      <c r="GX49" s="1616"/>
      <c r="GY49" s="1616"/>
      <c r="GZ49" s="1616"/>
      <c r="HA49" s="1616"/>
      <c r="HB49" s="1616"/>
      <c r="HC49" s="1616"/>
      <c r="HD49" s="1616"/>
      <c r="HE49" s="1616"/>
      <c r="HF49" s="1616"/>
      <c r="HG49" s="1616"/>
      <c r="HH49" s="1616"/>
      <c r="HI49" s="1616"/>
      <c r="HJ49" s="1616"/>
      <c r="HK49" s="1616"/>
      <c r="HL49" s="1616"/>
      <c r="HM49" s="1616"/>
      <c r="HN49" s="1616"/>
      <c r="HO49" s="1649" t="s">
        <v>101</v>
      </c>
      <c r="HP49" s="1616"/>
      <c r="HQ49" s="1616"/>
      <c r="HR49" s="1616"/>
      <c r="HS49" s="1616"/>
      <c r="HT49" s="1616"/>
      <c r="HU49" s="1616"/>
      <c r="HV49" s="1616"/>
      <c r="HW49" s="1616"/>
      <c r="HX49" s="1616"/>
      <c r="HY49" s="1681"/>
      <c r="HZ49" s="1681"/>
      <c r="IA49" s="1681"/>
      <c r="IB49" s="1681"/>
      <c r="IC49" s="1681"/>
      <c r="ID49" s="1681"/>
      <c r="IE49" s="1681"/>
      <c r="IF49" s="1681"/>
      <c r="IG49" s="1681"/>
      <c r="IH49" s="1681"/>
      <c r="II49" s="1681"/>
      <c r="IJ49" s="1681"/>
      <c r="IK49" s="1681"/>
      <c r="IL49" s="1681"/>
      <c r="IM49" s="1681"/>
      <c r="IN49" s="1681"/>
      <c r="IO49" s="1681"/>
      <c r="IP49" s="1681"/>
      <c r="IQ49" s="1681"/>
      <c r="IR49" s="1681"/>
      <c r="IS49" s="1681"/>
      <c r="IT49" s="1681"/>
      <c r="IU49" s="1681"/>
      <c r="IV49" s="1681"/>
    </row>
    <row r="50" s="1597" customFormat="1" ht="20" customHeight="1" spans="1:256">
      <c r="A50" s="1628" t="s">
        <v>103</v>
      </c>
      <c r="B50" s="1623" t="s">
        <v>101</v>
      </c>
      <c r="C50" s="1623"/>
      <c r="D50" s="1623" t="s">
        <v>597</v>
      </c>
      <c r="E50" s="1623" t="s">
        <v>597</v>
      </c>
      <c r="F50" s="1623" t="s">
        <v>597</v>
      </c>
      <c r="G50" s="1623"/>
      <c r="H50" s="1623"/>
      <c r="I50" s="1623" t="s">
        <v>597</v>
      </c>
      <c r="J50" s="1623" t="s">
        <v>597</v>
      </c>
      <c r="K50" s="1623"/>
      <c r="L50" s="1623" t="s">
        <v>101</v>
      </c>
      <c r="M50" s="1623" t="s">
        <v>597</v>
      </c>
      <c r="N50" s="1623" t="s">
        <v>597</v>
      </c>
      <c r="O50" s="1623" t="s">
        <v>597</v>
      </c>
      <c r="P50" s="1623"/>
      <c r="Q50" s="1623" t="s">
        <v>597</v>
      </c>
      <c r="R50" s="1623"/>
      <c r="S50" s="1623" t="s">
        <v>597</v>
      </c>
      <c r="T50" s="1623" t="s">
        <v>597</v>
      </c>
      <c r="U50" s="1623"/>
      <c r="V50" s="1623"/>
      <c r="W50" s="1623" t="s">
        <v>597</v>
      </c>
      <c r="X50" s="1623"/>
      <c r="Y50" s="1624" t="s">
        <v>597</v>
      </c>
      <c r="Z50" s="1623"/>
      <c r="AA50" s="1623"/>
      <c r="AB50" s="1623"/>
      <c r="AC50" s="1623"/>
      <c r="AD50" s="1623" t="s">
        <v>597</v>
      </c>
      <c r="AE50" s="1623"/>
      <c r="AF50" s="1623" t="s">
        <v>597</v>
      </c>
      <c r="AG50" s="1623" t="s">
        <v>597</v>
      </c>
      <c r="AH50" s="1623" t="s">
        <v>597</v>
      </c>
      <c r="AI50" s="1623" t="s">
        <v>597</v>
      </c>
      <c r="AJ50" s="1623"/>
      <c r="AK50" s="1623" t="s">
        <v>597</v>
      </c>
      <c r="AL50" s="1623" t="s">
        <v>597</v>
      </c>
      <c r="AM50" s="1623" t="s">
        <v>597</v>
      </c>
      <c r="AN50" s="1623" t="s">
        <v>597</v>
      </c>
      <c r="AO50" s="1660"/>
      <c r="AP50" s="1623" t="s">
        <v>597</v>
      </c>
      <c r="AQ50" s="1623"/>
      <c r="AR50" s="1623"/>
      <c r="AS50" s="1623" t="s">
        <v>597</v>
      </c>
      <c r="AT50" s="1623" t="s">
        <v>597</v>
      </c>
      <c r="AU50" s="1623" t="s">
        <v>597</v>
      </c>
      <c r="AV50" s="1623"/>
      <c r="AW50" s="1623" t="s">
        <v>597</v>
      </c>
      <c r="AX50" s="1623" t="s">
        <v>101</v>
      </c>
      <c r="AY50" s="1623"/>
      <c r="AZ50" s="1623" t="s">
        <v>597</v>
      </c>
      <c r="BA50" s="1623"/>
      <c r="BB50" s="1623" t="s">
        <v>597</v>
      </c>
      <c r="BC50" s="1623" t="s">
        <v>101</v>
      </c>
      <c r="BD50" s="1623"/>
      <c r="BE50" s="1623" t="s">
        <v>597</v>
      </c>
      <c r="BF50" s="1623" t="s">
        <v>101</v>
      </c>
      <c r="BG50" s="1623" t="s">
        <v>597</v>
      </c>
      <c r="BH50" s="1623" t="s">
        <v>597</v>
      </c>
      <c r="BI50" s="1623" t="s">
        <v>597</v>
      </c>
      <c r="BJ50" s="1623" t="s">
        <v>597</v>
      </c>
      <c r="BK50" s="1623"/>
      <c r="BL50" s="1623" t="s">
        <v>597</v>
      </c>
      <c r="BM50" s="1623" t="s">
        <v>597</v>
      </c>
      <c r="BN50" s="1623" t="s">
        <v>597</v>
      </c>
      <c r="BO50" s="1623" t="s">
        <v>101</v>
      </c>
      <c r="BP50" s="1623"/>
      <c r="BQ50" s="1623"/>
      <c r="BR50" s="1623"/>
      <c r="BS50" s="1660"/>
      <c r="BT50" s="1623" t="s">
        <v>597</v>
      </c>
      <c r="BU50" s="1623"/>
      <c r="BV50" s="1623"/>
      <c r="BW50" s="1623" t="s">
        <v>597</v>
      </c>
      <c r="BX50" s="1623" t="s">
        <v>597</v>
      </c>
      <c r="BY50" s="1623"/>
      <c r="BZ50" s="1623"/>
      <c r="CA50" s="1623" t="s">
        <v>597</v>
      </c>
      <c r="CB50" s="1623" t="s">
        <v>597</v>
      </c>
      <c r="CC50" s="1623" t="s">
        <v>597</v>
      </c>
      <c r="CD50" s="1623"/>
      <c r="CE50" s="1623"/>
      <c r="CF50" s="1623" t="s">
        <v>597</v>
      </c>
      <c r="CG50" s="1623" t="s">
        <v>597</v>
      </c>
      <c r="CH50" s="1623" t="s">
        <v>597</v>
      </c>
      <c r="CI50" s="1623"/>
      <c r="CJ50" s="1623"/>
      <c r="CK50" s="1623" t="s">
        <v>597</v>
      </c>
      <c r="CL50" s="1623" t="s">
        <v>597</v>
      </c>
      <c r="CM50" s="1623" t="s">
        <v>597</v>
      </c>
      <c r="CN50" s="1623"/>
      <c r="CO50" s="1623"/>
      <c r="CP50" s="1623" t="s">
        <v>597</v>
      </c>
      <c r="CQ50" s="1623" t="s">
        <v>101</v>
      </c>
      <c r="CR50" s="1623" t="s">
        <v>101</v>
      </c>
      <c r="CS50" s="1623" t="s">
        <v>597</v>
      </c>
      <c r="CT50" s="1623"/>
      <c r="CU50" s="1623" t="s">
        <v>597</v>
      </c>
      <c r="CV50" s="1623" t="s">
        <v>597</v>
      </c>
      <c r="CW50" s="1654" t="s">
        <v>597</v>
      </c>
      <c r="CX50" s="1623" t="s">
        <v>597</v>
      </c>
      <c r="CY50" s="1623" t="s">
        <v>597</v>
      </c>
      <c r="CZ50" s="1623"/>
      <c r="DA50" s="1623" t="s">
        <v>597</v>
      </c>
      <c r="DB50" s="1623"/>
      <c r="DC50" s="1623"/>
      <c r="DD50" s="1623"/>
      <c r="DE50" s="1623" t="s">
        <v>597</v>
      </c>
      <c r="DF50" s="1623" t="s">
        <v>597</v>
      </c>
      <c r="DG50" s="1623" t="s">
        <v>597</v>
      </c>
      <c r="DH50" s="1623" t="s">
        <v>597</v>
      </c>
      <c r="DI50" s="1623" t="s">
        <v>597</v>
      </c>
      <c r="DJ50" s="1623" t="s">
        <v>597</v>
      </c>
      <c r="DK50" s="1623"/>
      <c r="DL50" s="1654" t="s">
        <v>101</v>
      </c>
      <c r="DM50" s="1654" t="s">
        <v>597</v>
      </c>
      <c r="DN50" s="1654" t="s">
        <v>597</v>
      </c>
      <c r="DO50" s="1654" t="s">
        <v>597</v>
      </c>
      <c r="DP50" s="1654" t="s">
        <v>597</v>
      </c>
      <c r="DQ50" s="1654" t="s">
        <v>597</v>
      </c>
      <c r="DR50" s="1654" t="s">
        <v>597</v>
      </c>
      <c r="DS50" s="1654" t="s">
        <v>597</v>
      </c>
      <c r="DT50" s="1654" t="s">
        <v>597</v>
      </c>
      <c r="DU50" s="1654" t="s">
        <v>597</v>
      </c>
      <c r="DV50" s="1654" t="s">
        <v>597</v>
      </c>
      <c r="DW50" s="1654" t="s">
        <v>597</v>
      </c>
      <c r="DX50" s="1654" t="s">
        <v>597</v>
      </c>
      <c r="DY50" s="1654" t="s">
        <v>597</v>
      </c>
      <c r="DZ50" s="1654" t="s">
        <v>597</v>
      </c>
      <c r="EA50" s="1654" t="s">
        <v>597</v>
      </c>
      <c r="EB50" s="1654" t="s">
        <v>101</v>
      </c>
      <c r="EC50" s="1654" t="s">
        <v>597</v>
      </c>
      <c r="ED50" s="1623"/>
      <c r="EE50" s="1623"/>
      <c r="EF50" s="1623"/>
      <c r="EG50" s="1654" t="s">
        <v>597</v>
      </c>
      <c r="EH50" s="1654" t="s">
        <v>597</v>
      </c>
      <c r="EI50" s="1654" t="s">
        <v>597</v>
      </c>
      <c r="EJ50" s="1623"/>
      <c r="EK50" s="1654" t="s">
        <v>597</v>
      </c>
      <c r="EL50" s="1623"/>
      <c r="EM50" s="1654" t="s">
        <v>597</v>
      </c>
      <c r="EN50" s="1623"/>
      <c r="EO50" s="1654" t="s">
        <v>101</v>
      </c>
      <c r="EP50" s="1654" t="s">
        <v>597</v>
      </c>
      <c r="EQ50" s="1654" t="s">
        <v>597</v>
      </c>
      <c r="ER50" s="1654" t="s">
        <v>597</v>
      </c>
      <c r="ES50" s="1654" t="s">
        <v>597</v>
      </c>
      <c r="ET50" s="1654" t="s">
        <v>597</v>
      </c>
      <c r="EU50" s="1623"/>
      <c r="EV50" s="1654" t="s">
        <v>597</v>
      </c>
      <c r="EW50" s="1654" t="s">
        <v>597</v>
      </c>
      <c r="EX50" s="1623"/>
      <c r="EY50" s="1654" t="s">
        <v>597</v>
      </c>
      <c r="EZ50" s="1654" t="s">
        <v>597</v>
      </c>
      <c r="FA50" s="1654" t="s">
        <v>589</v>
      </c>
      <c r="FB50" s="1623"/>
      <c r="FC50" s="1654" t="s">
        <v>597</v>
      </c>
      <c r="FD50" s="1654" t="s">
        <v>597</v>
      </c>
      <c r="FE50" s="1654" t="s">
        <v>597</v>
      </c>
      <c r="FF50" s="1623"/>
      <c r="FG50" s="1623"/>
      <c r="FH50" s="1654" t="s">
        <v>589</v>
      </c>
      <c r="FI50" s="1623"/>
      <c r="FJ50" s="1623"/>
      <c r="FK50" s="1654" t="s">
        <v>597</v>
      </c>
      <c r="FL50" s="1623"/>
      <c r="FM50" s="1623"/>
      <c r="FN50" s="1623"/>
      <c r="FO50" s="1654" t="s">
        <v>597</v>
      </c>
      <c r="FP50" s="1654" t="s">
        <v>597</v>
      </c>
      <c r="FQ50" s="1654" t="s">
        <v>101</v>
      </c>
      <c r="FR50" s="1623"/>
      <c r="FS50" s="1623"/>
      <c r="FT50" s="1654" t="s">
        <v>597</v>
      </c>
      <c r="FU50" s="1623"/>
      <c r="FV50" s="1623"/>
      <c r="FW50" s="1654" t="s">
        <v>597</v>
      </c>
      <c r="FX50" s="1623"/>
      <c r="FY50" s="1623"/>
      <c r="FZ50" s="1654" t="s">
        <v>597</v>
      </c>
      <c r="GA50" s="1623"/>
      <c r="GB50" s="1623"/>
      <c r="GC50" s="1623"/>
      <c r="GD50" s="1654" t="s">
        <v>597</v>
      </c>
      <c r="GE50" s="1654" t="s">
        <v>597</v>
      </c>
      <c r="GF50" s="1654" t="s">
        <v>597</v>
      </c>
      <c r="GG50" s="1654" t="s">
        <v>597</v>
      </c>
      <c r="GH50" s="1623"/>
      <c r="GI50" s="1654" t="s">
        <v>101</v>
      </c>
      <c r="GJ50" s="1654" t="s">
        <v>101</v>
      </c>
      <c r="GK50" s="1654" t="s">
        <v>101</v>
      </c>
      <c r="GL50" s="1654" t="s">
        <v>597</v>
      </c>
      <c r="GM50" s="1654" t="s">
        <v>597</v>
      </c>
      <c r="GN50" s="1654" t="s">
        <v>597</v>
      </c>
      <c r="GO50" s="1654" t="s">
        <v>597</v>
      </c>
      <c r="GP50" s="1623"/>
      <c r="GQ50" s="1623"/>
      <c r="GR50" s="1654" t="s">
        <v>597</v>
      </c>
      <c r="GS50" s="1623"/>
      <c r="GT50" s="1623"/>
      <c r="GU50" s="1654" t="s">
        <v>597</v>
      </c>
      <c r="GV50" s="1654" t="s">
        <v>597</v>
      </c>
      <c r="GW50" s="1669">
        <f>IF(职业列表!$W$27=0,0,_xlfn.IFS(IF(IFERROR(VLOOKUP(A50,职业列表!$J$3:$K$10,1,FALSE),"%^&amp;@%##@^")=A50,1,0)=1,"★",IF(IFERROR(VLOOKUP(A50,职业列表!$J$31:$J$39,1,FALSE),"%^&amp;@%##@^")=A50,1,0)=1,职业列表!$V$25,IF(IFERROR(VLOOKUP(A50,职业列表!$J$43:$J$51,1,FALSE),"%^&amp;@%##@^")=A50,1,0)=1,职业列表!$V$26,IF(IFERROR(VLOOKUP(A50,职业列表!$J$55:$J$63,1,FALSE),"%^&amp;@%##@^")=A50,1,0)=1,职业列表!$V$27,IF(IFERROR(VLOOKUP(A50,职业列表!$J$3:$K$10,1,FALSE),"%^&amp;@%##@^")=A50,1,0)+IF(IFERROR(VLOOKUP(A50,职业列表!$J$31:$J$39,1,FALSE),"%^&amp;@%##@^")=A50,1,0)+IF(IFERROR(VLOOKUP(A50,职业列表!$J$43:$J$51,1,FALSE),"%^&amp;@%##@^")=A50,1,0)+IF(IFERROR(VLOOKUP(A50,职业列表!$J$55:$J$63,1,FALSE),"%^&amp;@%##@^")=A50,1,0)=0,0))</f>
        <v>0</v>
      </c>
      <c r="GX50" s="1623"/>
      <c r="GY50" s="1623" t="s">
        <v>597</v>
      </c>
      <c r="GZ50" s="1623" t="s">
        <v>597</v>
      </c>
      <c r="HA50" s="1623" t="s">
        <v>597</v>
      </c>
      <c r="HB50" s="1623"/>
      <c r="HC50" s="1623" t="s">
        <v>597</v>
      </c>
      <c r="HD50" s="1623"/>
      <c r="HE50" s="1623" t="s">
        <v>597</v>
      </c>
      <c r="HF50" s="1623"/>
      <c r="HG50" s="1623" t="s">
        <v>597</v>
      </c>
      <c r="HH50" s="1623" t="s">
        <v>597</v>
      </c>
      <c r="HI50" s="1623"/>
      <c r="HJ50" s="1624" t="s">
        <v>597</v>
      </c>
      <c r="HK50" s="1623" t="s">
        <v>597</v>
      </c>
      <c r="HL50" s="1623"/>
      <c r="HM50" s="1623" t="s">
        <v>597</v>
      </c>
      <c r="HN50" s="1623" t="s">
        <v>597</v>
      </c>
      <c r="HO50" s="1623" t="s">
        <v>597</v>
      </c>
      <c r="HP50" s="1623" t="s">
        <v>597</v>
      </c>
      <c r="HQ50" s="1623"/>
      <c r="HR50" s="1624" t="s">
        <v>597</v>
      </c>
      <c r="HS50" s="1623" t="s">
        <v>597</v>
      </c>
      <c r="HT50" s="1623" t="s">
        <v>597</v>
      </c>
      <c r="HU50" s="1623" t="s">
        <v>593</v>
      </c>
      <c r="HV50" s="1623" t="s">
        <v>597</v>
      </c>
      <c r="HW50" s="1623"/>
      <c r="HX50" s="1623" t="s">
        <v>597</v>
      </c>
      <c r="HY50" s="1684" t="s">
        <v>597</v>
      </c>
      <c r="HZ50" s="1683"/>
      <c r="IA50" s="1684" t="s">
        <v>597</v>
      </c>
      <c r="IB50" s="1683" t="s">
        <v>597</v>
      </c>
      <c r="IC50" s="1683"/>
      <c r="ID50" s="1683"/>
      <c r="IE50" s="1683"/>
      <c r="IF50" s="1683"/>
      <c r="IG50" s="1683"/>
      <c r="IH50" s="1683"/>
      <c r="II50" s="1683"/>
      <c r="IJ50" s="1683"/>
      <c r="IK50" s="1683"/>
      <c r="IL50" s="1683"/>
      <c r="IM50" s="1683"/>
      <c r="IN50" s="1683"/>
      <c r="IO50" s="1683"/>
      <c r="IP50" s="1683"/>
      <c r="IQ50" s="1683"/>
      <c r="IR50" s="1683"/>
      <c r="IS50" s="1683"/>
      <c r="IT50" s="1683"/>
      <c r="IU50" s="1683"/>
      <c r="IV50" s="1683"/>
    </row>
    <row r="51" ht="20" customHeight="1" spans="1:256">
      <c r="A51" s="1639" t="s">
        <v>105</v>
      </c>
      <c r="B51" s="1616"/>
      <c r="C51" s="1616"/>
      <c r="D51" s="1616"/>
      <c r="E51" s="1616"/>
      <c r="F51" s="1616"/>
      <c r="G51" s="1616"/>
      <c r="H51" s="1616"/>
      <c r="I51" s="1616"/>
      <c r="J51" s="1616"/>
      <c r="K51" s="1616"/>
      <c r="L51" s="1616"/>
      <c r="M51" s="1616"/>
      <c r="N51" s="1616"/>
      <c r="O51" s="1616"/>
      <c r="P51" s="1616"/>
      <c r="Q51" s="1616"/>
      <c r="R51" s="1616"/>
      <c r="S51" s="1616"/>
      <c r="T51" s="1616"/>
      <c r="U51" s="1616"/>
      <c r="V51" s="1616"/>
      <c r="W51" s="1616"/>
      <c r="X51" s="1616"/>
      <c r="Y51" s="1616"/>
      <c r="Z51" s="1616"/>
      <c r="AA51" s="1616"/>
      <c r="AB51" s="1616"/>
      <c r="AC51" s="1616"/>
      <c r="AD51" s="1616"/>
      <c r="AE51" s="1616"/>
      <c r="AF51" s="1616"/>
      <c r="AG51" s="1616"/>
      <c r="AH51" s="1616"/>
      <c r="AI51" s="1616"/>
      <c r="AJ51" s="1616"/>
      <c r="AK51" s="1651" t="s">
        <v>589</v>
      </c>
      <c r="AL51" s="1616"/>
      <c r="AM51" s="1616"/>
      <c r="AN51" s="1616"/>
      <c r="AO51" s="1616"/>
      <c r="AP51" s="1616"/>
      <c r="AQ51" s="1616" t="s">
        <v>3202</v>
      </c>
      <c r="AR51" s="1616"/>
      <c r="AS51" s="1616"/>
      <c r="AT51" s="1616"/>
      <c r="AU51" s="1616"/>
      <c r="AV51" s="1616"/>
      <c r="AW51" s="1616"/>
      <c r="AX51" s="1616"/>
      <c r="AY51" s="1616"/>
      <c r="AZ51" s="1616"/>
      <c r="BA51" s="1616"/>
      <c r="BB51" s="1616"/>
      <c r="BC51" s="1616"/>
      <c r="BD51" s="1616"/>
      <c r="BE51" s="1616"/>
      <c r="BF51" s="1616"/>
      <c r="BG51" s="1616"/>
      <c r="BH51" s="1616"/>
      <c r="BI51" s="1616"/>
      <c r="BJ51" s="1616"/>
      <c r="BK51" s="1616"/>
      <c r="BL51" s="1616"/>
      <c r="BM51" s="1616"/>
      <c r="BN51" s="1616"/>
      <c r="BO51" s="1616"/>
      <c r="BP51" s="1616"/>
      <c r="BQ51" s="1616"/>
      <c r="BR51" s="1616"/>
      <c r="BS51" s="1616"/>
      <c r="BT51" s="1616"/>
      <c r="BU51" s="1616"/>
      <c r="BV51" s="1616"/>
      <c r="BW51" s="1616"/>
      <c r="BX51" s="1616"/>
      <c r="BY51" s="1616"/>
      <c r="BZ51" s="1616"/>
      <c r="CA51" s="1616"/>
      <c r="CB51" s="1616"/>
      <c r="CC51" s="1616"/>
      <c r="CD51" s="1616"/>
      <c r="CE51" s="1616"/>
      <c r="CF51" s="1616"/>
      <c r="CG51" s="1616"/>
      <c r="CH51" s="1616"/>
      <c r="CI51" s="1649" t="s">
        <v>3483</v>
      </c>
      <c r="CJ51" s="1649" t="s">
        <v>3483</v>
      </c>
      <c r="CK51" s="1616"/>
      <c r="CL51" s="1616"/>
      <c r="CM51" s="1616"/>
      <c r="CN51" s="1616"/>
      <c r="CO51" s="1616"/>
      <c r="CP51" s="1616"/>
      <c r="CQ51" s="1616"/>
      <c r="CR51" s="1616"/>
      <c r="CS51" s="1616"/>
      <c r="CT51" s="1649" t="s">
        <v>3484</v>
      </c>
      <c r="CU51" s="1649" t="s">
        <v>3484</v>
      </c>
      <c r="CV51" s="1616"/>
      <c r="CW51" s="1616"/>
      <c r="CX51" s="1616"/>
      <c r="CY51" s="1616"/>
      <c r="CZ51" s="1616"/>
      <c r="DA51" s="1616"/>
      <c r="DB51" s="1616"/>
      <c r="DC51" s="1616" t="s">
        <v>593</v>
      </c>
      <c r="DD51" s="1616"/>
      <c r="DE51" s="1616"/>
      <c r="DF51" s="1616"/>
      <c r="DG51" s="1616"/>
      <c r="DH51" s="1616"/>
      <c r="DI51" s="1616"/>
      <c r="DJ51" s="1616"/>
      <c r="DK51" s="1616"/>
      <c r="DL51" s="1616"/>
      <c r="DM51" s="1616"/>
      <c r="DN51" s="1616"/>
      <c r="DO51" s="1616"/>
      <c r="DP51" s="1616"/>
      <c r="DQ51" s="1616"/>
      <c r="DR51" s="1616"/>
      <c r="DS51" s="1616"/>
      <c r="DT51" s="1616"/>
      <c r="DU51" s="1616"/>
      <c r="DV51" s="1616"/>
      <c r="DW51" s="1616"/>
      <c r="DX51" s="1616"/>
      <c r="DY51" s="1616"/>
      <c r="DZ51" s="1616"/>
      <c r="EA51" s="1616"/>
      <c r="EB51" s="1616"/>
      <c r="EC51" s="1616"/>
      <c r="ED51" s="1616"/>
      <c r="EE51" s="1616"/>
      <c r="EF51" s="1616"/>
      <c r="EG51" s="1616"/>
      <c r="EH51" s="1616"/>
      <c r="EI51" s="1616"/>
      <c r="EJ51" s="1616"/>
      <c r="EK51" s="1616"/>
      <c r="EL51" s="1616"/>
      <c r="EM51" s="1616"/>
      <c r="EN51" s="1651" t="s">
        <v>3202</v>
      </c>
      <c r="EO51" s="1616"/>
      <c r="EP51" s="1616"/>
      <c r="EQ51" s="1616"/>
      <c r="ER51" s="1616"/>
      <c r="ES51" s="1616"/>
      <c r="ET51" s="1616"/>
      <c r="EU51" s="1616"/>
      <c r="EV51" s="1616"/>
      <c r="EW51" s="1616"/>
      <c r="EX51" s="1616"/>
      <c r="EY51" s="1616"/>
      <c r="EZ51" s="1651" t="s">
        <v>101</v>
      </c>
      <c r="FA51" s="1616"/>
      <c r="FB51" s="1616"/>
      <c r="FC51" s="1616"/>
      <c r="FD51" s="1616"/>
      <c r="FE51" s="1616"/>
      <c r="FF51" s="1616"/>
      <c r="FG51" s="1616"/>
      <c r="FH51" s="1616"/>
      <c r="FI51" s="1616"/>
      <c r="FJ51" s="1616"/>
      <c r="FK51" s="1616"/>
      <c r="FL51" s="1616"/>
      <c r="FM51" s="1616"/>
      <c r="FN51" s="1651" t="s">
        <v>3202</v>
      </c>
      <c r="FO51" s="1616"/>
      <c r="FP51" s="1616"/>
      <c r="FQ51" s="1616"/>
      <c r="FR51" s="1616"/>
      <c r="FS51" s="1616"/>
      <c r="FT51" s="1616"/>
      <c r="FU51" s="1616"/>
      <c r="FV51" s="1616"/>
      <c r="FW51" s="1616"/>
      <c r="FX51" s="1616"/>
      <c r="FY51" s="1651" t="s">
        <v>3202</v>
      </c>
      <c r="FZ51" s="1651" t="s">
        <v>3202</v>
      </c>
      <c r="GA51" s="1616"/>
      <c r="GB51" s="1616"/>
      <c r="GC51" s="1616"/>
      <c r="GD51" s="1616"/>
      <c r="GE51" s="1616"/>
      <c r="GF51" s="1616"/>
      <c r="GG51" s="1616"/>
      <c r="GH51" s="1616"/>
      <c r="GI51" s="1616"/>
      <c r="GJ51" s="1616"/>
      <c r="GK51" s="1616"/>
      <c r="GL51" s="1616"/>
      <c r="GM51" s="1616"/>
      <c r="GN51" s="1616"/>
      <c r="GO51" s="1616"/>
      <c r="GP51" s="1616"/>
      <c r="GQ51" s="1616"/>
      <c r="GR51" s="1616"/>
      <c r="GS51" s="1616"/>
      <c r="GT51" s="1616"/>
      <c r="GU51" s="1616"/>
      <c r="GV51" s="1616"/>
      <c r="GW51" s="1669">
        <f>IF(职业列表!$W$27=0,0,_xlfn.IFS(IF(IFERROR(VLOOKUP(A51,职业列表!$J$3:$K$10,1,FALSE),"%^&amp;@%##@^")=A51,1,0)=1,"★",IF(IFERROR(VLOOKUP(A51,职业列表!$J$31:$J$39,1,FALSE),"%^&amp;@%##@^")=A51,1,0)=1,职业列表!$V$25,IF(IFERROR(VLOOKUP(A51,职业列表!$J$43:$J$51,1,FALSE),"%^&amp;@%##@^")=A51,1,0)=1,职业列表!$V$26,IF(IFERROR(VLOOKUP(A51,职业列表!$J$55:$J$63,1,FALSE),"%^&amp;@%##@^")=A51,1,0)=1,职业列表!$V$27,IF(IFERROR(VLOOKUP(A51,职业列表!$J$3:$K$10,1,FALSE),"%^&amp;@%##@^")=A51,1,0)+IF(IFERROR(VLOOKUP(A51,职业列表!$J$31:$J$39,1,FALSE),"%^&amp;@%##@^")=A51,1,0)+IF(IFERROR(VLOOKUP(A51,职业列表!$J$43:$J$51,1,FALSE),"%^&amp;@%##@^")=A51,1,0)+IF(IFERROR(VLOOKUP(A51,职业列表!$J$55:$J$63,1,FALSE),"%^&amp;@%##@^")=A51,1,0)=0,0))</f>
        <v>0</v>
      </c>
      <c r="GX51" s="1616"/>
      <c r="GY51" s="1616"/>
      <c r="GZ51" s="1616"/>
      <c r="HA51" s="1616"/>
      <c r="HB51" s="1616"/>
      <c r="HC51" s="1616"/>
      <c r="HD51" s="1616"/>
      <c r="HE51" s="1616"/>
      <c r="HF51" s="1616"/>
      <c r="HG51" s="1616"/>
      <c r="HH51" s="1616"/>
      <c r="HI51" s="1616"/>
      <c r="HJ51" s="1616"/>
      <c r="HK51" s="1616"/>
      <c r="HL51" s="1649" t="s">
        <v>3485</v>
      </c>
      <c r="HM51" s="1616"/>
      <c r="HN51" s="1616"/>
      <c r="HO51" s="1658" t="s">
        <v>593</v>
      </c>
      <c r="HP51" s="1616"/>
      <c r="HQ51" s="1616"/>
      <c r="HR51" s="1616"/>
      <c r="HS51" s="1616"/>
      <c r="HT51" s="1616"/>
      <c r="HU51" s="1616"/>
      <c r="HV51" s="1616"/>
      <c r="HW51" s="1616"/>
      <c r="HX51" s="1616"/>
      <c r="HY51" s="1681"/>
      <c r="HZ51" s="1681"/>
      <c r="IA51" s="1681"/>
      <c r="IB51" s="1681"/>
      <c r="IC51" s="1681"/>
      <c r="ID51" s="1681"/>
      <c r="IE51" s="1681"/>
      <c r="IF51" s="1681"/>
      <c r="IG51" s="1681"/>
      <c r="IH51" s="1681"/>
      <c r="II51" s="1681"/>
      <c r="IJ51" s="1681"/>
      <c r="IK51" s="1681"/>
      <c r="IL51" s="1681"/>
      <c r="IM51" s="1681"/>
      <c r="IN51" s="1681"/>
      <c r="IO51" s="1681"/>
      <c r="IP51" s="1681"/>
      <c r="IQ51" s="1681"/>
      <c r="IR51" s="1681"/>
      <c r="IS51" s="1681"/>
      <c r="IT51" s="1681"/>
      <c r="IU51" s="1681"/>
      <c r="IV51" s="1681"/>
    </row>
    <row r="52" ht="20" customHeight="1" spans="1:256">
      <c r="A52" s="1640" t="s">
        <v>112</v>
      </c>
      <c r="B52" s="1616"/>
      <c r="C52" s="1616"/>
      <c r="D52" s="1616"/>
      <c r="E52" s="1616"/>
      <c r="F52" s="1616"/>
      <c r="G52" s="1616" t="s">
        <v>101</v>
      </c>
      <c r="H52" s="1616"/>
      <c r="I52" s="1616"/>
      <c r="J52" s="1616"/>
      <c r="K52" s="1616"/>
      <c r="L52" s="1616"/>
      <c r="M52" s="1616"/>
      <c r="N52" s="1616"/>
      <c r="O52" s="1616"/>
      <c r="P52" s="1616"/>
      <c r="Q52" s="1616"/>
      <c r="R52" s="1616"/>
      <c r="S52" s="1616"/>
      <c r="T52" s="1616"/>
      <c r="U52" s="1616"/>
      <c r="V52" s="1616"/>
      <c r="W52" s="1616"/>
      <c r="X52" s="1616"/>
      <c r="Y52" s="1616"/>
      <c r="Z52" s="1616"/>
      <c r="AA52" s="1616"/>
      <c r="AB52" s="1616"/>
      <c r="AC52" s="1616"/>
      <c r="AD52" s="1616"/>
      <c r="AE52" s="1616"/>
      <c r="AF52" s="1616"/>
      <c r="AG52" s="1616"/>
      <c r="AH52" s="1616"/>
      <c r="AI52" s="1616"/>
      <c r="AJ52" s="1616"/>
      <c r="AK52" s="1616"/>
      <c r="AL52" s="1616"/>
      <c r="AM52" s="1616"/>
      <c r="AN52" s="1616"/>
      <c r="AO52" s="1616"/>
      <c r="AP52" s="1616"/>
      <c r="AQ52" s="1616"/>
      <c r="AR52" s="1616"/>
      <c r="AS52" s="1616"/>
      <c r="AT52" s="1616"/>
      <c r="AU52" s="1616"/>
      <c r="AV52" s="1616"/>
      <c r="AW52" s="1616"/>
      <c r="AX52" s="1616"/>
      <c r="AY52" s="1616"/>
      <c r="AZ52" s="1616"/>
      <c r="BA52" s="1616"/>
      <c r="BB52" s="1616"/>
      <c r="BC52" s="1616"/>
      <c r="BD52" s="1616"/>
      <c r="BE52" s="1616"/>
      <c r="BF52" s="1616"/>
      <c r="BG52" s="1616"/>
      <c r="BH52" s="1616"/>
      <c r="BI52" s="1616"/>
      <c r="BJ52" s="1616"/>
      <c r="BK52" s="1616"/>
      <c r="BL52" s="1616"/>
      <c r="BM52" s="1616"/>
      <c r="BN52" s="1616"/>
      <c r="BO52" s="1616"/>
      <c r="BP52" s="1616"/>
      <c r="BQ52" s="1616"/>
      <c r="BR52" s="1616"/>
      <c r="BS52" s="1616"/>
      <c r="BT52" s="1616"/>
      <c r="BU52" s="1616"/>
      <c r="BV52" s="1616"/>
      <c r="BW52" s="1616"/>
      <c r="BX52" s="1616"/>
      <c r="BY52" s="1616"/>
      <c r="BZ52" s="1616"/>
      <c r="CA52" s="1616"/>
      <c r="CB52" s="1616"/>
      <c r="CC52" s="1616"/>
      <c r="CD52" s="1616"/>
      <c r="CE52" s="1616"/>
      <c r="CF52" s="1616"/>
      <c r="CG52" s="1616"/>
      <c r="CH52" s="1616"/>
      <c r="CI52" s="1616"/>
      <c r="CJ52" s="1616"/>
      <c r="CK52" s="1616"/>
      <c r="CL52" s="1616"/>
      <c r="CM52" s="1616"/>
      <c r="CN52" s="1616"/>
      <c r="CO52" s="1616"/>
      <c r="CP52" s="1616"/>
      <c r="CQ52" s="1616" t="s">
        <v>101</v>
      </c>
      <c r="CR52" s="1616" t="s">
        <v>101</v>
      </c>
      <c r="CS52" s="1616"/>
      <c r="CT52" s="1616"/>
      <c r="CU52" s="1616"/>
      <c r="CV52" s="1616"/>
      <c r="CW52" s="1616"/>
      <c r="CX52" s="1616"/>
      <c r="CY52" s="1616"/>
      <c r="CZ52" s="1616"/>
      <c r="DA52" s="1616"/>
      <c r="DB52" s="1616"/>
      <c r="DC52" s="1616"/>
      <c r="DD52" s="1616"/>
      <c r="DE52" s="1616"/>
      <c r="DF52" s="1616"/>
      <c r="DG52" s="1616"/>
      <c r="DH52" s="1616"/>
      <c r="DI52" s="1616"/>
      <c r="DJ52" s="1616"/>
      <c r="DK52" s="1616"/>
      <c r="DL52" s="1616"/>
      <c r="DM52" s="1616"/>
      <c r="DN52" s="1616"/>
      <c r="DO52" s="1616"/>
      <c r="DP52" s="1616"/>
      <c r="DQ52" s="1616"/>
      <c r="DR52" s="1616"/>
      <c r="DS52" s="1616"/>
      <c r="DT52" s="1616"/>
      <c r="DU52" s="1616"/>
      <c r="DV52" s="1616"/>
      <c r="DW52" s="1616"/>
      <c r="DX52" s="1616"/>
      <c r="DY52" s="1616"/>
      <c r="DZ52" s="1616"/>
      <c r="EA52" s="1616"/>
      <c r="EB52" s="1616"/>
      <c r="EC52" s="1616"/>
      <c r="ED52" s="1616"/>
      <c r="EE52" s="1616"/>
      <c r="EF52" s="1616"/>
      <c r="EG52" s="1616"/>
      <c r="EH52" s="1616"/>
      <c r="EI52" s="1616"/>
      <c r="EJ52" s="1616"/>
      <c r="EK52" s="1616"/>
      <c r="EL52" s="1616"/>
      <c r="EM52" s="1616"/>
      <c r="EN52" s="1616"/>
      <c r="EO52" s="1616"/>
      <c r="EP52" s="1616"/>
      <c r="EQ52" s="1616"/>
      <c r="ER52" s="1616"/>
      <c r="ES52" s="1616"/>
      <c r="ET52" s="1616"/>
      <c r="EU52" s="1616"/>
      <c r="EV52" s="1616"/>
      <c r="EW52" s="1616"/>
      <c r="EX52" s="1616"/>
      <c r="EY52" s="1616"/>
      <c r="EZ52" s="1616"/>
      <c r="FA52" s="1616"/>
      <c r="FB52" s="1616"/>
      <c r="FC52" s="1616"/>
      <c r="FD52" s="1616"/>
      <c r="FE52" s="1616"/>
      <c r="FF52" s="1616"/>
      <c r="FG52" s="1616"/>
      <c r="FH52" s="1616"/>
      <c r="FI52" s="1616"/>
      <c r="FJ52" s="1651" t="s">
        <v>589</v>
      </c>
      <c r="FK52" s="1616"/>
      <c r="FL52" s="1616"/>
      <c r="FM52" s="1616"/>
      <c r="FN52" s="1616"/>
      <c r="FO52" s="1651" t="s">
        <v>101</v>
      </c>
      <c r="FP52" s="1616"/>
      <c r="FQ52" s="1616"/>
      <c r="FR52" s="1651" t="s">
        <v>101</v>
      </c>
      <c r="FS52" s="1616"/>
      <c r="FT52" s="1616"/>
      <c r="FU52" s="1616"/>
      <c r="FV52" s="1616"/>
      <c r="FW52" s="1616"/>
      <c r="FX52" s="1616"/>
      <c r="FY52" s="1616"/>
      <c r="FZ52" s="1616"/>
      <c r="GA52" s="1616"/>
      <c r="GB52" s="1616"/>
      <c r="GC52" s="1616"/>
      <c r="GD52" s="1616"/>
      <c r="GE52" s="1616"/>
      <c r="GF52" s="1616"/>
      <c r="GG52" s="1616"/>
      <c r="GH52" s="1616"/>
      <c r="GI52" s="1616"/>
      <c r="GJ52" s="1616"/>
      <c r="GK52" s="1616"/>
      <c r="GL52" s="1616"/>
      <c r="GM52" s="1616"/>
      <c r="GN52" s="1616"/>
      <c r="GO52" s="1616"/>
      <c r="GP52" s="1616"/>
      <c r="GQ52" s="1616"/>
      <c r="GR52" s="1616"/>
      <c r="GS52" s="1616"/>
      <c r="GT52" s="1616"/>
      <c r="GU52" s="1616"/>
      <c r="GV52" s="1616"/>
      <c r="GW52" s="1669">
        <f>IF(职业列表!$W$27=0,0,_xlfn.IFS(IF(IFERROR(VLOOKUP(A52,职业列表!$J$3:$K$10,1,FALSE),"%^&amp;@%##@^")=A52,1,0)=1,"★",IF(IFERROR(VLOOKUP(A52,职业列表!$J$31:$J$39,1,FALSE),"%^&amp;@%##@^")=A52,1,0)=1,职业列表!$V$25,IF(IFERROR(VLOOKUP(A52,职业列表!$J$43:$J$51,1,FALSE),"%^&amp;@%##@^")=A52,1,0)=1,职业列表!$V$26,IF(IFERROR(VLOOKUP(A52,职业列表!$J$55:$J$63,1,FALSE),"%^&amp;@%##@^")=A52,1,0)=1,职业列表!$V$27,IF(IFERROR(VLOOKUP(A52,职业列表!$J$3:$K$10,1,FALSE),"%^&amp;@%##@^")=A52,1,0)+IF(IFERROR(VLOOKUP(A52,职业列表!$J$31:$J$39,1,FALSE),"%^&amp;@%##@^")=A52,1,0)+IF(IFERROR(VLOOKUP(A52,职业列表!$J$43:$J$51,1,FALSE),"%^&amp;@%##@^")=A52,1,0)+IF(IFERROR(VLOOKUP(A52,职业列表!$J$55:$J$63,1,FALSE),"%^&amp;@%##@^")=A52,1,0)=0,0))</f>
        <v>0</v>
      </c>
      <c r="GX52" s="1616"/>
      <c r="GY52" s="1616"/>
      <c r="GZ52" s="1616"/>
      <c r="HA52" s="1616"/>
      <c r="HB52" s="1616"/>
      <c r="HC52" s="1616"/>
      <c r="HD52" s="1616"/>
      <c r="HE52" s="1616"/>
      <c r="HF52" s="1616"/>
      <c r="HG52" s="1616"/>
      <c r="HH52" s="1616"/>
      <c r="HI52" s="1616"/>
      <c r="HJ52" s="1616"/>
      <c r="HK52" s="1616"/>
      <c r="HL52" s="1616"/>
      <c r="HM52" s="1616"/>
      <c r="HN52" s="1616"/>
      <c r="HO52" s="1616"/>
      <c r="HP52" s="1616"/>
      <c r="HQ52" s="1616"/>
      <c r="HR52" s="1616"/>
      <c r="HS52" s="1616"/>
      <c r="HT52" s="1616"/>
      <c r="HU52" s="1616"/>
      <c r="HV52" s="1616"/>
      <c r="HW52" s="1616"/>
      <c r="HX52" s="1616"/>
      <c r="HY52" s="1681"/>
      <c r="HZ52" s="1681"/>
      <c r="IA52" s="1681"/>
      <c r="IB52" s="1681"/>
      <c r="IC52" s="1681"/>
      <c r="ID52" s="1681"/>
      <c r="IE52" s="1681"/>
      <c r="IF52" s="1681"/>
      <c r="IG52" s="1681"/>
      <c r="IH52" s="1681"/>
      <c r="II52" s="1681"/>
      <c r="IJ52" s="1681"/>
      <c r="IK52" s="1681"/>
      <c r="IL52" s="1681"/>
      <c r="IM52" s="1681"/>
      <c r="IN52" s="1681"/>
      <c r="IO52" s="1681"/>
      <c r="IP52" s="1681"/>
      <c r="IQ52" s="1681"/>
      <c r="IR52" s="1681"/>
      <c r="IS52" s="1681"/>
      <c r="IT52" s="1681"/>
      <c r="IU52" s="1681"/>
      <c r="IV52" s="1681"/>
    </row>
    <row r="53" s="1603" customFormat="1" ht="20" customHeight="1" spans="1:256">
      <c r="A53" s="1641" t="s">
        <v>114</v>
      </c>
      <c r="B53" s="1642"/>
      <c r="C53" s="1642"/>
      <c r="D53" s="1642" t="s">
        <v>101</v>
      </c>
      <c r="E53" s="1642" t="s">
        <v>101</v>
      </c>
      <c r="F53" s="1642" t="s">
        <v>101</v>
      </c>
      <c r="G53" s="1642" t="s">
        <v>101</v>
      </c>
      <c r="H53" s="1642" t="s">
        <v>101</v>
      </c>
      <c r="I53" s="1642"/>
      <c r="J53" s="1642"/>
      <c r="K53" s="1642"/>
      <c r="L53" s="1642" t="s">
        <v>101</v>
      </c>
      <c r="M53" s="1642" t="s">
        <v>101</v>
      </c>
      <c r="N53" s="1642" t="s">
        <v>101</v>
      </c>
      <c r="O53" s="1642"/>
      <c r="P53" s="1642" t="s">
        <v>101</v>
      </c>
      <c r="Q53" s="1642" t="s">
        <v>101</v>
      </c>
      <c r="R53" s="1642"/>
      <c r="S53" s="1642"/>
      <c r="T53" s="1642" t="s">
        <v>101</v>
      </c>
      <c r="U53" s="1642" t="s">
        <v>101</v>
      </c>
      <c r="V53" s="1642" t="s">
        <v>101</v>
      </c>
      <c r="W53" s="1642" t="s">
        <v>101</v>
      </c>
      <c r="X53" s="1642"/>
      <c r="Y53" s="1642"/>
      <c r="Z53" s="1642"/>
      <c r="AA53" s="1642"/>
      <c r="AB53" s="1642" t="s">
        <v>101</v>
      </c>
      <c r="AC53" s="1642"/>
      <c r="AD53" s="1642" t="s">
        <v>101</v>
      </c>
      <c r="AE53" s="1642"/>
      <c r="AF53" s="1642" t="s">
        <v>101</v>
      </c>
      <c r="AG53" s="1642" t="s">
        <v>101</v>
      </c>
      <c r="AH53" s="1642"/>
      <c r="AI53" s="1642"/>
      <c r="AJ53" s="1642"/>
      <c r="AK53" s="1642" t="s">
        <v>101</v>
      </c>
      <c r="AL53" s="1642"/>
      <c r="AM53" s="1642" t="s">
        <v>101</v>
      </c>
      <c r="AN53" s="1642" t="s">
        <v>101</v>
      </c>
      <c r="AO53" s="1642" t="s">
        <v>101</v>
      </c>
      <c r="AP53" s="1642"/>
      <c r="AQ53" s="1642"/>
      <c r="AR53" s="1642" t="s">
        <v>101</v>
      </c>
      <c r="AS53" s="1642"/>
      <c r="AT53" s="1642"/>
      <c r="AU53" s="1642" t="s">
        <v>101</v>
      </c>
      <c r="AV53" s="1642"/>
      <c r="AW53" s="1642" t="s">
        <v>101</v>
      </c>
      <c r="AX53" s="1642" t="s">
        <v>101</v>
      </c>
      <c r="AY53" s="1642"/>
      <c r="AZ53" s="1642" t="s">
        <v>101</v>
      </c>
      <c r="BA53" s="1642"/>
      <c r="BB53" s="1642"/>
      <c r="BC53" s="1642"/>
      <c r="BD53" s="1642"/>
      <c r="BE53" s="1642" t="s">
        <v>101</v>
      </c>
      <c r="BF53" s="1642"/>
      <c r="BG53" s="1642" t="s">
        <v>101</v>
      </c>
      <c r="BH53" s="1642" t="s">
        <v>101</v>
      </c>
      <c r="BI53" s="1642" t="s">
        <v>101</v>
      </c>
      <c r="BJ53" s="1642"/>
      <c r="BK53" s="1642"/>
      <c r="BL53" s="1642" t="s">
        <v>101</v>
      </c>
      <c r="BM53" s="1642" t="s">
        <v>101</v>
      </c>
      <c r="BN53" s="1642" t="s">
        <v>101</v>
      </c>
      <c r="BO53" s="1642" t="s">
        <v>101</v>
      </c>
      <c r="BP53" s="1642"/>
      <c r="BQ53" s="1642"/>
      <c r="BR53" s="1642"/>
      <c r="BS53" s="1642"/>
      <c r="BT53" s="1642" t="s">
        <v>101</v>
      </c>
      <c r="BU53" s="1642"/>
      <c r="BV53" s="1642"/>
      <c r="BW53" s="1642" t="s">
        <v>101</v>
      </c>
      <c r="BX53" s="1642"/>
      <c r="BY53" s="1642"/>
      <c r="BZ53" s="1642"/>
      <c r="CA53" s="1642" t="s">
        <v>101</v>
      </c>
      <c r="CB53" s="1642" t="s">
        <v>101</v>
      </c>
      <c r="CC53" s="1642"/>
      <c r="CD53" s="1642"/>
      <c r="CE53" s="1642" t="s">
        <v>101</v>
      </c>
      <c r="CF53" s="1642" t="s">
        <v>101</v>
      </c>
      <c r="CG53" s="1642" t="s">
        <v>101</v>
      </c>
      <c r="CH53" s="1642" t="s">
        <v>101</v>
      </c>
      <c r="CI53" s="1642"/>
      <c r="CJ53" s="1642"/>
      <c r="CK53" s="1642" t="s">
        <v>101</v>
      </c>
      <c r="CL53" s="1642" t="s">
        <v>101</v>
      </c>
      <c r="CM53" s="1642" t="s">
        <v>101</v>
      </c>
      <c r="CN53" s="1642" t="s">
        <v>101</v>
      </c>
      <c r="CO53" s="1642"/>
      <c r="CP53" s="1642" t="s">
        <v>101</v>
      </c>
      <c r="CQ53" s="1642" t="s">
        <v>101</v>
      </c>
      <c r="CR53" s="1642" t="s">
        <v>101</v>
      </c>
      <c r="CS53" s="1642"/>
      <c r="CT53" s="1642"/>
      <c r="CU53" s="1642"/>
      <c r="CV53" s="1642" t="s">
        <v>101</v>
      </c>
      <c r="CW53" s="1642"/>
      <c r="CX53" s="1642" t="s">
        <v>101</v>
      </c>
      <c r="CY53" s="1642" t="s">
        <v>101</v>
      </c>
      <c r="CZ53" s="1642"/>
      <c r="DA53" s="1642" t="s">
        <v>101</v>
      </c>
      <c r="DB53" s="1642"/>
      <c r="DC53" s="1642"/>
      <c r="DD53" s="1642"/>
      <c r="DE53" s="1642" t="s">
        <v>101</v>
      </c>
      <c r="DF53" s="1642" t="s">
        <v>101</v>
      </c>
      <c r="DG53" s="1642" t="s">
        <v>101</v>
      </c>
      <c r="DH53" s="1642"/>
      <c r="DI53" s="1642" t="s">
        <v>101</v>
      </c>
      <c r="DJ53" s="1642" t="s">
        <v>101</v>
      </c>
      <c r="DK53" s="1642"/>
      <c r="DL53" s="1670" t="s">
        <v>101</v>
      </c>
      <c r="DM53" s="1642"/>
      <c r="DN53" s="1642"/>
      <c r="DO53" s="1670" t="s">
        <v>101</v>
      </c>
      <c r="DP53" s="1642"/>
      <c r="DQ53" s="1670" t="s">
        <v>101</v>
      </c>
      <c r="DR53" s="1670" t="s">
        <v>101</v>
      </c>
      <c r="DS53" s="1670" t="s">
        <v>101</v>
      </c>
      <c r="DT53" s="1670" t="s">
        <v>101</v>
      </c>
      <c r="DU53" s="1670" t="s">
        <v>101</v>
      </c>
      <c r="DV53" s="1670" t="s">
        <v>101</v>
      </c>
      <c r="DW53" s="1670" t="s">
        <v>101</v>
      </c>
      <c r="DX53" s="1670" t="s">
        <v>101</v>
      </c>
      <c r="DY53" s="1670" t="s">
        <v>101</v>
      </c>
      <c r="DZ53" s="1670" t="s">
        <v>101</v>
      </c>
      <c r="EA53" s="1670" t="s">
        <v>101</v>
      </c>
      <c r="EB53" s="1642"/>
      <c r="EC53" s="1670" t="s">
        <v>101</v>
      </c>
      <c r="ED53" s="1670" t="s">
        <v>101</v>
      </c>
      <c r="EE53" s="1670" t="s">
        <v>101</v>
      </c>
      <c r="EF53" s="1670" t="s">
        <v>101</v>
      </c>
      <c r="EG53" s="1670" t="s">
        <v>101</v>
      </c>
      <c r="EH53" s="1642"/>
      <c r="EI53" s="1642"/>
      <c r="EJ53" s="1642"/>
      <c r="EK53" s="1670" t="s">
        <v>101</v>
      </c>
      <c r="EL53" s="1642"/>
      <c r="EM53" s="1670" t="s">
        <v>101</v>
      </c>
      <c r="EN53" s="1670" t="s">
        <v>101</v>
      </c>
      <c r="EO53" s="1670" t="s">
        <v>101</v>
      </c>
      <c r="EP53" s="1670" t="s">
        <v>101</v>
      </c>
      <c r="EQ53" s="1670" t="s">
        <v>101</v>
      </c>
      <c r="ER53" s="1670" t="s">
        <v>101</v>
      </c>
      <c r="ES53" s="1670" t="s">
        <v>101</v>
      </c>
      <c r="ET53" s="1670" t="s">
        <v>101</v>
      </c>
      <c r="EU53" s="1642"/>
      <c r="EV53" s="1670" t="s">
        <v>101</v>
      </c>
      <c r="EW53" s="1670" t="s">
        <v>101</v>
      </c>
      <c r="EX53" s="1642"/>
      <c r="EY53" s="1670" t="s">
        <v>101</v>
      </c>
      <c r="EZ53" s="1642"/>
      <c r="FA53" s="1670" t="s">
        <v>589</v>
      </c>
      <c r="FB53" s="1642"/>
      <c r="FC53" s="1670" t="s">
        <v>101</v>
      </c>
      <c r="FD53" s="1670" t="s">
        <v>101</v>
      </c>
      <c r="FE53" s="1642"/>
      <c r="FF53" s="1670" t="s">
        <v>101</v>
      </c>
      <c r="FG53" s="1642"/>
      <c r="FH53" s="1670" t="s">
        <v>101</v>
      </c>
      <c r="FI53" s="1642"/>
      <c r="FJ53" s="1642"/>
      <c r="FK53" s="1670" t="s">
        <v>101</v>
      </c>
      <c r="FL53" s="1670" t="s">
        <v>101</v>
      </c>
      <c r="FM53" s="1670" t="s">
        <v>101</v>
      </c>
      <c r="FN53" s="1642"/>
      <c r="FO53" s="1670" t="s">
        <v>101</v>
      </c>
      <c r="FP53" s="1642"/>
      <c r="FQ53" s="1642"/>
      <c r="FR53" s="1670" t="s">
        <v>101</v>
      </c>
      <c r="FS53" s="1642"/>
      <c r="FT53" s="1642"/>
      <c r="FU53" s="1642"/>
      <c r="FV53" s="1642"/>
      <c r="FW53" s="1670" t="s">
        <v>101</v>
      </c>
      <c r="FX53" s="1670" t="s">
        <v>101</v>
      </c>
      <c r="FY53" s="1642"/>
      <c r="FZ53" s="1642"/>
      <c r="GA53" s="1642"/>
      <c r="GB53" s="1642"/>
      <c r="GC53" s="1642"/>
      <c r="GD53" s="1670" t="s">
        <v>101</v>
      </c>
      <c r="GE53" s="1670" t="s">
        <v>101</v>
      </c>
      <c r="GF53" s="1670" t="s">
        <v>101</v>
      </c>
      <c r="GG53" s="1670" t="s">
        <v>101</v>
      </c>
      <c r="GH53" s="1642"/>
      <c r="GI53" s="1670" t="s">
        <v>101</v>
      </c>
      <c r="GJ53" s="1670" t="s">
        <v>101</v>
      </c>
      <c r="GK53" s="1670" t="s">
        <v>101</v>
      </c>
      <c r="GL53" s="1670" t="s">
        <v>101</v>
      </c>
      <c r="GM53" s="1642"/>
      <c r="GN53" s="1642"/>
      <c r="GO53" s="1670" t="s">
        <v>101</v>
      </c>
      <c r="GP53" s="1642"/>
      <c r="GQ53" s="1642"/>
      <c r="GR53" s="1642"/>
      <c r="GS53" s="1642"/>
      <c r="GT53" s="1642"/>
      <c r="GU53" s="1670" t="s">
        <v>101</v>
      </c>
      <c r="GV53" s="1642"/>
      <c r="GW53" s="1669">
        <f>IF(职业列表!$W$27=0,0,_xlfn.IFS(IF(IFERROR(VLOOKUP(A53,职业列表!$J$3:$K$10,1,FALSE),"%^&amp;@%##@^")=A53,1,0)=1,"★",IF(IFERROR(VLOOKUP(A53,职业列表!$J$31:$J$39,1,FALSE),"%^&amp;@%##@^")=A53,1,0)=1,职业列表!$V$25,IF(IFERROR(VLOOKUP(A53,职业列表!$J$43:$J$51,1,FALSE),"%^&amp;@%##@^")=A53,1,0)=1,职业列表!$V$26,IF(IFERROR(VLOOKUP(A53,职业列表!$J$55:$J$63,1,FALSE),"%^&amp;@%##@^")=A53,1,0)=1,职业列表!$V$27,IF(IFERROR(VLOOKUP(A53,职业列表!$J$3:$K$10,1,FALSE),"%^&amp;@%##@^")=A53,1,0)+IF(IFERROR(VLOOKUP(A53,职业列表!$J$31:$J$39,1,FALSE),"%^&amp;@%##@^")=A53,1,0)+IF(IFERROR(VLOOKUP(A53,职业列表!$J$43:$J$51,1,FALSE),"%^&amp;@%##@^")=A53,1,0)+IF(IFERROR(VLOOKUP(A53,职业列表!$J$55:$J$63,1,FALSE),"%^&amp;@%##@^")=A53,1,0)=0,0))</f>
        <v>0</v>
      </c>
      <c r="GX53" s="1642"/>
      <c r="GY53" s="1642" t="s">
        <v>101</v>
      </c>
      <c r="GZ53" s="1642" t="s">
        <v>101</v>
      </c>
      <c r="HA53" s="1642"/>
      <c r="HB53" s="1642"/>
      <c r="HC53" s="1642" t="s">
        <v>101</v>
      </c>
      <c r="HD53" s="1674" t="s">
        <v>101</v>
      </c>
      <c r="HE53" s="1675" t="s">
        <v>101</v>
      </c>
      <c r="HF53" s="1642" t="s">
        <v>101</v>
      </c>
      <c r="HG53" s="1642"/>
      <c r="HH53" s="1642"/>
      <c r="HI53" s="1642"/>
      <c r="HJ53" s="1642" t="s">
        <v>101</v>
      </c>
      <c r="HK53" s="1675" t="s">
        <v>101</v>
      </c>
      <c r="HL53" s="1642"/>
      <c r="HM53" s="1642"/>
      <c r="HN53" s="1675" t="s">
        <v>101</v>
      </c>
      <c r="HO53" s="1642"/>
      <c r="HP53" s="1675" t="s">
        <v>101</v>
      </c>
      <c r="HQ53" s="1642" t="s">
        <v>101</v>
      </c>
      <c r="HR53" s="1642" t="s">
        <v>101</v>
      </c>
      <c r="HS53" s="1642" t="s">
        <v>101</v>
      </c>
      <c r="HT53" s="1642"/>
      <c r="HU53" s="1642"/>
      <c r="HV53" s="1642" t="s">
        <v>101</v>
      </c>
      <c r="HW53" s="1642"/>
      <c r="HX53" s="1642" t="s">
        <v>101</v>
      </c>
      <c r="HY53" s="1695"/>
      <c r="HZ53" s="1695"/>
      <c r="IA53" s="1695"/>
      <c r="IB53" s="1695" t="s">
        <v>101</v>
      </c>
      <c r="IC53" s="1695" t="s">
        <v>101</v>
      </c>
      <c r="ID53" s="1695"/>
      <c r="IE53" s="1695"/>
      <c r="IF53" s="1695"/>
      <c r="IG53" s="1695"/>
      <c r="IH53" s="1695"/>
      <c r="II53" s="1695"/>
      <c r="IJ53" s="1695"/>
      <c r="IK53" s="1695"/>
      <c r="IL53" s="1695"/>
      <c r="IM53" s="1695"/>
      <c r="IN53" s="1695"/>
      <c r="IO53" s="1695"/>
      <c r="IP53" s="1695"/>
      <c r="IQ53" s="1695"/>
      <c r="IR53" s="1695"/>
      <c r="IS53" s="1695"/>
      <c r="IT53" s="1695"/>
      <c r="IU53" s="1695"/>
      <c r="IV53" s="1695"/>
    </row>
    <row r="54" ht="20" customHeight="1" spans="1:256">
      <c r="A54" s="1643" t="s">
        <v>117</v>
      </c>
      <c r="B54" s="1616"/>
      <c r="C54" s="1616"/>
      <c r="D54" s="1616"/>
      <c r="E54" s="1616"/>
      <c r="F54" s="1616"/>
      <c r="G54" s="1616"/>
      <c r="H54" s="1616"/>
      <c r="I54" s="1616"/>
      <c r="J54" s="1616"/>
      <c r="K54" s="1616"/>
      <c r="L54" s="1616"/>
      <c r="M54" s="1616"/>
      <c r="N54" s="1616"/>
      <c r="O54" s="1616" t="s">
        <v>101</v>
      </c>
      <c r="P54" s="1616"/>
      <c r="Q54" s="1616"/>
      <c r="R54" s="1616"/>
      <c r="S54" s="1616"/>
      <c r="T54" s="1616"/>
      <c r="U54" s="1616"/>
      <c r="V54" s="1616"/>
      <c r="W54" s="1616"/>
      <c r="X54" s="1616"/>
      <c r="Y54" s="1616"/>
      <c r="Z54" s="1616" t="s">
        <v>101</v>
      </c>
      <c r="AA54" s="1616"/>
      <c r="AB54" s="1616"/>
      <c r="AC54" s="1616"/>
      <c r="AD54" s="1616"/>
      <c r="AE54" s="1616"/>
      <c r="AF54" s="1616"/>
      <c r="AG54" s="1616"/>
      <c r="AH54" s="1616"/>
      <c r="AI54" s="1616"/>
      <c r="AJ54" s="1616"/>
      <c r="AK54" s="1616"/>
      <c r="AL54" s="1616"/>
      <c r="AM54" s="1616"/>
      <c r="AN54" s="1616"/>
      <c r="AO54" s="1621"/>
      <c r="AP54" s="1616" t="s">
        <v>101</v>
      </c>
      <c r="AQ54" s="1616"/>
      <c r="AR54" s="1616"/>
      <c r="AS54" s="1616"/>
      <c r="AT54" s="1616"/>
      <c r="AU54" s="1616"/>
      <c r="AV54" s="1616"/>
      <c r="AW54" s="1616"/>
      <c r="AX54" s="1616"/>
      <c r="AY54" s="1616"/>
      <c r="AZ54" s="1616"/>
      <c r="BA54" s="1616"/>
      <c r="BB54" s="1616"/>
      <c r="BC54" s="1616"/>
      <c r="BD54" s="1616"/>
      <c r="BE54" s="1616"/>
      <c r="BF54" s="1616"/>
      <c r="BG54" s="1616"/>
      <c r="BH54" s="1616"/>
      <c r="BI54" s="1616"/>
      <c r="BJ54" s="1616" t="s">
        <v>101</v>
      </c>
      <c r="BK54" s="1616"/>
      <c r="BL54" s="1616"/>
      <c r="BM54" s="1616"/>
      <c r="BN54" s="1616"/>
      <c r="BO54" s="1616"/>
      <c r="BP54" s="1616"/>
      <c r="BQ54" s="1616"/>
      <c r="BR54" s="1616"/>
      <c r="BS54" s="1616"/>
      <c r="BT54" s="1616"/>
      <c r="BU54" s="1616"/>
      <c r="BV54" s="1616"/>
      <c r="BW54" s="1616"/>
      <c r="BX54" s="1616"/>
      <c r="BY54" s="1616"/>
      <c r="BZ54" s="1616"/>
      <c r="CA54" s="1616"/>
      <c r="CB54" s="1616"/>
      <c r="CC54" s="1616"/>
      <c r="CD54" s="1616"/>
      <c r="CE54" s="1616"/>
      <c r="CF54" s="1616"/>
      <c r="CG54" s="1616"/>
      <c r="CH54" s="1616"/>
      <c r="CI54" s="1616"/>
      <c r="CJ54" s="1616"/>
      <c r="CK54" s="1616"/>
      <c r="CL54" s="1616" t="s">
        <v>589</v>
      </c>
      <c r="CM54" s="1616"/>
      <c r="CN54" s="1616"/>
      <c r="CO54" s="1616"/>
      <c r="CP54" s="1616"/>
      <c r="CQ54" s="1616"/>
      <c r="CR54" s="1616"/>
      <c r="CS54" s="1616"/>
      <c r="CT54" s="1616"/>
      <c r="CU54" s="1616"/>
      <c r="CV54" s="1616"/>
      <c r="CW54" s="1616"/>
      <c r="CX54" s="1616"/>
      <c r="CY54" s="1616"/>
      <c r="CZ54" s="1616"/>
      <c r="DA54" s="1616"/>
      <c r="DB54" s="1616"/>
      <c r="DC54" s="1616" t="s">
        <v>593</v>
      </c>
      <c r="DD54" s="1616"/>
      <c r="DE54" s="1616"/>
      <c r="DF54" s="1616"/>
      <c r="DG54" s="1616"/>
      <c r="DH54" s="1616"/>
      <c r="DI54" s="1616"/>
      <c r="DJ54" s="1616"/>
      <c r="DK54" s="1616"/>
      <c r="DL54" s="1616"/>
      <c r="DM54" s="1616"/>
      <c r="DN54" s="1651" t="s">
        <v>101</v>
      </c>
      <c r="DO54" s="1616"/>
      <c r="DP54" s="1616"/>
      <c r="DQ54" s="1616"/>
      <c r="DR54" s="1616"/>
      <c r="DS54" s="1616"/>
      <c r="DT54" s="1616"/>
      <c r="DU54" s="1616"/>
      <c r="DV54" s="1616"/>
      <c r="DW54" s="1616"/>
      <c r="DX54" s="1616"/>
      <c r="DY54" s="1616"/>
      <c r="DZ54" s="1616"/>
      <c r="EA54" s="1616"/>
      <c r="EB54" s="1616"/>
      <c r="EC54" s="1616"/>
      <c r="ED54" s="1616"/>
      <c r="EE54" s="1616"/>
      <c r="EF54" s="1616"/>
      <c r="EG54" s="1616"/>
      <c r="EH54" s="1616"/>
      <c r="EI54" s="1616"/>
      <c r="EJ54" s="1616"/>
      <c r="EK54" s="1616"/>
      <c r="EL54" s="1616"/>
      <c r="EM54" s="1616"/>
      <c r="EN54" s="1616"/>
      <c r="EO54" s="1616"/>
      <c r="EP54" s="1616"/>
      <c r="EQ54" s="1616"/>
      <c r="ER54" s="1616"/>
      <c r="ES54" s="1616"/>
      <c r="ET54" s="1616"/>
      <c r="EU54" s="1616"/>
      <c r="EV54" s="1616"/>
      <c r="EW54" s="1616"/>
      <c r="EX54" s="1616"/>
      <c r="EY54" s="1616"/>
      <c r="EZ54" s="1616"/>
      <c r="FA54" s="1651" t="s">
        <v>101</v>
      </c>
      <c r="FB54" s="1616"/>
      <c r="FC54" s="1616"/>
      <c r="FD54" s="1616"/>
      <c r="FE54" s="1616"/>
      <c r="FF54" s="1616"/>
      <c r="FG54" s="1616"/>
      <c r="FH54" s="1616"/>
      <c r="FI54" s="1616"/>
      <c r="FJ54" s="1616"/>
      <c r="FK54" s="1616"/>
      <c r="FL54" s="1616"/>
      <c r="FM54" s="1616"/>
      <c r="FN54" s="1616"/>
      <c r="FO54" s="1616"/>
      <c r="FP54" s="1651" t="s">
        <v>101</v>
      </c>
      <c r="FQ54" s="1616"/>
      <c r="FR54" s="1616"/>
      <c r="FS54" s="1616"/>
      <c r="FT54" s="1616"/>
      <c r="FU54" s="1616"/>
      <c r="FV54" s="1616"/>
      <c r="FW54" s="1616"/>
      <c r="FX54" s="1616"/>
      <c r="FY54" s="1616"/>
      <c r="FZ54" s="1616"/>
      <c r="GA54" s="1616"/>
      <c r="GB54" s="1616"/>
      <c r="GC54" s="1616"/>
      <c r="GD54" s="1616"/>
      <c r="GE54" s="1616"/>
      <c r="GF54" s="1616"/>
      <c r="GG54" s="1616"/>
      <c r="GH54" s="1616"/>
      <c r="GI54" s="1616"/>
      <c r="GJ54" s="1616"/>
      <c r="GK54" s="1616"/>
      <c r="GL54" s="1616"/>
      <c r="GM54" s="1616"/>
      <c r="GN54" s="1616"/>
      <c r="GO54" s="1616"/>
      <c r="GP54" s="1616"/>
      <c r="GQ54" s="1616"/>
      <c r="GR54" s="1616"/>
      <c r="GS54" s="1616"/>
      <c r="GT54" s="1616"/>
      <c r="GU54" s="1651" t="s">
        <v>589</v>
      </c>
      <c r="GV54" s="1616"/>
      <c r="GW54" s="1669">
        <f>IF(职业列表!$W$27=0,0,_xlfn.IFS(IF(IFERROR(VLOOKUP(A54,职业列表!$J$3:$K$10,1,FALSE),"%^&amp;@%##@^")=A54,1,0)=1,"★",IF(IFERROR(VLOOKUP(A54,职业列表!$J$31:$J$39,1,FALSE),"%^&amp;@%##@^")=A54,1,0)=1,职业列表!$V$25,IF(IFERROR(VLOOKUP(A54,职业列表!$J$43:$J$51,1,FALSE),"%^&amp;@%##@^")=A54,1,0)=1,职业列表!$V$26,IF(IFERROR(VLOOKUP(A54,职业列表!$J$55:$J$63,1,FALSE),"%^&amp;@%##@^")=A54,1,0)=1,职业列表!$V$27,IF(IFERROR(VLOOKUP(A54,职业列表!$J$3:$K$10,1,FALSE),"%^&amp;@%##@^")=A54,1,0)+IF(IFERROR(VLOOKUP(A54,职业列表!$J$31:$J$39,1,FALSE),"%^&amp;@%##@^")=A54,1,0)+IF(IFERROR(VLOOKUP(A54,职业列表!$J$43:$J$51,1,FALSE),"%^&amp;@%##@^")=A54,1,0)+IF(IFERROR(VLOOKUP(A54,职业列表!$J$55:$J$63,1,FALSE),"%^&amp;@%##@^")=A54,1,0)=0,0))</f>
        <v>0</v>
      </c>
      <c r="GX54" s="1616"/>
      <c r="GY54" s="1616" t="s">
        <v>101</v>
      </c>
      <c r="GZ54" s="1616"/>
      <c r="HA54" s="1616" t="s">
        <v>101</v>
      </c>
      <c r="HB54" s="1616"/>
      <c r="HC54" s="1616"/>
      <c r="HD54" s="1616"/>
      <c r="HE54" s="1616"/>
      <c r="HF54" s="1616"/>
      <c r="HG54" s="1616"/>
      <c r="HH54" s="1616"/>
      <c r="HI54" s="1616"/>
      <c r="HJ54" s="1616"/>
      <c r="HK54" s="1616" t="s">
        <v>101</v>
      </c>
      <c r="HL54" s="1616" t="s">
        <v>101</v>
      </c>
      <c r="HM54" s="1616"/>
      <c r="HN54" s="1616"/>
      <c r="HO54" s="1616"/>
      <c r="HP54" s="1616"/>
      <c r="HQ54" s="1616"/>
      <c r="HR54" s="1616"/>
      <c r="HS54" s="1616"/>
      <c r="HT54" s="1616"/>
      <c r="HU54" s="1616"/>
      <c r="HV54" s="1616"/>
      <c r="HW54" s="1616"/>
      <c r="HX54" s="1616"/>
      <c r="HY54" s="1681"/>
      <c r="HZ54" s="1681"/>
      <c r="IA54" s="1681"/>
      <c r="IB54" s="1681"/>
      <c r="IC54" s="1681"/>
      <c r="ID54" s="1681"/>
      <c r="IE54" s="1681"/>
      <c r="IF54" s="1681"/>
      <c r="IG54" s="1681"/>
      <c r="IH54" s="1681"/>
      <c r="II54" s="1681"/>
      <c r="IJ54" s="1681"/>
      <c r="IK54" s="1681"/>
      <c r="IL54" s="1681"/>
      <c r="IM54" s="1681"/>
      <c r="IN54" s="1681"/>
      <c r="IO54" s="1681"/>
      <c r="IP54" s="1681"/>
      <c r="IQ54" s="1681"/>
      <c r="IR54" s="1681"/>
      <c r="IS54" s="1681"/>
      <c r="IT54" s="1681"/>
      <c r="IU54" s="1681"/>
      <c r="IV54" s="1681"/>
    </row>
    <row r="55" s="1604" customFormat="1" ht="20" customHeight="1" spans="1:256">
      <c r="A55" s="1644" t="s">
        <v>119</v>
      </c>
      <c r="B55" s="1645"/>
      <c r="C55" s="1645"/>
      <c r="D55" s="1645"/>
      <c r="E55" s="1645"/>
      <c r="F55" s="1645"/>
      <c r="G55" s="1647" t="s">
        <v>3486</v>
      </c>
      <c r="H55" s="1647" t="s">
        <v>3487</v>
      </c>
      <c r="I55" s="1645"/>
      <c r="J55" s="1645"/>
      <c r="K55" s="1647" t="s">
        <v>589</v>
      </c>
      <c r="L55" s="1647" t="s">
        <v>3488</v>
      </c>
      <c r="M55" s="1645"/>
      <c r="N55" s="1645"/>
      <c r="O55" s="1645"/>
      <c r="P55" s="1645"/>
      <c r="Q55" s="1645"/>
      <c r="R55" s="1655" t="s">
        <v>3486</v>
      </c>
      <c r="S55" s="1645"/>
      <c r="T55" s="1645"/>
      <c r="U55" s="1645"/>
      <c r="V55" s="1645"/>
      <c r="W55" s="1645"/>
      <c r="X55" s="1647" t="s">
        <v>3488</v>
      </c>
      <c r="Y55" s="1645"/>
      <c r="Z55" s="1645"/>
      <c r="AA55" s="1645"/>
      <c r="AB55" s="1645"/>
      <c r="AC55" s="1645"/>
      <c r="AD55" s="1645"/>
      <c r="AE55" s="1645"/>
      <c r="AF55" s="1645"/>
      <c r="AG55" s="1645"/>
      <c r="AH55" s="1645"/>
      <c r="AI55" s="1645"/>
      <c r="AJ55" s="1645"/>
      <c r="AK55" s="1645"/>
      <c r="AL55" s="1645"/>
      <c r="AM55" s="1645"/>
      <c r="AN55" s="1645"/>
      <c r="AO55" s="1645"/>
      <c r="AP55" s="1645"/>
      <c r="AQ55" s="1647" t="s">
        <v>3486</v>
      </c>
      <c r="AR55" s="1647" t="s">
        <v>3486</v>
      </c>
      <c r="AS55" s="1645"/>
      <c r="AT55" s="1645"/>
      <c r="AU55" s="1645"/>
      <c r="AV55" s="1645"/>
      <c r="AW55" s="1645"/>
      <c r="AX55" s="1645"/>
      <c r="AY55" s="1647" t="s">
        <v>3489</v>
      </c>
      <c r="AZ55" s="1645"/>
      <c r="BA55" s="1645"/>
      <c r="BB55" s="1645"/>
      <c r="BC55" s="1645"/>
      <c r="BD55" s="1645"/>
      <c r="BE55" s="1645"/>
      <c r="BF55" s="1647" t="s">
        <v>3486</v>
      </c>
      <c r="BG55" s="1645"/>
      <c r="BH55" s="1645"/>
      <c r="BI55" s="1645"/>
      <c r="BJ55" s="1645"/>
      <c r="BK55" s="1645"/>
      <c r="BL55" s="1645"/>
      <c r="BM55" s="1645"/>
      <c r="BN55" s="1645"/>
      <c r="BO55" s="1645"/>
      <c r="BP55" s="1647" t="s">
        <v>3490</v>
      </c>
      <c r="BQ55" s="1668"/>
      <c r="BR55" s="1647" t="s">
        <v>3491</v>
      </c>
      <c r="BS55" s="1647" t="s">
        <v>3492</v>
      </c>
      <c r="BT55" s="1645"/>
      <c r="BU55" s="1645"/>
      <c r="BV55" s="1645"/>
      <c r="BW55" s="1645"/>
      <c r="BX55" s="1645"/>
      <c r="BY55" s="1645"/>
      <c r="BZ55" s="1645"/>
      <c r="CA55" s="1645"/>
      <c r="CB55" s="1647" t="s">
        <v>3486</v>
      </c>
      <c r="CC55" s="1647" t="s">
        <v>3493</v>
      </c>
      <c r="CD55" s="1645"/>
      <c r="CE55" s="1645"/>
      <c r="CF55" s="1647" t="s">
        <v>3490</v>
      </c>
      <c r="CG55" s="1647" t="s">
        <v>3490</v>
      </c>
      <c r="CH55" s="1647" t="s">
        <v>3490</v>
      </c>
      <c r="CI55" s="1647" t="s">
        <v>3493</v>
      </c>
      <c r="CJ55" s="1645"/>
      <c r="CK55" s="1645"/>
      <c r="CL55" s="1645"/>
      <c r="CM55" s="1645"/>
      <c r="CN55" s="1645"/>
      <c r="CO55" s="1647" t="s">
        <v>3492</v>
      </c>
      <c r="CP55" s="1645"/>
      <c r="CQ55" s="1647" t="s">
        <v>3486</v>
      </c>
      <c r="CR55" s="1645"/>
      <c r="CS55" s="1645"/>
      <c r="CT55" s="1645"/>
      <c r="CU55" s="1645"/>
      <c r="CV55" s="1645"/>
      <c r="CW55" s="1645" t="s">
        <v>101</v>
      </c>
      <c r="CX55" s="1645"/>
      <c r="CY55" s="1645"/>
      <c r="CZ55" s="1645"/>
      <c r="DA55" s="1645"/>
      <c r="DB55" s="1645"/>
      <c r="DC55" s="1645"/>
      <c r="DD55" s="1645"/>
      <c r="DE55" s="1647" t="s">
        <v>3486</v>
      </c>
      <c r="DF55" s="1645"/>
      <c r="DG55" s="1645"/>
      <c r="DH55" s="1645"/>
      <c r="DI55" s="1645"/>
      <c r="DJ55" s="1645"/>
      <c r="DK55" s="1655" t="s">
        <v>3494</v>
      </c>
      <c r="DL55" s="1645"/>
      <c r="DM55" s="1645"/>
      <c r="DN55" s="1645"/>
      <c r="DO55" s="1645"/>
      <c r="DP55" s="1645"/>
      <c r="DQ55" s="1645"/>
      <c r="DR55" s="1645"/>
      <c r="DS55" s="1645"/>
      <c r="DT55" s="1645"/>
      <c r="DU55" s="1645"/>
      <c r="DV55" s="1645"/>
      <c r="DW55" s="1645"/>
      <c r="DX55" s="1645"/>
      <c r="DY55" s="1645"/>
      <c r="DZ55" s="1645"/>
      <c r="EA55" s="1645"/>
      <c r="EB55" s="1645"/>
      <c r="EC55" s="1645"/>
      <c r="ED55" s="1655" t="s">
        <v>3486</v>
      </c>
      <c r="EE55" s="1655" t="s">
        <v>3486</v>
      </c>
      <c r="EF55" s="1655" t="s">
        <v>3486</v>
      </c>
      <c r="EG55" s="1645"/>
      <c r="EH55" s="1645"/>
      <c r="EI55" s="1645"/>
      <c r="EJ55" s="1655" t="s">
        <v>3490</v>
      </c>
      <c r="EK55" s="1645"/>
      <c r="EL55" s="1645"/>
      <c r="EM55" s="1645"/>
      <c r="EN55" s="1645"/>
      <c r="EO55" s="1645"/>
      <c r="EP55" s="1645"/>
      <c r="EQ55" s="1645"/>
      <c r="ER55" s="1645"/>
      <c r="ES55" s="1645"/>
      <c r="ET55" s="1645"/>
      <c r="EU55" s="1645"/>
      <c r="EV55" s="1645"/>
      <c r="EW55" s="1645"/>
      <c r="EX55" s="1655" t="s">
        <v>3486</v>
      </c>
      <c r="EY55" s="1655" t="s">
        <v>3494</v>
      </c>
      <c r="EZ55" s="1645"/>
      <c r="FA55" s="1645"/>
      <c r="FB55" s="1645"/>
      <c r="FC55" s="1645"/>
      <c r="FD55" s="1645"/>
      <c r="FE55" s="1655" t="s">
        <v>3493</v>
      </c>
      <c r="FF55" s="1645"/>
      <c r="FG55" s="1655" t="s">
        <v>589</v>
      </c>
      <c r="FH55" s="1645"/>
      <c r="FI55" s="1655" t="s">
        <v>3493</v>
      </c>
      <c r="FJ55" s="1655" t="s">
        <v>3490</v>
      </c>
      <c r="FK55" s="1645"/>
      <c r="FL55" s="1645"/>
      <c r="FM55" s="1645"/>
      <c r="FN55" s="1655" t="s">
        <v>3493</v>
      </c>
      <c r="FO55" s="1645"/>
      <c r="FP55" s="1645"/>
      <c r="FQ55" s="1645"/>
      <c r="FR55" s="1655" t="s">
        <v>3487</v>
      </c>
      <c r="FS55" s="1655" t="s">
        <v>3490</v>
      </c>
      <c r="FT55" s="1655" t="s">
        <v>3494</v>
      </c>
      <c r="FU55" s="1655" t="s">
        <v>3490</v>
      </c>
      <c r="FV55" s="1645"/>
      <c r="FW55" s="1645"/>
      <c r="FX55" s="1645"/>
      <c r="FY55" s="1645"/>
      <c r="FZ55" s="1645"/>
      <c r="GA55" s="1645"/>
      <c r="GB55" s="1645"/>
      <c r="GC55" s="1645"/>
      <c r="GD55" s="1645"/>
      <c r="GE55" s="1645"/>
      <c r="GF55" s="1645"/>
      <c r="GG55" s="1645"/>
      <c r="GH55" s="1645"/>
      <c r="GI55" s="1645"/>
      <c r="GJ55" s="1645"/>
      <c r="GK55" s="1645"/>
      <c r="GL55" s="1645"/>
      <c r="GM55" s="1645"/>
      <c r="GN55" s="1655" t="s">
        <v>3495</v>
      </c>
      <c r="GO55" s="1645"/>
      <c r="GP55" s="1645"/>
      <c r="GQ55" s="1655" t="s">
        <v>3486</v>
      </c>
      <c r="GR55" s="1645"/>
      <c r="GS55" s="1645"/>
      <c r="GT55" s="1645"/>
      <c r="GU55" s="1645"/>
      <c r="GV55" s="1645"/>
      <c r="GW55" s="1669">
        <f>IF(职业列表!$W$27=0,0,_xlfn.IFS(IF(IFERROR(VLOOKUP(A55,职业列表!$J$3:$K$10,1,FALSE),"%^&amp;@%##@^")=A55,1,0)=1,"★",IF(IFERROR(VLOOKUP(A55,职业列表!$J$31:$J$39,1,FALSE),"%^&amp;@%##@^")=A55,1,0)=1,职业列表!$V$25,IF(IFERROR(VLOOKUP(A55,职业列表!$J$43:$J$51,1,FALSE),"%^&amp;@%##@^")=A55,1,0)=1,职业列表!$V$26,IF(IFERROR(VLOOKUP(A55,职业列表!$J$55:$J$63,1,FALSE),"%^&amp;@%##@^")=A55,1,0)=1,职业列表!$V$27,IF(IFERROR(VLOOKUP(A55,职业列表!$J$3:$K$10,1,FALSE),"%^&amp;@%##@^")=A55,1,0)+IF(IFERROR(VLOOKUP(A55,职业列表!$J$31:$J$39,1,FALSE),"%^&amp;@%##@^")=A55,1,0)+IF(IFERROR(VLOOKUP(A55,职业列表!$J$43:$J$51,1,FALSE),"%^&amp;@%##@^")=A55,1,0)+IF(IFERROR(VLOOKUP(A55,职业列表!$J$55:$J$63,1,FALSE),"%^&amp;@%##@^")=A55,1,0)=0,0))</f>
        <v>0</v>
      </c>
      <c r="GX55" s="1645"/>
      <c r="GY55" s="1645"/>
      <c r="GZ55" s="1645"/>
      <c r="HA55" s="1645"/>
      <c r="HB55" s="1645"/>
      <c r="HC55" s="1645"/>
      <c r="HD55" s="1645"/>
      <c r="HE55" s="1645"/>
      <c r="HF55" s="1647" t="s">
        <v>3490</v>
      </c>
      <c r="HG55" s="1645"/>
      <c r="HH55" s="1645"/>
      <c r="HI55" s="1645"/>
      <c r="HJ55" s="1645"/>
      <c r="HK55" s="1645"/>
      <c r="HL55" s="1655" t="s">
        <v>3486</v>
      </c>
      <c r="HM55" s="1645"/>
      <c r="HN55" s="1645"/>
      <c r="HO55" s="1645"/>
      <c r="HP55" s="1645"/>
      <c r="HQ55" s="1647" t="s">
        <v>3486</v>
      </c>
      <c r="HR55" s="1645"/>
      <c r="HS55" s="1645"/>
      <c r="HT55" s="1645"/>
      <c r="HU55" s="1645"/>
      <c r="HV55" s="1645"/>
      <c r="HW55" s="1645"/>
      <c r="HX55" s="1645"/>
      <c r="HY55" s="1696"/>
      <c r="HZ55" s="1696"/>
      <c r="IA55" s="1696"/>
      <c r="IB55" s="1696"/>
      <c r="IC55" s="1696" t="s">
        <v>101</v>
      </c>
      <c r="ID55" s="1696"/>
      <c r="IE55" s="1696"/>
      <c r="IF55" s="1696"/>
      <c r="IG55" s="1696"/>
      <c r="IH55" s="1696"/>
      <c r="II55" s="1696"/>
      <c r="IJ55" s="1696"/>
      <c r="IK55" s="1696"/>
      <c r="IL55" s="1696"/>
      <c r="IM55" s="1696"/>
      <c r="IN55" s="1696"/>
      <c r="IO55" s="1696"/>
      <c r="IP55" s="1696"/>
      <c r="IQ55" s="1696"/>
      <c r="IR55" s="1696"/>
      <c r="IS55" s="1696"/>
      <c r="IT55" s="1696"/>
      <c r="IU55" s="1696"/>
      <c r="IV55" s="1696"/>
    </row>
    <row r="56" ht="20" customHeight="1" spans="1:256">
      <c r="A56" s="1620" t="s">
        <v>121</v>
      </c>
      <c r="B56" s="1621"/>
      <c r="C56" s="1621"/>
      <c r="D56" s="1621"/>
      <c r="E56" s="1621"/>
      <c r="F56" s="1621"/>
      <c r="G56" s="1648" t="s">
        <v>3490</v>
      </c>
      <c r="H56" s="1621"/>
      <c r="I56" s="1621"/>
      <c r="J56" s="1621"/>
      <c r="K56" s="1621"/>
      <c r="L56" s="1621"/>
      <c r="M56" s="1621"/>
      <c r="N56" s="1621"/>
      <c r="O56" s="1621"/>
      <c r="P56" s="1621"/>
      <c r="Q56" s="1621"/>
      <c r="R56" s="1648" t="s">
        <v>3496</v>
      </c>
      <c r="S56" s="1621"/>
      <c r="T56" s="1621"/>
      <c r="U56" s="1621"/>
      <c r="V56" s="1621"/>
      <c r="W56" s="1621"/>
      <c r="X56" s="1621"/>
      <c r="Y56" s="1621"/>
      <c r="Z56" s="1621"/>
      <c r="AA56" s="1621"/>
      <c r="AB56" s="1621"/>
      <c r="AC56" s="1621"/>
      <c r="AD56" s="1621"/>
      <c r="AE56" s="1621"/>
      <c r="AF56" s="1621"/>
      <c r="AG56" s="1621"/>
      <c r="AH56" s="1621"/>
      <c r="AI56" s="1621"/>
      <c r="AJ56" s="1621"/>
      <c r="AK56" s="1621"/>
      <c r="AL56" s="1621"/>
      <c r="AM56" s="1621"/>
      <c r="AN56" s="1621"/>
      <c r="AO56" s="1621"/>
      <c r="AP56" s="1621"/>
      <c r="AQ56" s="1621"/>
      <c r="AR56" s="1665" t="s">
        <v>3494</v>
      </c>
      <c r="AS56" s="1621"/>
      <c r="AT56" s="1621"/>
      <c r="AU56" s="1621"/>
      <c r="AV56" s="1621"/>
      <c r="AW56" s="1621"/>
      <c r="AX56" s="1621"/>
      <c r="AY56" s="1648" t="s">
        <v>3495</v>
      </c>
      <c r="AZ56" s="1621"/>
      <c r="BA56" s="1621"/>
      <c r="BB56" s="1621"/>
      <c r="BC56" s="1621"/>
      <c r="BD56" s="1621"/>
      <c r="BE56" s="1621"/>
      <c r="BF56" s="1665" t="s">
        <v>3497</v>
      </c>
      <c r="BG56" s="1621"/>
      <c r="BH56" s="1621"/>
      <c r="BI56" s="1621"/>
      <c r="BJ56" s="1621"/>
      <c r="BK56" s="1621"/>
      <c r="BL56" s="1621"/>
      <c r="BM56" s="1621"/>
      <c r="BN56" s="1621"/>
      <c r="BO56" s="1621"/>
      <c r="BP56" s="1616" t="s">
        <v>101</v>
      </c>
      <c r="BQ56" s="1621"/>
      <c r="BR56" s="1648" t="s">
        <v>3498</v>
      </c>
      <c r="BS56" s="1621"/>
      <c r="BT56" s="1621"/>
      <c r="BU56" s="1621"/>
      <c r="BV56" s="1621"/>
      <c r="BW56" s="1621"/>
      <c r="BX56" s="1621"/>
      <c r="BY56" s="1621"/>
      <c r="BZ56" s="1621"/>
      <c r="CA56" s="1621"/>
      <c r="CB56" s="1648" t="s">
        <v>3490</v>
      </c>
      <c r="CC56" s="1621"/>
      <c r="CD56" s="1621"/>
      <c r="CE56" s="1621"/>
      <c r="CF56" s="1648" t="s">
        <v>3499</v>
      </c>
      <c r="CG56" s="1621"/>
      <c r="CH56" s="1621"/>
      <c r="CI56" s="1621"/>
      <c r="CJ56" s="1621"/>
      <c r="CK56" s="1621"/>
      <c r="CL56" s="1621"/>
      <c r="CM56" s="1621"/>
      <c r="CN56" s="1621"/>
      <c r="CO56" s="1621"/>
      <c r="CP56" s="1621"/>
      <c r="CQ56" s="1648" t="s">
        <v>3490</v>
      </c>
      <c r="CR56" s="1621"/>
      <c r="CS56" s="1621"/>
      <c r="CT56" s="1621"/>
      <c r="CU56" s="1621"/>
      <c r="CV56" s="1621"/>
      <c r="CW56" s="1616" t="s">
        <v>101</v>
      </c>
      <c r="CX56" s="1621"/>
      <c r="CY56" s="1621"/>
      <c r="CZ56" s="1621"/>
      <c r="DA56" s="1621"/>
      <c r="DB56" s="1621"/>
      <c r="DC56" s="1621"/>
      <c r="DD56" s="1621"/>
      <c r="DE56" s="1648" t="s">
        <v>3490</v>
      </c>
      <c r="DF56" s="1621"/>
      <c r="DG56" s="1621"/>
      <c r="DH56" s="1621"/>
      <c r="DI56" s="1621"/>
      <c r="DJ56" s="1621"/>
      <c r="DK56" s="1648" t="s">
        <v>3487</v>
      </c>
      <c r="DL56" s="1616"/>
      <c r="DM56" s="1616"/>
      <c r="DN56" s="1616"/>
      <c r="DO56" s="1616"/>
      <c r="DP56" s="1616"/>
      <c r="DQ56" s="1616"/>
      <c r="DR56" s="1616"/>
      <c r="DS56" s="1616"/>
      <c r="DT56" s="1616"/>
      <c r="DU56" s="1616"/>
      <c r="DV56" s="1616"/>
      <c r="DW56" s="1616"/>
      <c r="DX56" s="1616"/>
      <c r="DY56" s="1616"/>
      <c r="DZ56" s="1616"/>
      <c r="EA56" s="1616"/>
      <c r="EB56" s="1616"/>
      <c r="EC56" s="1616"/>
      <c r="ED56" s="1651" t="s">
        <v>3494</v>
      </c>
      <c r="EE56" s="1651" t="s">
        <v>3494</v>
      </c>
      <c r="EF56" s="1651" t="s">
        <v>3494</v>
      </c>
      <c r="EG56" s="1616"/>
      <c r="EH56" s="1616"/>
      <c r="EI56" s="1616"/>
      <c r="EJ56" s="1651" t="s">
        <v>3497</v>
      </c>
      <c r="EK56" s="1616"/>
      <c r="EL56" s="1616"/>
      <c r="EM56" s="1616"/>
      <c r="EN56" s="1616"/>
      <c r="EO56" s="1616"/>
      <c r="EP56" s="1616"/>
      <c r="EQ56" s="1616"/>
      <c r="ER56" s="1616"/>
      <c r="ES56" s="1616"/>
      <c r="ET56" s="1616"/>
      <c r="EU56" s="1616"/>
      <c r="EV56" s="1616"/>
      <c r="EW56" s="1616"/>
      <c r="EX56" s="1651" t="s">
        <v>3490</v>
      </c>
      <c r="EY56" s="1616"/>
      <c r="EZ56" s="1616"/>
      <c r="FA56" s="1616"/>
      <c r="FB56" s="1616"/>
      <c r="FC56" s="1616"/>
      <c r="FD56" s="1616"/>
      <c r="FE56" s="1651" t="s">
        <v>3492</v>
      </c>
      <c r="FF56" s="1616"/>
      <c r="FG56" s="1616"/>
      <c r="FH56" s="1616"/>
      <c r="FI56" s="1616"/>
      <c r="FJ56" s="1616"/>
      <c r="FK56" s="1616"/>
      <c r="FL56" s="1616"/>
      <c r="FM56" s="1616"/>
      <c r="FN56" s="1616"/>
      <c r="FO56" s="1616"/>
      <c r="FP56" s="1616"/>
      <c r="FQ56" s="1616"/>
      <c r="FR56" s="1616"/>
      <c r="FS56" s="1616"/>
      <c r="FT56" s="1616"/>
      <c r="FU56" s="1651" t="s">
        <v>3497</v>
      </c>
      <c r="FV56" s="1616"/>
      <c r="FW56" s="1616"/>
      <c r="FX56" s="1616"/>
      <c r="FY56" s="1616"/>
      <c r="FZ56" s="1616"/>
      <c r="GA56" s="1616"/>
      <c r="GB56" s="1616"/>
      <c r="GC56" s="1616"/>
      <c r="GD56" s="1616"/>
      <c r="GE56" s="1616"/>
      <c r="GF56" s="1616"/>
      <c r="GG56" s="1616"/>
      <c r="GH56" s="1616"/>
      <c r="GI56" s="1616"/>
      <c r="GJ56" s="1616"/>
      <c r="GK56" s="1616"/>
      <c r="GL56" s="1616"/>
      <c r="GM56" s="1616"/>
      <c r="GN56" s="1651" t="s">
        <v>3490</v>
      </c>
      <c r="GO56" s="1616"/>
      <c r="GP56" s="1616"/>
      <c r="GQ56" s="1651" t="s">
        <v>3490</v>
      </c>
      <c r="GR56" s="1616"/>
      <c r="GS56" s="1616"/>
      <c r="GT56" s="1616"/>
      <c r="GU56" s="1616"/>
      <c r="GV56" s="1616"/>
      <c r="GW56" s="1669">
        <f>IF(职业列表!$W$27=0,0,_xlfn.IFS(IF(IFERROR(VLOOKUP(A56,职业列表!$J$3:$K$10,1,FALSE),"%^&amp;@%##@^")=A56,1,0)=1,"★",IF(IFERROR(VLOOKUP(A56,职业列表!$J$31:$J$39,1,FALSE),"%^&amp;@%##@^")=A56,1,0)=1,职业列表!$V$25,IF(IFERROR(VLOOKUP(A56,职业列表!$J$43:$J$51,1,FALSE),"%^&amp;@%##@^")=A56,1,0)=1,职业列表!$V$26,IF(IFERROR(VLOOKUP(A56,职业列表!$J$55:$J$63,1,FALSE),"%^&amp;@%##@^")=A56,1,0)=1,职业列表!$V$27,IF(IFERROR(VLOOKUP(A56,职业列表!$J$3:$K$10,1,FALSE),"%^&amp;@%##@^")=A56,1,0)+IF(IFERROR(VLOOKUP(A56,职业列表!$J$31:$J$39,1,FALSE),"%^&amp;@%##@^")=A56,1,0)+IF(IFERROR(VLOOKUP(A56,职业列表!$J$43:$J$51,1,FALSE),"%^&amp;@%##@^")=A56,1,0)+IF(IFERROR(VLOOKUP(A56,职业列表!$J$55:$J$63,1,FALSE),"%^&amp;@%##@^")=A56,1,0)=0,0))</f>
        <v>0</v>
      </c>
      <c r="GX56" s="1616"/>
      <c r="GY56" s="1621"/>
      <c r="GZ56" s="1621"/>
      <c r="HA56" s="1621"/>
      <c r="HB56" s="1621"/>
      <c r="HC56" s="1621"/>
      <c r="HD56" s="1621"/>
      <c r="HE56" s="1621"/>
      <c r="HF56" s="1621"/>
      <c r="HG56" s="1621"/>
      <c r="HH56" s="1621"/>
      <c r="HI56" s="1621"/>
      <c r="HJ56" s="1621"/>
      <c r="HK56" s="1621"/>
      <c r="HL56" s="1621"/>
      <c r="HM56" s="1621"/>
      <c r="HN56" s="1621"/>
      <c r="HO56" s="1621"/>
      <c r="HP56" s="1621"/>
      <c r="HQ56" s="1648" t="s">
        <v>3494</v>
      </c>
      <c r="HR56" s="1621"/>
      <c r="HS56" s="1621"/>
      <c r="HT56" s="1621"/>
      <c r="HU56" s="1621"/>
      <c r="HV56" s="1621"/>
      <c r="HW56" s="1621"/>
      <c r="HX56" s="1621"/>
      <c r="HY56" s="1681"/>
      <c r="HZ56" s="1681"/>
      <c r="IA56" s="1681"/>
      <c r="IB56" s="1681"/>
      <c r="IC56" s="1681" t="s">
        <v>101</v>
      </c>
      <c r="ID56" s="1681"/>
      <c r="IE56" s="1681"/>
      <c r="IF56" s="1681"/>
      <c r="IG56" s="1681"/>
      <c r="IH56" s="1681"/>
      <c r="II56" s="1681"/>
      <c r="IJ56" s="1681"/>
      <c r="IK56" s="1681"/>
      <c r="IL56" s="1681"/>
      <c r="IM56" s="1681"/>
      <c r="IN56" s="1681"/>
      <c r="IO56" s="1681"/>
      <c r="IP56" s="1681"/>
      <c r="IQ56" s="1681"/>
      <c r="IR56" s="1681"/>
      <c r="IS56" s="1681"/>
      <c r="IT56" s="1681"/>
      <c r="IU56" s="1681"/>
      <c r="IV56" s="1681"/>
    </row>
    <row r="57" ht="20" customHeight="1" spans="1:256">
      <c r="A57" s="1620" t="s">
        <v>123</v>
      </c>
      <c r="B57" s="1621"/>
      <c r="C57" s="1621"/>
      <c r="D57" s="1621"/>
      <c r="E57" s="1621"/>
      <c r="F57" s="1621"/>
      <c r="G57" s="1621"/>
      <c r="H57" s="1621"/>
      <c r="I57" s="1621"/>
      <c r="J57" s="1621"/>
      <c r="K57" s="1621"/>
      <c r="L57" s="1621"/>
      <c r="M57" s="1621"/>
      <c r="N57" s="1621"/>
      <c r="O57" s="1621"/>
      <c r="P57" s="1621"/>
      <c r="Q57" s="1621"/>
      <c r="R57" s="1621"/>
      <c r="S57" s="1621"/>
      <c r="T57" s="1621"/>
      <c r="U57" s="1621"/>
      <c r="V57" s="1621"/>
      <c r="W57" s="1621"/>
      <c r="X57" s="1621"/>
      <c r="Y57" s="1621"/>
      <c r="Z57" s="1621"/>
      <c r="AA57" s="1621"/>
      <c r="AB57" s="1621"/>
      <c r="AC57" s="1621"/>
      <c r="AD57" s="1621"/>
      <c r="AE57" s="1621"/>
      <c r="AF57" s="1621"/>
      <c r="AG57" s="1621"/>
      <c r="AH57" s="1621"/>
      <c r="AI57" s="1621"/>
      <c r="AJ57" s="1621"/>
      <c r="AK57" s="1621"/>
      <c r="AL57" s="1621"/>
      <c r="AM57" s="1621"/>
      <c r="AN57" s="1621"/>
      <c r="AO57" s="1621"/>
      <c r="AP57" s="1621"/>
      <c r="AQ57" s="1621"/>
      <c r="AR57" s="1621"/>
      <c r="AS57" s="1621"/>
      <c r="AT57" s="1621"/>
      <c r="AU57" s="1621"/>
      <c r="AV57" s="1621"/>
      <c r="AW57" s="1621"/>
      <c r="AX57" s="1621"/>
      <c r="AY57" s="1621"/>
      <c r="AZ57" s="1621"/>
      <c r="BA57" s="1621"/>
      <c r="BB57" s="1621"/>
      <c r="BC57" s="1621"/>
      <c r="BD57" s="1621"/>
      <c r="BE57" s="1621"/>
      <c r="BF57" s="1665" t="s">
        <v>3494</v>
      </c>
      <c r="BG57" s="1621"/>
      <c r="BH57" s="1621"/>
      <c r="BI57" s="1621"/>
      <c r="BJ57" s="1621"/>
      <c r="BK57" s="1621"/>
      <c r="BL57" s="1621"/>
      <c r="BM57" s="1621"/>
      <c r="BN57" s="1621"/>
      <c r="BO57" s="1621"/>
      <c r="BP57" s="1616" t="s">
        <v>101</v>
      </c>
      <c r="BQ57" s="1621"/>
      <c r="BR57" s="1621"/>
      <c r="BS57" s="1621"/>
      <c r="BT57" s="1621"/>
      <c r="BU57" s="1621"/>
      <c r="BV57" s="1621"/>
      <c r="BW57" s="1621"/>
      <c r="BX57" s="1621"/>
      <c r="BY57" s="1621"/>
      <c r="BZ57" s="1621"/>
      <c r="CA57" s="1621"/>
      <c r="CB57" s="1621"/>
      <c r="CC57" s="1621"/>
      <c r="CD57" s="1621"/>
      <c r="CE57" s="1621"/>
      <c r="CF57" s="1621"/>
      <c r="CG57" s="1621"/>
      <c r="CH57" s="1621"/>
      <c r="CI57" s="1621"/>
      <c r="CJ57" s="1621"/>
      <c r="CK57" s="1621"/>
      <c r="CL57" s="1621"/>
      <c r="CM57" s="1621"/>
      <c r="CN57" s="1621"/>
      <c r="CO57" s="1621"/>
      <c r="CP57" s="1621"/>
      <c r="CQ57" s="1621"/>
      <c r="CR57" s="1621"/>
      <c r="CS57" s="1621"/>
      <c r="CT57" s="1621"/>
      <c r="CU57" s="1621"/>
      <c r="CV57" s="1621"/>
      <c r="CW57" s="1616" t="s">
        <v>101</v>
      </c>
      <c r="CX57" s="1621"/>
      <c r="CY57" s="1621"/>
      <c r="CZ57" s="1621"/>
      <c r="DA57" s="1621"/>
      <c r="DB57" s="1621"/>
      <c r="DC57" s="1621"/>
      <c r="DD57" s="1621"/>
      <c r="DE57" s="1621"/>
      <c r="DF57" s="1621"/>
      <c r="DG57" s="1621"/>
      <c r="DH57" s="1621"/>
      <c r="DI57" s="1621"/>
      <c r="DJ57" s="1621"/>
      <c r="DK57" s="1621"/>
      <c r="DL57" s="1616"/>
      <c r="DM57" s="1616"/>
      <c r="DN57" s="1616"/>
      <c r="DO57" s="1616"/>
      <c r="DP57" s="1616"/>
      <c r="DQ57" s="1616"/>
      <c r="DR57" s="1616"/>
      <c r="DS57" s="1616"/>
      <c r="DT57" s="1616"/>
      <c r="DU57" s="1616"/>
      <c r="DV57" s="1616"/>
      <c r="DW57" s="1616"/>
      <c r="DX57" s="1616"/>
      <c r="DY57" s="1616"/>
      <c r="DZ57" s="1616"/>
      <c r="EA57" s="1616"/>
      <c r="EB57" s="1616"/>
      <c r="EC57" s="1616"/>
      <c r="ED57" s="1616"/>
      <c r="EE57" s="1616"/>
      <c r="EF57" s="1616"/>
      <c r="EG57" s="1616"/>
      <c r="EH57" s="1616"/>
      <c r="EI57" s="1616"/>
      <c r="EJ57" s="1651" t="s">
        <v>3494</v>
      </c>
      <c r="EK57" s="1616"/>
      <c r="EL57" s="1616"/>
      <c r="EM57" s="1616"/>
      <c r="EN57" s="1616"/>
      <c r="EO57" s="1616"/>
      <c r="EP57" s="1616"/>
      <c r="EQ57" s="1616"/>
      <c r="ER57" s="1616"/>
      <c r="ES57" s="1616"/>
      <c r="ET57" s="1616"/>
      <c r="EU57" s="1616"/>
      <c r="EV57" s="1616"/>
      <c r="EW57" s="1616"/>
      <c r="EX57" s="1651" t="s">
        <v>3494</v>
      </c>
      <c r="EY57" s="1616"/>
      <c r="EZ57" s="1616"/>
      <c r="FA57" s="1616"/>
      <c r="FB57" s="1616"/>
      <c r="FC57" s="1616"/>
      <c r="FD57" s="1616"/>
      <c r="FE57" s="1616"/>
      <c r="FF57" s="1616"/>
      <c r="FG57" s="1616"/>
      <c r="FH57" s="1616"/>
      <c r="FI57" s="1616"/>
      <c r="FJ57" s="1616"/>
      <c r="FK57" s="1616"/>
      <c r="FL57" s="1616"/>
      <c r="FM57" s="1616"/>
      <c r="FN57" s="1616"/>
      <c r="FO57" s="1616"/>
      <c r="FP57" s="1616"/>
      <c r="FQ57" s="1616"/>
      <c r="FR57" s="1616"/>
      <c r="FS57" s="1616"/>
      <c r="FT57" s="1616"/>
      <c r="FU57" s="1651" t="s">
        <v>3494</v>
      </c>
      <c r="FV57" s="1616"/>
      <c r="FW57" s="1616"/>
      <c r="FX57" s="1616"/>
      <c r="FY57" s="1616"/>
      <c r="FZ57" s="1616"/>
      <c r="GA57" s="1616"/>
      <c r="GB57" s="1616"/>
      <c r="GC57" s="1616"/>
      <c r="GD57" s="1616"/>
      <c r="GE57" s="1616"/>
      <c r="GF57" s="1616"/>
      <c r="GG57" s="1616"/>
      <c r="GH57" s="1616"/>
      <c r="GI57" s="1616"/>
      <c r="GJ57" s="1616"/>
      <c r="GK57" s="1616"/>
      <c r="GL57" s="1616"/>
      <c r="GM57" s="1616"/>
      <c r="GN57" s="1651" t="s">
        <v>3486</v>
      </c>
      <c r="GO57" s="1616"/>
      <c r="GP57" s="1616"/>
      <c r="GQ57" s="1616"/>
      <c r="GR57" s="1616"/>
      <c r="GS57" s="1616"/>
      <c r="GT57" s="1616"/>
      <c r="GU57" s="1616"/>
      <c r="GV57" s="1616"/>
      <c r="GW57" s="1669">
        <f>IF(职业列表!$W$27=0,0,_xlfn.IFS(IF(IFERROR(VLOOKUP(A57,职业列表!$J$3:$K$10,1,FALSE),"%^&amp;@%##@^")=A57,1,0)=1,"★",IF(IFERROR(VLOOKUP(A57,职业列表!$J$31:$J$39,1,FALSE),"%^&amp;@%##@^")=A57,1,0)=1,职业列表!$V$25,IF(IFERROR(VLOOKUP(A57,职业列表!$J$43:$J$51,1,FALSE),"%^&amp;@%##@^")=A57,1,0)=1,职业列表!$V$26,IF(IFERROR(VLOOKUP(A57,职业列表!$J$55:$J$63,1,FALSE),"%^&amp;@%##@^")=A57,1,0)=1,职业列表!$V$27,IF(IFERROR(VLOOKUP(A57,职业列表!$J$3:$K$10,1,FALSE),"%^&amp;@%##@^")=A57,1,0)+IF(IFERROR(VLOOKUP(A57,职业列表!$J$31:$J$39,1,FALSE),"%^&amp;@%##@^")=A57,1,0)+IF(IFERROR(VLOOKUP(A57,职业列表!$J$43:$J$51,1,FALSE),"%^&amp;@%##@^")=A57,1,0)+IF(IFERROR(VLOOKUP(A57,职业列表!$J$55:$J$63,1,FALSE),"%^&amp;@%##@^")=A57,1,0)=0,0))</f>
        <v>0</v>
      </c>
      <c r="GX57" s="1616"/>
      <c r="GY57" s="1621"/>
      <c r="GZ57" s="1621"/>
      <c r="HA57" s="1621"/>
      <c r="HB57" s="1621"/>
      <c r="HC57" s="1621"/>
      <c r="HD57" s="1621"/>
      <c r="HE57" s="1621"/>
      <c r="HF57" s="1621"/>
      <c r="HG57" s="1621"/>
      <c r="HH57" s="1621"/>
      <c r="HI57" s="1621"/>
      <c r="HJ57" s="1621"/>
      <c r="HK57" s="1621"/>
      <c r="HL57" s="1621"/>
      <c r="HM57" s="1621"/>
      <c r="HN57" s="1621"/>
      <c r="HO57" s="1621"/>
      <c r="HP57" s="1621"/>
      <c r="HQ57" s="1621"/>
      <c r="HR57" s="1621"/>
      <c r="HS57" s="1621"/>
      <c r="HT57" s="1621"/>
      <c r="HU57" s="1621"/>
      <c r="HV57" s="1621"/>
      <c r="HW57" s="1621"/>
      <c r="HX57" s="1621"/>
      <c r="HY57" s="1681"/>
      <c r="HZ57" s="1681"/>
      <c r="IA57" s="1681"/>
      <c r="IB57" s="1681"/>
      <c r="IC57" s="1681"/>
      <c r="ID57" s="1681"/>
      <c r="IE57" s="1681"/>
      <c r="IF57" s="1681"/>
      <c r="IG57" s="1681"/>
      <c r="IH57" s="1681"/>
      <c r="II57" s="1681"/>
      <c r="IJ57" s="1681"/>
      <c r="IK57" s="1681"/>
      <c r="IL57" s="1681"/>
      <c r="IM57" s="1681"/>
      <c r="IN57" s="1681"/>
      <c r="IO57" s="1681"/>
      <c r="IP57" s="1681"/>
      <c r="IQ57" s="1681"/>
      <c r="IR57" s="1681"/>
      <c r="IS57" s="1681"/>
      <c r="IT57" s="1681"/>
      <c r="IU57" s="1681"/>
      <c r="IV57" s="1681"/>
    </row>
    <row r="58" ht="20" customHeight="1" spans="1:256">
      <c r="A58" s="1643" t="s">
        <v>127</v>
      </c>
      <c r="B58" s="1616"/>
      <c r="C58" s="1616"/>
      <c r="D58" s="1616"/>
      <c r="E58" s="1616"/>
      <c r="F58" s="1616"/>
      <c r="G58" s="1616"/>
      <c r="H58" s="1616"/>
      <c r="I58" s="1616"/>
      <c r="J58" s="1616"/>
      <c r="K58" s="1616"/>
      <c r="L58" s="1616"/>
      <c r="M58" s="1616"/>
      <c r="N58" s="1616"/>
      <c r="O58" s="1616"/>
      <c r="P58" s="1616"/>
      <c r="Q58" s="1616"/>
      <c r="R58" s="1616"/>
      <c r="S58" s="1616"/>
      <c r="T58" s="1616"/>
      <c r="U58" s="1616"/>
      <c r="V58" s="1616"/>
      <c r="W58" s="1616"/>
      <c r="X58" s="1616"/>
      <c r="Y58" s="1616"/>
      <c r="Z58" s="1616"/>
      <c r="AA58" s="1616"/>
      <c r="AB58" s="1616"/>
      <c r="AC58" s="1616"/>
      <c r="AD58" s="1616"/>
      <c r="AE58" s="1616" t="s">
        <v>101</v>
      </c>
      <c r="AF58" s="1616" t="s">
        <v>101</v>
      </c>
      <c r="AG58" s="1616"/>
      <c r="AH58" s="1616"/>
      <c r="AI58" s="1616"/>
      <c r="AJ58" s="1616" t="s">
        <v>101</v>
      </c>
      <c r="AK58" s="1616" t="s">
        <v>101</v>
      </c>
      <c r="AL58" s="1616" t="s">
        <v>101</v>
      </c>
      <c r="AM58" s="1616"/>
      <c r="AN58" s="1616"/>
      <c r="AO58" s="1616"/>
      <c r="AP58" s="1616"/>
      <c r="AQ58" s="1616"/>
      <c r="AR58" s="1616"/>
      <c r="AS58" s="1616"/>
      <c r="AT58" s="1616"/>
      <c r="AU58" s="1616"/>
      <c r="AV58" s="1616"/>
      <c r="AW58" s="1616"/>
      <c r="AX58" s="1616"/>
      <c r="AY58" s="1616"/>
      <c r="AZ58" s="1616"/>
      <c r="BA58" s="1616"/>
      <c r="BB58" s="1616"/>
      <c r="BC58" s="1616"/>
      <c r="BD58" s="1616"/>
      <c r="BE58" s="1616"/>
      <c r="BF58" s="1616"/>
      <c r="BG58" s="1616" t="s">
        <v>101</v>
      </c>
      <c r="BH58" s="1616"/>
      <c r="BI58" s="1616"/>
      <c r="BJ58" s="1616"/>
      <c r="BK58" s="1649" t="s">
        <v>589</v>
      </c>
      <c r="BL58" s="1616"/>
      <c r="BM58" s="1616"/>
      <c r="BN58" s="1616"/>
      <c r="BO58" s="1616"/>
      <c r="BP58" s="1616"/>
      <c r="BQ58" s="1616"/>
      <c r="BR58" s="1616"/>
      <c r="BS58" s="1616"/>
      <c r="BT58" s="1616"/>
      <c r="BU58" s="1616"/>
      <c r="BV58" s="1616"/>
      <c r="BW58" s="1616"/>
      <c r="BX58" s="1616"/>
      <c r="BY58" s="1616"/>
      <c r="BZ58" s="1616"/>
      <c r="CA58" s="1616"/>
      <c r="CB58" s="1616"/>
      <c r="CC58" s="1616"/>
      <c r="CD58" s="1616"/>
      <c r="CE58" s="1616"/>
      <c r="CF58" s="1616"/>
      <c r="CG58" s="1616"/>
      <c r="CH58" s="1616"/>
      <c r="CI58" s="1616"/>
      <c r="CJ58" s="1616"/>
      <c r="CK58" s="1616"/>
      <c r="CL58" s="1616"/>
      <c r="CM58" s="1616"/>
      <c r="CN58" s="1616"/>
      <c r="CO58" s="1616"/>
      <c r="CP58" s="1616" t="s">
        <v>101</v>
      </c>
      <c r="CQ58" s="1616"/>
      <c r="CR58" s="1616"/>
      <c r="CS58" s="1616"/>
      <c r="CT58" s="1616"/>
      <c r="CU58" s="1616"/>
      <c r="CV58" s="1616" t="s">
        <v>589</v>
      </c>
      <c r="CW58" s="1616"/>
      <c r="CX58" s="1616"/>
      <c r="CY58" s="1616"/>
      <c r="CZ58" s="1616"/>
      <c r="DA58" s="1616" t="s">
        <v>101</v>
      </c>
      <c r="DB58" s="1616"/>
      <c r="DC58" s="1616"/>
      <c r="DD58" s="1616"/>
      <c r="DE58" s="1616"/>
      <c r="DF58" s="1616"/>
      <c r="DG58" s="1616"/>
      <c r="DH58" s="1616"/>
      <c r="DI58" s="1616"/>
      <c r="DJ58" s="1616"/>
      <c r="DK58" s="1616"/>
      <c r="DL58" s="1616"/>
      <c r="DM58" s="1616"/>
      <c r="DN58" s="1616"/>
      <c r="DO58" s="1616"/>
      <c r="DP58" s="1616"/>
      <c r="DQ58" s="1616"/>
      <c r="DR58" s="1616"/>
      <c r="DS58" s="1616"/>
      <c r="DT58" s="1616"/>
      <c r="DU58" s="1616"/>
      <c r="DV58" s="1616"/>
      <c r="DW58" s="1616"/>
      <c r="DX58" s="1616"/>
      <c r="DY58" s="1651" t="s">
        <v>101</v>
      </c>
      <c r="DZ58" s="1616"/>
      <c r="EA58" s="1651" t="s">
        <v>101</v>
      </c>
      <c r="EB58" s="1616"/>
      <c r="EC58" s="1616"/>
      <c r="ED58" s="1616"/>
      <c r="EE58" s="1616"/>
      <c r="EF58" s="1616"/>
      <c r="EG58" s="1616"/>
      <c r="EH58" s="1616"/>
      <c r="EI58" s="1616"/>
      <c r="EJ58" s="1616"/>
      <c r="EK58" s="1616"/>
      <c r="EL58" s="1616"/>
      <c r="EM58" s="1616"/>
      <c r="EN58" s="1616"/>
      <c r="EO58" s="1616"/>
      <c r="EP58" s="1651" t="s">
        <v>589</v>
      </c>
      <c r="EQ58" s="1616"/>
      <c r="ER58" s="1616"/>
      <c r="ES58" s="1616"/>
      <c r="ET58" s="1616"/>
      <c r="EU58" s="1616"/>
      <c r="EV58" s="1616"/>
      <c r="EW58" s="1616"/>
      <c r="EX58" s="1616"/>
      <c r="EY58" s="1616"/>
      <c r="EZ58" s="1616"/>
      <c r="FA58" s="1616"/>
      <c r="FB58" s="1616"/>
      <c r="FC58" s="1616"/>
      <c r="FD58" s="1616"/>
      <c r="FE58" s="1616"/>
      <c r="FF58" s="1616"/>
      <c r="FG58" s="1616"/>
      <c r="FH58" s="1658"/>
      <c r="FI58" s="1616"/>
      <c r="FJ58" s="1616"/>
      <c r="FK58" s="1616"/>
      <c r="FL58" s="1651" t="s">
        <v>101</v>
      </c>
      <c r="FM58" s="1616"/>
      <c r="FN58" s="1616"/>
      <c r="FO58" s="1616"/>
      <c r="FP58" s="1616"/>
      <c r="FQ58" s="1616"/>
      <c r="FR58" s="1616"/>
      <c r="FS58" s="1616"/>
      <c r="FT58" s="1616"/>
      <c r="FU58" s="1616"/>
      <c r="FV58" s="1616"/>
      <c r="FW58" s="1616"/>
      <c r="FX58" s="1616"/>
      <c r="FY58" s="1616"/>
      <c r="FZ58" s="1616"/>
      <c r="GA58" s="1616"/>
      <c r="GB58" s="1616"/>
      <c r="GC58" s="1616"/>
      <c r="GD58" s="1616"/>
      <c r="GE58" s="1616"/>
      <c r="GF58" s="1616"/>
      <c r="GG58" s="1616"/>
      <c r="GH58" s="1616"/>
      <c r="GI58" s="1616"/>
      <c r="GJ58" s="1616"/>
      <c r="GK58" s="1616"/>
      <c r="GL58" s="1616"/>
      <c r="GM58" s="1616"/>
      <c r="GN58" s="1616"/>
      <c r="GO58" s="1616"/>
      <c r="GP58" s="1616"/>
      <c r="GQ58" s="1616"/>
      <c r="GR58" s="1616"/>
      <c r="GS58" s="1616"/>
      <c r="GT58" s="1616"/>
      <c r="GU58" s="1616"/>
      <c r="GV58" s="1616"/>
      <c r="GW58" s="1669">
        <f>IF(职业列表!$W$27=0,0,_xlfn.IFS(IF(IFERROR(VLOOKUP(A58,职业列表!$J$3:$K$10,1,FALSE),"%^&amp;@%##@^")=A58,1,0)=1,"★",IF(IFERROR(VLOOKUP(A58,职业列表!$J$31:$J$39,1,FALSE),"%^&amp;@%##@^")=A58,1,0)=1,职业列表!$V$25,IF(IFERROR(VLOOKUP(A58,职业列表!$J$43:$J$51,1,FALSE),"%^&amp;@%##@^")=A58,1,0)=1,职业列表!$V$26,IF(IFERROR(VLOOKUP(A58,职业列表!$J$55:$J$63,1,FALSE),"%^&amp;@%##@^")=A58,1,0)=1,职业列表!$V$27,IF(IFERROR(VLOOKUP(A58,职业列表!$J$3:$K$10,1,FALSE),"%^&amp;@%##@^")=A58,1,0)+IF(IFERROR(VLOOKUP(A58,职业列表!$J$31:$J$39,1,FALSE),"%^&amp;@%##@^")=A58,1,0)+IF(IFERROR(VLOOKUP(A58,职业列表!$J$43:$J$51,1,FALSE),"%^&amp;@%##@^")=A58,1,0)+IF(IFERROR(VLOOKUP(A58,职业列表!$J$55:$J$63,1,FALSE),"%^&amp;@%##@^")=A58,1,0)=0,0))</f>
        <v>0</v>
      </c>
      <c r="GX58" s="1616"/>
      <c r="GY58" s="1616"/>
      <c r="GZ58" s="1616"/>
      <c r="HA58" s="1616"/>
      <c r="HB58" s="1616"/>
      <c r="HC58" s="1616"/>
      <c r="HD58" s="1616"/>
      <c r="HE58" s="1616"/>
      <c r="HF58" s="1616"/>
      <c r="HG58" s="1616"/>
      <c r="HH58" s="1616"/>
      <c r="HI58" s="1616"/>
      <c r="HJ58" s="1616"/>
      <c r="HK58" s="1616"/>
      <c r="HL58" s="1616"/>
      <c r="HM58" s="1616"/>
      <c r="HN58" s="1616"/>
      <c r="HO58" s="1616"/>
      <c r="HP58" s="1616"/>
      <c r="HQ58" s="1616"/>
      <c r="HR58" s="1616"/>
      <c r="HS58" s="1616"/>
      <c r="HT58" s="1616"/>
      <c r="HU58" s="1616"/>
      <c r="HV58" s="1616"/>
      <c r="HW58" s="1616"/>
      <c r="HX58" s="1616"/>
      <c r="HY58" s="1681"/>
      <c r="HZ58" s="1686" t="s">
        <v>101</v>
      </c>
      <c r="IA58" s="1681"/>
      <c r="IB58" s="1681"/>
      <c r="IC58" s="1681"/>
      <c r="ID58" s="1681"/>
      <c r="IE58" s="1681"/>
      <c r="IF58" s="1681"/>
      <c r="IG58" s="1681"/>
      <c r="IH58" s="1681"/>
      <c r="II58" s="1681"/>
      <c r="IJ58" s="1681"/>
      <c r="IK58" s="1681"/>
      <c r="IL58" s="1681"/>
      <c r="IM58" s="1681"/>
      <c r="IN58" s="1681"/>
      <c r="IO58" s="1681"/>
      <c r="IP58" s="1681"/>
      <c r="IQ58" s="1681"/>
      <c r="IR58" s="1681"/>
      <c r="IS58" s="1681"/>
      <c r="IT58" s="1681"/>
      <c r="IU58" s="1681"/>
      <c r="IV58" s="1681"/>
    </row>
    <row r="59" s="1602" customFormat="1" ht="20" customHeight="1" spans="1:256">
      <c r="A59" s="1646" t="s">
        <v>129</v>
      </c>
      <c r="B59" s="1637" t="s">
        <v>101</v>
      </c>
      <c r="C59" s="1637" t="s">
        <v>101</v>
      </c>
      <c r="D59" s="1637"/>
      <c r="E59" s="1637"/>
      <c r="F59" s="1637"/>
      <c r="G59" s="1637"/>
      <c r="H59" s="1637"/>
      <c r="I59" s="1637" t="s">
        <v>101</v>
      </c>
      <c r="J59" s="1637"/>
      <c r="K59" s="1637" t="s">
        <v>101</v>
      </c>
      <c r="L59" s="1637"/>
      <c r="M59" s="1637" t="s">
        <v>101</v>
      </c>
      <c r="N59" s="1637"/>
      <c r="O59" s="1637"/>
      <c r="P59" s="1637"/>
      <c r="Q59" s="1637" t="s">
        <v>101</v>
      </c>
      <c r="R59" s="1652" t="s">
        <v>589</v>
      </c>
      <c r="S59" s="1637"/>
      <c r="T59" s="1637"/>
      <c r="U59" s="1637" t="s">
        <v>101</v>
      </c>
      <c r="V59" s="1637" t="s">
        <v>101</v>
      </c>
      <c r="W59" s="1637"/>
      <c r="X59" s="1637" t="s">
        <v>101</v>
      </c>
      <c r="Y59" s="1637" t="s">
        <v>101</v>
      </c>
      <c r="Z59" s="1637"/>
      <c r="AA59" s="1656" t="s">
        <v>101</v>
      </c>
      <c r="AB59" s="1637"/>
      <c r="AC59" s="1637"/>
      <c r="AD59" s="1637" t="s">
        <v>101</v>
      </c>
      <c r="AE59" s="1637" t="s">
        <v>101</v>
      </c>
      <c r="AF59" s="1637"/>
      <c r="AG59" s="1637" t="s">
        <v>101</v>
      </c>
      <c r="AH59" s="1637"/>
      <c r="AI59" s="1637" t="s">
        <v>101</v>
      </c>
      <c r="AJ59" s="1637" t="s">
        <v>101</v>
      </c>
      <c r="AK59" s="1637" t="s">
        <v>101</v>
      </c>
      <c r="AL59" s="1637"/>
      <c r="AM59" s="1637" t="s">
        <v>101</v>
      </c>
      <c r="AN59" s="1637"/>
      <c r="AO59" s="1637" t="s">
        <v>101</v>
      </c>
      <c r="AP59" s="1637"/>
      <c r="AQ59" s="1637" t="s">
        <v>101</v>
      </c>
      <c r="AR59" s="1637"/>
      <c r="AS59" s="1637"/>
      <c r="AT59" s="1637" t="s">
        <v>101</v>
      </c>
      <c r="AU59" s="1637"/>
      <c r="AV59" s="1637" t="s">
        <v>101</v>
      </c>
      <c r="AW59" s="1637" t="s">
        <v>101</v>
      </c>
      <c r="AX59" s="1637"/>
      <c r="AY59" s="1637"/>
      <c r="AZ59" s="1637"/>
      <c r="BA59" s="1637"/>
      <c r="BB59" s="1637"/>
      <c r="BC59" s="1637" t="s">
        <v>101</v>
      </c>
      <c r="BD59" s="1637"/>
      <c r="BE59" s="1637"/>
      <c r="BF59" s="1637" t="s">
        <v>101</v>
      </c>
      <c r="BG59" s="1637" t="s">
        <v>101</v>
      </c>
      <c r="BH59" s="1637" t="s">
        <v>101</v>
      </c>
      <c r="BI59" s="1637"/>
      <c r="BJ59" s="1637"/>
      <c r="BK59" s="1637"/>
      <c r="BL59" s="1637"/>
      <c r="BM59" s="1667"/>
      <c r="BN59" s="1637" t="s">
        <v>101</v>
      </c>
      <c r="BO59" s="1637"/>
      <c r="BP59" s="1637" t="s">
        <v>101</v>
      </c>
      <c r="BQ59" s="1637"/>
      <c r="BR59" s="1637"/>
      <c r="BS59" s="1637" t="s">
        <v>101</v>
      </c>
      <c r="BT59" s="1637"/>
      <c r="BU59" s="1637"/>
      <c r="BV59" s="1637"/>
      <c r="BW59" s="1637"/>
      <c r="BX59" s="1637"/>
      <c r="BY59" s="1637"/>
      <c r="BZ59" s="1637" t="s">
        <v>101</v>
      </c>
      <c r="CA59" s="1637"/>
      <c r="CB59" s="1637" t="s">
        <v>101</v>
      </c>
      <c r="CC59" s="1637"/>
      <c r="CD59" s="1637" t="s">
        <v>101</v>
      </c>
      <c r="CE59" s="1637"/>
      <c r="CF59" s="1637"/>
      <c r="CG59" s="1637" t="s">
        <v>101</v>
      </c>
      <c r="CH59" s="1637"/>
      <c r="CI59" s="1637"/>
      <c r="CJ59" s="1637" t="s">
        <v>101</v>
      </c>
      <c r="CK59" s="1637" t="s">
        <v>101</v>
      </c>
      <c r="CL59" s="1637" t="s">
        <v>101</v>
      </c>
      <c r="CM59" s="1637" t="s">
        <v>101</v>
      </c>
      <c r="CN59" s="1637"/>
      <c r="CO59" s="1637" t="s">
        <v>101</v>
      </c>
      <c r="CP59" s="1637"/>
      <c r="CQ59" s="1637"/>
      <c r="CR59" s="1637"/>
      <c r="CS59" s="1637" t="s">
        <v>101</v>
      </c>
      <c r="CT59" s="1637"/>
      <c r="CU59" s="1637" t="s">
        <v>101</v>
      </c>
      <c r="CV59" s="1637"/>
      <c r="CW59" s="1637" t="s">
        <v>101</v>
      </c>
      <c r="CX59" s="1637"/>
      <c r="CY59" s="1637" t="s">
        <v>101</v>
      </c>
      <c r="CZ59" s="1637"/>
      <c r="DA59" s="1637"/>
      <c r="DB59" s="1637"/>
      <c r="DC59" s="1637"/>
      <c r="DD59" s="1637" t="s">
        <v>101</v>
      </c>
      <c r="DE59" s="1637"/>
      <c r="DF59" s="1637"/>
      <c r="DG59" s="1637"/>
      <c r="DH59" s="1637"/>
      <c r="DI59" s="1637"/>
      <c r="DJ59" s="1637"/>
      <c r="DK59" s="1637"/>
      <c r="DL59" s="1637"/>
      <c r="DM59" s="1637"/>
      <c r="DN59" s="1637"/>
      <c r="DO59" s="1652" t="s">
        <v>101</v>
      </c>
      <c r="DP59" s="1637"/>
      <c r="DQ59" s="1637"/>
      <c r="DR59" s="1637"/>
      <c r="DS59" s="1637"/>
      <c r="DT59" s="1637"/>
      <c r="DU59" s="1637"/>
      <c r="DV59" s="1637"/>
      <c r="DW59" s="1637"/>
      <c r="DX59" s="1637"/>
      <c r="DY59" s="1652" t="s">
        <v>101</v>
      </c>
      <c r="DZ59" s="1652" t="s">
        <v>101</v>
      </c>
      <c r="EA59" s="1637" t="s">
        <v>101</v>
      </c>
      <c r="EB59" s="1652" t="s">
        <v>101</v>
      </c>
      <c r="EC59" s="1637"/>
      <c r="ED59" s="1637"/>
      <c r="EE59" s="1637"/>
      <c r="EF59" s="1637"/>
      <c r="EG59" s="1637"/>
      <c r="EH59" s="1637"/>
      <c r="EI59" s="1637"/>
      <c r="EJ59" s="1652" t="s">
        <v>101</v>
      </c>
      <c r="EK59" s="1637"/>
      <c r="EL59" s="1637"/>
      <c r="EM59" s="1637"/>
      <c r="EN59" s="1652" t="s">
        <v>101</v>
      </c>
      <c r="EO59" s="1637"/>
      <c r="EP59" s="1637"/>
      <c r="EQ59" s="1637"/>
      <c r="ER59" s="1637"/>
      <c r="ES59" s="1637"/>
      <c r="ET59" s="1637"/>
      <c r="EU59" s="1652" t="s">
        <v>101</v>
      </c>
      <c r="EV59" s="1637"/>
      <c r="EW59" s="1652" t="s">
        <v>101</v>
      </c>
      <c r="EX59" s="1637"/>
      <c r="EY59" s="1652" t="s">
        <v>101</v>
      </c>
      <c r="EZ59" s="1637" t="s">
        <v>101</v>
      </c>
      <c r="FA59" s="1637"/>
      <c r="FB59" s="1637"/>
      <c r="FC59" s="1637"/>
      <c r="FD59" s="1637"/>
      <c r="FE59" s="1637"/>
      <c r="FF59" s="1637"/>
      <c r="FG59" s="1637"/>
      <c r="FH59" s="1637"/>
      <c r="FI59" s="1637"/>
      <c r="FJ59" s="1637"/>
      <c r="FK59" s="1637"/>
      <c r="FL59" s="1652" t="s">
        <v>101</v>
      </c>
      <c r="FM59" s="1652" t="s">
        <v>101</v>
      </c>
      <c r="FN59" s="1652" t="s">
        <v>101</v>
      </c>
      <c r="FO59" s="1637"/>
      <c r="FP59" s="1637"/>
      <c r="FQ59" s="1637"/>
      <c r="FR59" s="1637"/>
      <c r="FS59" s="1637"/>
      <c r="FT59" s="1637"/>
      <c r="FU59" s="1652" t="s">
        <v>101</v>
      </c>
      <c r="FV59" s="1637"/>
      <c r="FW59" s="1637"/>
      <c r="FX59" s="1652" t="s">
        <v>101</v>
      </c>
      <c r="FY59" s="1637"/>
      <c r="FZ59" s="1652" t="s">
        <v>101</v>
      </c>
      <c r="GA59" s="1637"/>
      <c r="GB59" s="1637"/>
      <c r="GC59" s="1637"/>
      <c r="GD59" s="1637"/>
      <c r="GE59" s="1637"/>
      <c r="GF59" s="1637"/>
      <c r="GG59" s="1637"/>
      <c r="GH59" s="1652" t="s">
        <v>101</v>
      </c>
      <c r="GI59" s="1637"/>
      <c r="GJ59" s="1637"/>
      <c r="GK59" s="1637"/>
      <c r="GL59" s="1637"/>
      <c r="GM59" s="1637"/>
      <c r="GN59" s="1637"/>
      <c r="GO59" s="1637"/>
      <c r="GP59" s="1637"/>
      <c r="GQ59" s="1652" t="s">
        <v>101</v>
      </c>
      <c r="GR59" s="1652" t="s">
        <v>101</v>
      </c>
      <c r="GS59" s="1637"/>
      <c r="GT59" s="1637"/>
      <c r="GU59" s="1652" t="s">
        <v>101</v>
      </c>
      <c r="GV59" s="1637"/>
      <c r="GW59" s="1669">
        <f>IF(职业列表!$W$27=0,0,_xlfn.IFS(IF(IFERROR(VLOOKUP(A59,职业列表!$J$3:$K$10,1,FALSE),"%^&amp;@%##@^")=A59,1,0)=1,"★",IF(IFERROR(VLOOKUP(A59,职业列表!$J$31:$J$39,1,FALSE),"%^&amp;@%##@^")=A59,1,0)=1,职业列表!$V$25,IF(IFERROR(VLOOKUP(A59,职业列表!$J$43:$J$51,1,FALSE),"%^&amp;@%##@^")=A59,1,0)=1,职业列表!$V$26,IF(IFERROR(VLOOKUP(A59,职业列表!$J$55:$J$63,1,FALSE),"%^&amp;@%##@^")=A59,1,0)=1,职业列表!$V$27,IF(IFERROR(VLOOKUP(A59,职业列表!$J$3:$K$10,1,FALSE),"%^&amp;@%##@^")=A59,1,0)+IF(IFERROR(VLOOKUP(A59,职业列表!$J$31:$J$39,1,FALSE),"%^&amp;@%##@^")=A59,1,0)+IF(IFERROR(VLOOKUP(A59,职业列表!$J$43:$J$51,1,FALSE),"%^&amp;@%##@^")=A59,1,0)+IF(IFERROR(VLOOKUP(A59,职业列表!$J$55:$J$63,1,FALSE),"%^&amp;@%##@^")=A59,1,0)=0,0))</f>
        <v>0</v>
      </c>
      <c r="GX59" s="1637"/>
      <c r="GY59" s="1637"/>
      <c r="GZ59" s="1637" t="s">
        <v>101</v>
      </c>
      <c r="HA59" s="1637"/>
      <c r="HB59" s="1637" t="s">
        <v>101</v>
      </c>
      <c r="HC59" s="1637"/>
      <c r="HD59" s="1637"/>
      <c r="HE59" s="1637"/>
      <c r="HF59" s="1637" t="s">
        <v>101</v>
      </c>
      <c r="HG59" s="1637" t="s">
        <v>101</v>
      </c>
      <c r="HH59" s="1637"/>
      <c r="HI59" s="1637"/>
      <c r="HJ59" s="1637"/>
      <c r="HK59" s="1637" t="s">
        <v>101</v>
      </c>
      <c r="HL59" s="1652" t="s">
        <v>101</v>
      </c>
      <c r="HM59" s="1637" t="s">
        <v>101</v>
      </c>
      <c r="HN59" s="1637" t="s">
        <v>101</v>
      </c>
      <c r="HO59" s="1637"/>
      <c r="HP59" s="1637"/>
      <c r="HQ59" s="1637"/>
      <c r="HR59" s="1637" t="s">
        <v>101</v>
      </c>
      <c r="HS59" s="1637"/>
      <c r="HT59" s="1637" t="s">
        <v>101</v>
      </c>
      <c r="HU59" s="1637"/>
      <c r="HV59" s="1637" t="s">
        <v>101</v>
      </c>
      <c r="HW59" s="1637" t="s">
        <v>101</v>
      </c>
      <c r="HX59" s="1637" t="s">
        <v>101</v>
      </c>
      <c r="HY59" s="1693" t="s">
        <v>101</v>
      </c>
      <c r="HZ59" s="1693" t="s">
        <v>101</v>
      </c>
      <c r="IA59" s="1693"/>
      <c r="IB59" s="1693"/>
      <c r="IC59" s="1693" t="s">
        <v>101</v>
      </c>
      <c r="ID59" s="1693"/>
      <c r="IE59" s="1693"/>
      <c r="IF59" s="1693"/>
      <c r="IG59" s="1693"/>
      <c r="IH59" s="1693"/>
      <c r="II59" s="1693"/>
      <c r="IJ59" s="1693"/>
      <c r="IK59" s="1693"/>
      <c r="IL59" s="1693"/>
      <c r="IM59" s="1693"/>
      <c r="IN59" s="1693"/>
      <c r="IO59" s="1693"/>
      <c r="IP59" s="1693"/>
      <c r="IQ59" s="1693"/>
      <c r="IR59" s="1693"/>
      <c r="IS59" s="1693"/>
      <c r="IT59" s="1693"/>
      <c r="IU59" s="1693"/>
      <c r="IV59" s="1693"/>
    </row>
    <row r="60" ht="20" customHeight="1" spans="1:256">
      <c r="A60" s="1640" t="s">
        <v>133</v>
      </c>
      <c r="B60" s="1616"/>
      <c r="C60" s="1616"/>
      <c r="D60" s="1616"/>
      <c r="E60" s="1616"/>
      <c r="F60" s="1616" t="s">
        <v>101</v>
      </c>
      <c r="G60" s="1616"/>
      <c r="H60" s="1616" t="s">
        <v>101</v>
      </c>
      <c r="I60" s="1616"/>
      <c r="J60" s="1616"/>
      <c r="K60" s="1616"/>
      <c r="L60" s="1616"/>
      <c r="M60" s="1616"/>
      <c r="N60" s="1616" t="s">
        <v>101</v>
      </c>
      <c r="O60" s="1616"/>
      <c r="P60" s="1616"/>
      <c r="Q60" s="1616"/>
      <c r="R60" s="1616" t="s">
        <v>101</v>
      </c>
      <c r="S60" s="1616"/>
      <c r="T60" s="1616" t="s">
        <v>101</v>
      </c>
      <c r="U60" s="1616"/>
      <c r="V60" s="1616"/>
      <c r="W60" s="1616"/>
      <c r="X60" s="1616"/>
      <c r="Y60" s="1616"/>
      <c r="Z60" s="1616"/>
      <c r="AA60" s="1616"/>
      <c r="AB60" s="1616" t="s">
        <v>101</v>
      </c>
      <c r="AC60" s="1616"/>
      <c r="AD60" s="1616" t="s">
        <v>101</v>
      </c>
      <c r="AE60" s="1616" t="s">
        <v>101</v>
      </c>
      <c r="AF60" s="1616"/>
      <c r="AG60" s="1616" t="s">
        <v>101</v>
      </c>
      <c r="AH60" s="1616" t="s">
        <v>101</v>
      </c>
      <c r="AI60" s="1616"/>
      <c r="AJ60" s="1616"/>
      <c r="AK60" s="1616"/>
      <c r="AL60" s="1616" t="s">
        <v>101</v>
      </c>
      <c r="AM60" s="1616"/>
      <c r="AN60" s="1616" t="s">
        <v>101</v>
      </c>
      <c r="AO60" s="1616"/>
      <c r="AP60" s="1616"/>
      <c r="AQ60" s="1616"/>
      <c r="AR60" s="1616"/>
      <c r="AS60" s="1616" t="s">
        <v>101</v>
      </c>
      <c r="AT60" s="1616"/>
      <c r="AU60" s="1616"/>
      <c r="AV60" s="1616"/>
      <c r="AW60" s="1616"/>
      <c r="AX60" s="1616"/>
      <c r="AY60" s="1616"/>
      <c r="AZ60" s="1616"/>
      <c r="BA60" s="1616"/>
      <c r="BB60" s="1616"/>
      <c r="BC60" s="1616" t="s">
        <v>101</v>
      </c>
      <c r="BD60" s="1616"/>
      <c r="BE60" s="1616"/>
      <c r="BF60" s="1616"/>
      <c r="BG60" s="1616"/>
      <c r="BH60" s="1616"/>
      <c r="BI60" s="1616"/>
      <c r="BJ60" s="1616"/>
      <c r="BK60" s="1616" t="s">
        <v>101</v>
      </c>
      <c r="BL60" s="1616" t="s">
        <v>101</v>
      </c>
      <c r="BM60" s="1621"/>
      <c r="BN60" s="1616" t="s">
        <v>101</v>
      </c>
      <c r="BO60" s="1616"/>
      <c r="BP60" s="1616"/>
      <c r="BQ60" s="1616"/>
      <c r="BR60" s="1616"/>
      <c r="BS60" s="1616" t="s">
        <v>101</v>
      </c>
      <c r="BT60" s="1616"/>
      <c r="BU60" s="1616"/>
      <c r="BV60" s="1616"/>
      <c r="BW60" s="1616"/>
      <c r="BX60" s="1616"/>
      <c r="BY60" s="1616"/>
      <c r="BZ60" s="1616"/>
      <c r="CA60" s="1616"/>
      <c r="CB60" s="1616"/>
      <c r="CC60" s="1616"/>
      <c r="CD60" s="1616"/>
      <c r="CE60" s="1616"/>
      <c r="CF60" s="1616"/>
      <c r="CG60" s="1616" t="s">
        <v>101</v>
      </c>
      <c r="CH60" s="1616"/>
      <c r="CI60" s="1616"/>
      <c r="CJ60" s="1616"/>
      <c r="CK60" s="1616"/>
      <c r="CL60" s="1616"/>
      <c r="CM60" s="1616"/>
      <c r="CN60" s="1616"/>
      <c r="CO60" s="1616"/>
      <c r="CP60" s="1616" t="s">
        <v>101</v>
      </c>
      <c r="CQ60" s="1616"/>
      <c r="CR60" s="1616"/>
      <c r="CS60" s="1616"/>
      <c r="CT60" s="1616"/>
      <c r="CU60" s="1616"/>
      <c r="CV60" s="1616" t="s">
        <v>589</v>
      </c>
      <c r="CW60" s="1616"/>
      <c r="CX60" s="1616"/>
      <c r="CY60" s="1616"/>
      <c r="CZ60" s="1616" t="s">
        <v>101</v>
      </c>
      <c r="DA60" s="1616" t="s">
        <v>101</v>
      </c>
      <c r="DB60" s="1616"/>
      <c r="DC60" s="1616"/>
      <c r="DD60" s="1616"/>
      <c r="DE60" s="1616"/>
      <c r="DF60" s="1616"/>
      <c r="DG60" s="1616"/>
      <c r="DH60" s="1616"/>
      <c r="DI60" s="1616"/>
      <c r="DJ60" s="1616" t="s">
        <v>101</v>
      </c>
      <c r="DK60" s="1616"/>
      <c r="DL60" s="1616"/>
      <c r="DM60" s="1616"/>
      <c r="DN60" s="1616"/>
      <c r="DO60" s="1616"/>
      <c r="DP60" s="1616"/>
      <c r="DQ60" s="1616"/>
      <c r="DR60" s="1616"/>
      <c r="DS60" s="1616"/>
      <c r="DT60" s="1616"/>
      <c r="DU60" s="1616"/>
      <c r="DV60" s="1651" t="s">
        <v>101</v>
      </c>
      <c r="DW60" s="1616"/>
      <c r="DX60" s="1616"/>
      <c r="DY60" s="1616"/>
      <c r="DZ60" s="1616"/>
      <c r="EA60" s="1651" t="s">
        <v>101</v>
      </c>
      <c r="EB60" s="1616"/>
      <c r="EC60" s="1616"/>
      <c r="ED60" s="1616"/>
      <c r="EE60" s="1616"/>
      <c r="EF60" s="1616"/>
      <c r="EG60" s="1616"/>
      <c r="EH60" s="1616"/>
      <c r="EI60" s="1616"/>
      <c r="EJ60" s="1616"/>
      <c r="EK60" s="1616"/>
      <c r="EL60" s="1616"/>
      <c r="EM60" s="1616"/>
      <c r="EN60" s="1616"/>
      <c r="EO60" s="1616"/>
      <c r="EP60" s="1651" t="s">
        <v>589</v>
      </c>
      <c r="EQ60" s="1616"/>
      <c r="ER60" s="1616"/>
      <c r="ES60" s="1616"/>
      <c r="ET60" s="1616"/>
      <c r="EU60" s="1616"/>
      <c r="EV60" s="1616"/>
      <c r="EW60" s="1616"/>
      <c r="EX60" s="1616"/>
      <c r="EY60" s="1616"/>
      <c r="EZ60" s="1616"/>
      <c r="FA60" s="1616"/>
      <c r="FB60" s="1616"/>
      <c r="FC60" s="1616"/>
      <c r="FD60" s="1616"/>
      <c r="FE60" s="1616"/>
      <c r="FF60" s="1651" t="s">
        <v>101</v>
      </c>
      <c r="FG60" s="1651" t="s">
        <v>101</v>
      </c>
      <c r="FH60" s="1616"/>
      <c r="FI60" s="1616"/>
      <c r="FJ60" s="1616"/>
      <c r="FK60" s="1616"/>
      <c r="FL60" s="1651" t="s">
        <v>101</v>
      </c>
      <c r="FM60" s="1616"/>
      <c r="FN60" s="1616"/>
      <c r="FO60" s="1616"/>
      <c r="FP60" s="1616"/>
      <c r="FQ60" s="1616"/>
      <c r="FR60" s="1616"/>
      <c r="FS60" s="1616"/>
      <c r="FT60" s="1616"/>
      <c r="FU60" s="1616"/>
      <c r="FV60" s="1616"/>
      <c r="FW60" s="1616"/>
      <c r="FX60" s="1616"/>
      <c r="FY60" s="1616"/>
      <c r="FZ60" s="1616"/>
      <c r="GA60" s="1651" t="s">
        <v>101</v>
      </c>
      <c r="GB60" s="1651" t="s">
        <v>101</v>
      </c>
      <c r="GC60" s="1616"/>
      <c r="GD60" s="1651" t="s">
        <v>101</v>
      </c>
      <c r="GE60" s="1616"/>
      <c r="GF60" s="1616"/>
      <c r="GG60" s="1616"/>
      <c r="GH60" s="1616"/>
      <c r="GI60" s="1616"/>
      <c r="GJ60" s="1616"/>
      <c r="GK60" s="1616"/>
      <c r="GL60" s="1616"/>
      <c r="GM60" s="1651" t="s">
        <v>101</v>
      </c>
      <c r="GN60" s="1616"/>
      <c r="GO60" s="1616"/>
      <c r="GP60" s="1616"/>
      <c r="GQ60" s="1616"/>
      <c r="GR60" s="1616"/>
      <c r="GS60" s="1651" t="s">
        <v>101</v>
      </c>
      <c r="GT60" s="1651" t="s">
        <v>101</v>
      </c>
      <c r="GU60" s="1616"/>
      <c r="GV60" s="1616"/>
      <c r="GW60" s="1669">
        <f>IF(职业列表!$W$27=0,0,_xlfn.IFS(IF(IFERROR(VLOOKUP(A60,职业列表!$J$3:$K$10,1,FALSE),"%^&amp;@%##@^")=A60,1,0)=1,"★",IF(IFERROR(VLOOKUP(A60,职业列表!$J$31:$J$39,1,FALSE),"%^&amp;@%##@^")=A60,1,0)=1,职业列表!$V$25,IF(IFERROR(VLOOKUP(A60,职业列表!$J$43:$J$51,1,FALSE),"%^&amp;@%##@^")=A60,1,0)=1,职业列表!$V$26,IF(IFERROR(VLOOKUP(A60,职业列表!$J$55:$J$63,1,FALSE),"%^&amp;@%##@^")=A60,1,0)=1,职业列表!$V$27,IF(IFERROR(VLOOKUP(A60,职业列表!$J$3:$K$10,1,FALSE),"%^&amp;@%##@^")=A60,1,0)+IF(IFERROR(VLOOKUP(A60,职业列表!$J$31:$J$39,1,FALSE),"%^&amp;@%##@^")=A60,1,0)+IF(IFERROR(VLOOKUP(A60,职业列表!$J$43:$J$51,1,FALSE),"%^&amp;@%##@^")=A60,1,0)+IF(IFERROR(VLOOKUP(A60,职业列表!$J$55:$J$63,1,FALSE),"%^&amp;@%##@^")=A60,1,0)=0,0))</f>
        <v>0</v>
      </c>
      <c r="GX60" s="1616"/>
      <c r="GY60" s="1616" t="s">
        <v>101</v>
      </c>
      <c r="GZ60" s="1616"/>
      <c r="HA60" s="1616"/>
      <c r="HB60" s="1616"/>
      <c r="HC60" s="1616"/>
      <c r="HD60" s="1616"/>
      <c r="HE60" s="1616"/>
      <c r="HF60" s="1616"/>
      <c r="HG60" s="1616"/>
      <c r="HH60" s="1616" t="s">
        <v>101</v>
      </c>
      <c r="HI60" s="1616"/>
      <c r="HJ60" s="1616"/>
      <c r="HK60" s="1616" t="s">
        <v>101</v>
      </c>
      <c r="HL60" s="1616" t="s">
        <v>101</v>
      </c>
      <c r="HM60" s="1616"/>
      <c r="HN60" s="1616"/>
      <c r="HO60" s="1616"/>
      <c r="HP60" s="1616"/>
      <c r="HQ60" s="1616"/>
      <c r="HR60" s="1616" t="s">
        <v>101</v>
      </c>
      <c r="HS60" s="1616"/>
      <c r="HT60" s="1616"/>
      <c r="HU60" s="1616" t="s">
        <v>101</v>
      </c>
      <c r="HV60" s="1616"/>
      <c r="HW60" s="1616" t="s">
        <v>101</v>
      </c>
      <c r="HX60" s="1616" t="s">
        <v>101</v>
      </c>
      <c r="HY60" s="1686" t="s">
        <v>101</v>
      </c>
      <c r="HZ60" s="1686" t="s">
        <v>101</v>
      </c>
      <c r="IA60" s="1681"/>
      <c r="IB60" s="1681"/>
      <c r="IC60" s="1681"/>
      <c r="ID60" s="1681"/>
      <c r="IE60" s="1681"/>
      <c r="IF60" s="1681"/>
      <c r="IG60" s="1681"/>
      <c r="IH60" s="1681"/>
      <c r="II60" s="1681"/>
      <c r="IJ60" s="1681"/>
      <c r="IK60" s="1681"/>
      <c r="IL60" s="1681"/>
      <c r="IM60" s="1681"/>
      <c r="IN60" s="1681"/>
      <c r="IO60" s="1681"/>
      <c r="IP60" s="1681"/>
      <c r="IQ60" s="1681"/>
      <c r="IR60" s="1681"/>
      <c r="IS60" s="1681"/>
      <c r="IT60" s="1681"/>
      <c r="IU60" s="1681"/>
      <c r="IV60" s="1681"/>
    </row>
    <row r="61" ht="20" customHeight="1" spans="1:256">
      <c r="A61" s="1639" t="s">
        <v>138</v>
      </c>
      <c r="B61" s="1616"/>
      <c r="C61" s="1616"/>
      <c r="D61" s="1616"/>
      <c r="E61" s="1616"/>
      <c r="F61" s="1616"/>
      <c r="G61" s="1616"/>
      <c r="H61" s="1616"/>
      <c r="I61" s="1616"/>
      <c r="J61" s="1616"/>
      <c r="K61" s="1616"/>
      <c r="L61" s="1616"/>
      <c r="M61" s="1616"/>
      <c r="N61" s="1616"/>
      <c r="O61" s="1616"/>
      <c r="P61" s="1616"/>
      <c r="Q61" s="1616"/>
      <c r="R61" s="1648" t="s">
        <v>601</v>
      </c>
      <c r="S61" s="1616"/>
      <c r="T61" s="1616"/>
      <c r="U61" s="1616"/>
      <c r="V61" s="1616"/>
      <c r="W61" s="1616"/>
      <c r="X61" s="1616"/>
      <c r="Y61" s="1616"/>
      <c r="Z61" s="1648" t="s">
        <v>101</v>
      </c>
      <c r="AA61" s="1616"/>
      <c r="AB61" s="1616"/>
      <c r="AC61" s="1616"/>
      <c r="AD61" s="1616"/>
      <c r="AE61" s="1616"/>
      <c r="AF61" s="1616"/>
      <c r="AG61" s="1616"/>
      <c r="AH61" s="1616"/>
      <c r="AI61" s="1616"/>
      <c r="AJ61" s="1616"/>
      <c r="AK61" s="1616"/>
      <c r="AL61" s="1616"/>
      <c r="AM61" s="1616"/>
      <c r="AN61" s="1616"/>
      <c r="AO61" s="1616"/>
      <c r="AP61" s="1616"/>
      <c r="AQ61" s="1616"/>
      <c r="AR61" s="1616"/>
      <c r="AS61" s="1616"/>
      <c r="AT61" s="1616"/>
      <c r="AU61" s="1616"/>
      <c r="AV61" s="1616"/>
      <c r="AW61" s="1616"/>
      <c r="AX61" s="1616"/>
      <c r="AY61" s="1616"/>
      <c r="AZ61" s="1616"/>
      <c r="BA61" s="1616" t="s">
        <v>101</v>
      </c>
      <c r="BB61" s="1621"/>
      <c r="BC61" s="1616"/>
      <c r="BD61" s="1616"/>
      <c r="BE61" s="1616"/>
      <c r="BF61" s="1616"/>
      <c r="BG61" s="1616"/>
      <c r="BH61" s="1616"/>
      <c r="BI61" s="1616"/>
      <c r="BJ61" s="1616"/>
      <c r="BK61" s="1616"/>
      <c r="BL61" s="1616"/>
      <c r="BM61" s="1616"/>
      <c r="BN61" s="1616"/>
      <c r="BO61" s="1616"/>
      <c r="BP61" s="1616"/>
      <c r="BQ61" s="1616"/>
      <c r="BR61" s="1616"/>
      <c r="BS61" s="1616"/>
      <c r="BT61" s="1616"/>
      <c r="BU61" s="1616"/>
      <c r="BV61" s="1616"/>
      <c r="BW61" s="1616"/>
      <c r="BX61" s="1616"/>
      <c r="BY61" s="1649" t="s">
        <v>3500</v>
      </c>
      <c r="BZ61" s="1616"/>
      <c r="CA61" s="1616"/>
      <c r="CB61" s="1616"/>
      <c r="CC61" s="1616"/>
      <c r="CD61" s="1669" t="s">
        <v>101</v>
      </c>
      <c r="CE61" s="1616"/>
      <c r="CF61" s="1616"/>
      <c r="CG61" s="1616"/>
      <c r="CH61" s="1616"/>
      <c r="CI61" s="1616"/>
      <c r="CJ61" s="1616"/>
      <c r="CK61" s="1616"/>
      <c r="CL61" s="1616"/>
      <c r="CM61" s="1616"/>
      <c r="CN61" s="1616"/>
      <c r="CO61" s="1616"/>
      <c r="CP61" s="1616"/>
      <c r="CQ61" s="1616"/>
      <c r="CR61" s="1616"/>
      <c r="CS61" s="1616"/>
      <c r="CT61" s="1649" t="s">
        <v>3501</v>
      </c>
      <c r="CU61" s="1616"/>
      <c r="CV61" s="1616"/>
      <c r="CW61" s="1616"/>
      <c r="CX61" s="1616"/>
      <c r="CY61" s="1616"/>
      <c r="CZ61" s="1616" t="s">
        <v>101</v>
      </c>
      <c r="DA61" s="1616"/>
      <c r="DB61" s="1616"/>
      <c r="DC61" s="1616"/>
      <c r="DD61" s="1648" t="s">
        <v>101</v>
      </c>
      <c r="DE61" s="1616"/>
      <c r="DF61" s="1616"/>
      <c r="DG61" s="1616"/>
      <c r="DH61" s="1616"/>
      <c r="DI61" s="1616"/>
      <c r="DJ61" s="1616"/>
      <c r="DK61" s="1616"/>
      <c r="DL61" s="1616"/>
      <c r="DM61" s="1616"/>
      <c r="DN61" s="1616"/>
      <c r="DO61" s="1616"/>
      <c r="DP61" s="1616"/>
      <c r="DQ61" s="1616"/>
      <c r="DR61" s="1616"/>
      <c r="DS61" s="1616"/>
      <c r="DT61" s="1616"/>
      <c r="DU61" s="1616"/>
      <c r="DV61" s="1616"/>
      <c r="DW61" s="1616"/>
      <c r="DX61" s="1616"/>
      <c r="DY61" s="1616"/>
      <c r="DZ61" s="1616"/>
      <c r="EA61" s="1616"/>
      <c r="EB61" s="1616"/>
      <c r="EC61" s="1616"/>
      <c r="ED61" s="1616"/>
      <c r="EE61" s="1616"/>
      <c r="EF61" s="1616"/>
      <c r="EG61" s="1616"/>
      <c r="EH61" s="1616"/>
      <c r="EI61" s="1616"/>
      <c r="EJ61" s="1616"/>
      <c r="EK61" s="1616"/>
      <c r="EL61" s="1651" t="s">
        <v>3502</v>
      </c>
      <c r="EM61" s="1616"/>
      <c r="EN61" s="1616"/>
      <c r="EO61" s="1616"/>
      <c r="EP61" s="1616"/>
      <c r="EQ61" s="1616"/>
      <c r="ER61" s="1616"/>
      <c r="ES61" s="1616"/>
      <c r="ET61" s="1616"/>
      <c r="EU61" s="1651" t="s">
        <v>101</v>
      </c>
      <c r="EV61" s="1616"/>
      <c r="EW61" s="1616"/>
      <c r="EX61" s="1616"/>
      <c r="EY61" s="1616"/>
      <c r="EZ61" s="1616"/>
      <c r="FA61" s="1616"/>
      <c r="FB61" s="1616"/>
      <c r="FC61" s="1616"/>
      <c r="FD61" s="1616"/>
      <c r="FE61" s="1616"/>
      <c r="FF61" s="1616"/>
      <c r="FG61" s="1616"/>
      <c r="FH61" s="1616"/>
      <c r="FI61" s="1616"/>
      <c r="FJ61" s="1616"/>
      <c r="FK61" s="1616"/>
      <c r="FL61" s="1616"/>
      <c r="FM61" s="1616"/>
      <c r="FN61" s="1616"/>
      <c r="FO61" s="1616"/>
      <c r="FP61" s="1616"/>
      <c r="FQ61" s="1616"/>
      <c r="FR61" s="1616"/>
      <c r="FS61" s="1616"/>
      <c r="FT61" s="1616"/>
      <c r="FU61" s="1616"/>
      <c r="FV61" s="1651" t="s">
        <v>3500</v>
      </c>
      <c r="FW61" s="1616"/>
      <c r="FX61" s="1616"/>
      <c r="FY61" s="1651" t="s">
        <v>3503</v>
      </c>
      <c r="FZ61" s="1616"/>
      <c r="GA61" s="1651" t="s">
        <v>101</v>
      </c>
      <c r="GB61" s="1651" t="s">
        <v>101</v>
      </c>
      <c r="GC61" s="1651" t="s">
        <v>101</v>
      </c>
      <c r="GD61" s="1616"/>
      <c r="GE61" s="1616"/>
      <c r="GF61" s="1616"/>
      <c r="GG61" s="1616"/>
      <c r="GH61" s="1616"/>
      <c r="GI61" s="1616"/>
      <c r="GJ61" s="1616"/>
      <c r="GK61" s="1616"/>
      <c r="GL61" s="1616"/>
      <c r="GM61" s="1616"/>
      <c r="GN61" s="1616"/>
      <c r="GO61" s="1616"/>
      <c r="GP61" s="1616"/>
      <c r="GQ61" s="1616"/>
      <c r="GR61" s="1616"/>
      <c r="GS61" s="1651" t="s">
        <v>101</v>
      </c>
      <c r="GT61" s="1616"/>
      <c r="GU61" s="1616"/>
      <c r="GV61" s="1616"/>
      <c r="GW61" s="1669">
        <f>IF(职业列表!$W$27=0,0,_xlfn.IFS(IF(IFERROR(VLOOKUP(A61,职业列表!$J$3:$K$10,1,FALSE),"%^&amp;@%##@^")=A61,1,0)=1,"★",IF(IFERROR(VLOOKUP(A61,职业列表!$J$31:$J$39,1,FALSE),"%^&amp;@%##@^")=A61,1,0)=1,职业列表!$V$25,IF(IFERROR(VLOOKUP(A61,职业列表!$J$43:$J$51,1,FALSE),"%^&amp;@%##@^")=A61,1,0)=1,职业列表!$V$26,IF(IFERROR(VLOOKUP(A61,职业列表!$J$55:$J$63,1,FALSE),"%^&amp;@%##@^")=A61,1,0)=1,职业列表!$V$27,IF(IFERROR(VLOOKUP(A61,职业列表!$J$3:$K$10,1,FALSE),"%^&amp;@%##@^")=A61,1,0)+IF(IFERROR(VLOOKUP(A61,职业列表!$J$31:$J$39,1,FALSE),"%^&amp;@%##@^")=A61,1,0)+IF(IFERROR(VLOOKUP(A61,职业列表!$J$43:$J$51,1,FALSE),"%^&amp;@%##@^")=A61,1,0)+IF(IFERROR(VLOOKUP(A61,职业列表!$J$55:$J$63,1,FALSE),"%^&amp;@%##@^")=A61,1,0)=0,0))</f>
        <v>0</v>
      </c>
      <c r="GX61" s="1616"/>
      <c r="GY61" s="1616"/>
      <c r="GZ61" s="1616"/>
      <c r="HA61" s="1616"/>
      <c r="HB61" s="1616"/>
      <c r="HC61" s="1616"/>
      <c r="HD61" s="1616"/>
      <c r="HE61" s="1616"/>
      <c r="HF61" s="1616"/>
      <c r="HG61" s="1616"/>
      <c r="HH61" s="1616"/>
      <c r="HI61" s="1616"/>
      <c r="HJ61" s="1616"/>
      <c r="HK61" s="1616"/>
      <c r="HL61" s="1621"/>
      <c r="HM61" s="1616"/>
      <c r="HN61" s="1616"/>
      <c r="HO61" s="1616"/>
      <c r="HP61" s="1616"/>
      <c r="HQ61" s="1616"/>
      <c r="HR61" s="1616"/>
      <c r="HS61" s="1616"/>
      <c r="HT61" s="1648"/>
      <c r="HU61" s="1616"/>
      <c r="HV61" s="1616"/>
      <c r="HW61" s="1616"/>
      <c r="HX61" s="1616"/>
      <c r="HY61" s="1681"/>
      <c r="HZ61" s="1681" t="s">
        <v>101</v>
      </c>
      <c r="IA61" s="1681"/>
      <c r="IB61" s="1681"/>
      <c r="IC61" s="1681"/>
      <c r="ID61" s="1681"/>
      <c r="IE61" s="1681"/>
      <c r="IF61" s="1681"/>
      <c r="IG61" s="1681"/>
      <c r="IH61" s="1681"/>
      <c r="II61" s="1681"/>
      <c r="IJ61" s="1681"/>
      <c r="IK61" s="1681"/>
      <c r="IL61" s="1681"/>
      <c r="IM61" s="1681"/>
      <c r="IN61" s="1681"/>
      <c r="IO61" s="1681"/>
      <c r="IP61" s="1681"/>
      <c r="IQ61" s="1681"/>
      <c r="IR61" s="1681"/>
      <c r="IS61" s="1681"/>
      <c r="IT61" s="1681"/>
      <c r="IU61" s="1681"/>
      <c r="IV61" s="1681"/>
    </row>
    <row r="62" ht="20" customHeight="1" spans="1:256">
      <c r="A62" s="1643" t="s">
        <v>141</v>
      </c>
      <c r="B62" s="1616"/>
      <c r="C62" s="1616" t="s">
        <v>101</v>
      </c>
      <c r="D62" s="1616"/>
      <c r="E62" s="1616"/>
      <c r="F62" s="1616"/>
      <c r="G62" s="1616"/>
      <c r="H62" s="1616"/>
      <c r="I62" s="1616"/>
      <c r="J62" s="1616"/>
      <c r="K62" s="1616"/>
      <c r="L62" s="1616"/>
      <c r="M62" s="1616"/>
      <c r="N62" s="1616"/>
      <c r="O62" s="1616" t="s">
        <v>101</v>
      </c>
      <c r="P62" s="1616"/>
      <c r="Q62" s="1616"/>
      <c r="R62" s="1616"/>
      <c r="S62" s="1616"/>
      <c r="T62" s="1616"/>
      <c r="U62" s="1616"/>
      <c r="V62" s="1616"/>
      <c r="W62" s="1616"/>
      <c r="X62" s="1616"/>
      <c r="Y62" s="1616"/>
      <c r="Z62" s="1616"/>
      <c r="AA62" s="1616"/>
      <c r="AB62" s="1616"/>
      <c r="AC62" s="1616"/>
      <c r="AD62" s="1616"/>
      <c r="AE62" s="1616"/>
      <c r="AF62" s="1616"/>
      <c r="AG62" s="1616"/>
      <c r="AH62" s="1616"/>
      <c r="AI62" s="1616"/>
      <c r="AJ62" s="1616"/>
      <c r="AK62" s="1616"/>
      <c r="AL62" s="1616"/>
      <c r="AM62" s="1616"/>
      <c r="AN62" s="1616"/>
      <c r="AO62" s="1616"/>
      <c r="AP62" s="1616"/>
      <c r="AQ62" s="1616" t="s">
        <v>101</v>
      </c>
      <c r="AR62" s="1616"/>
      <c r="AS62" s="1616"/>
      <c r="AT62" s="1616"/>
      <c r="AU62" s="1616"/>
      <c r="AV62" s="1616"/>
      <c r="AW62" s="1616"/>
      <c r="AX62" s="1616"/>
      <c r="AY62" s="1616"/>
      <c r="AZ62" s="1616"/>
      <c r="BA62" s="1651" t="s">
        <v>589</v>
      </c>
      <c r="BB62" s="1616"/>
      <c r="BC62" s="1616"/>
      <c r="BD62" s="1616"/>
      <c r="BE62" s="1616"/>
      <c r="BF62" s="1616"/>
      <c r="BG62" s="1616"/>
      <c r="BH62" s="1616"/>
      <c r="BI62" s="1616"/>
      <c r="BJ62" s="1616"/>
      <c r="BK62" s="1616"/>
      <c r="BL62" s="1616"/>
      <c r="BM62" s="1616"/>
      <c r="BN62" s="1616"/>
      <c r="BO62" s="1616"/>
      <c r="BP62" s="1616"/>
      <c r="BQ62" s="1616"/>
      <c r="BR62" s="1616"/>
      <c r="BS62" s="1616"/>
      <c r="BT62" s="1616"/>
      <c r="BU62" s="1616"/>
      <c r="BV62" s="1616"/>
      <c r="BW62" s="1616"/>
      <c r="BX62" s="1616"/>
      <c r="BY62" s="1616"/>
      <c r="BZ62" s="1616"/>
      <c r="CA62" s="1616"/>
      <c r="CB62" s="1616"/>
      <c r="CC62" s="1616"/>
      <c r="CD62" s="1616"/>
      <c r="CE62" s="1616"/>
      <c r="CF62" s="1616"/>
      <c r="CG62" s="1616"/>
      <c r="CH62" s="1616"/>
      <c r="CI62" s="1616"/>
      <c r="CJ62" s="1616"/>
      <c r="CK62" s="1616"/>
      <c r="CL62" s="1616"/>
      <c r="CM62" s="1616"/>
      <c r="CN62" s="1616"/>
      <c r="CO62" s="1616"/>
      <c r="CP62" s="1616"/>
      <c r="CQ62" s="1616"/>
      <c r="CR62" s="1616"/>
      <c r="CS62" s="1616"/>
      <c r="CT62" s="1616" t="s">
        <v>101</v>
      </c>
      <c r="CU62" s="1616" t="s">
        <v>101</v>
      </c>
      <c r="CV62" s="1616"/>
      <c r="CW62" s="1616"/>
      <c r="CX62" s="1616"/>
      <c r="CY62" s="1616"/>
      <c r="CZ62" s="1616" t="s">
        <v>589</v>
      </c>
      <c r="DA62" s="1616"/>
      <c r="DB62" s="1616"/>
      <c r="DC62" s="1649" t="s">
        <v>101</v>
      </c>
      <c r="DD62" s="1616" t="s">
        <v>101</v>
      </c>
      <c r="DE62" s="1616"/>
      <c r="DF62" s="1616"/>
      <c r="DG62" s="1616"/>
      <c r="DH62" s="1616"/>
      <c r="DI62" s="1616"/>
      <c r="DJ62" s="1616"/>
      <c r="DK62" s="1616"/>
      <c r="DL62" s="1616"/>
      <c r="DM62" s="1651" t="s">
        <v>101</v>
      </c>
      <c r="DN62" s="1651" t="s">
        <v>101</v>
      </c>
      <c r="DO62" s="1616"/>
      <c r="DP62" s="1616"/>
      <c r="DQ62" s="1616"/>
      <c r="DR62" s="1616"/>
      <c r="DS62" s="1616"/>
      <c r="DT62" s="1616"/>
      <c r="DU62" s="1616"/>
      <c r="DV62" s="1616"/>
      <c r="DW62" s="1616"/>
      <c r="DX62" s="1616"/>
      <c r="DY62" s="1616"/>
      <c r="DZ62" s="1616"/>
      <c r="EA62" s="1616"/>
      <c r="EB62" s="1616"/>
      <c r="EC62" s="1616"/>
      <c r="ED62" s="1616"/>
      <c r="EE62" s="1616"/>
      <c r="EF62" s="1616"/>
      <c r="EG62" s="1616"/>
      <c r="EH62" s="1616"/>
      <c r="EI62" s="1616"/>
      <c r="EJ62" s="1616"/>
      <c r="EK62" s="1616"/>
      <c r="EL62" s="1616"/>
      <c r="EM62" s="1616"/>
      <c r="EN62" s="1616"/>
      <c r="EO62" s="1616"/>
      <c r="EP62" s="1616"/>
      <c r="EQ62" s="1616"/>
      <c r="ER62" s="1616"/>
      <c r="ES62" s="1616"/>
      <c r="ET62" s="1616"/>
      <c r="EU62" s="1616"/>
      <c r="EV62" s="1616"/>
      <c r="EW62" s="1616"/>
      <c r="EX62" s="1616"/>
      <c r="EY62" s="1616"/>
      <c r="EZ62" s="1616"/>
      <c r="FA62" s="1616"/>
      <c r="FB62" s="1616"/>
      <c r="FC62" s="1616"/>
      <c r="FD62" s="1616"/>
      <c r="FE62" s="1616"/>
      <c r="FF62" s="1616"/>
      <c r="FG62" s="1616"/>
      <c r="FH62" s="1616"/>
      <c r="FI62" s="1616"/>
      <c r="FJ62" s="1616"/>
      <c r="FK62" s="1616"/>
      <c r="FL62" s="1616"/>
      <c r="FM62" s="1616"/>
      <c r="FN62" s="1651" t="s">
        <v>101</v>
      </c>
      <c r="FO62" s="1616"/>
      <c r="FP62" s="1616"/>
      <c r="FQ62" s="1616"/>
      <c r="FR62" s="1616"/>
      <c r="FS62" s="1616"/>
      <c r="FT62" s="1616"/>
      <c r="FU62" s="1616"/>
      <c r="FV62" s="1616"/>
      <c r="FW62" s="1616"/>
      <c r="FX62" s="1616"/>
      <c r="FY62" s="1651" t="s">
        <v>101</v>
      </c>
      <c r="FZ62" s="1651" t="s">
        <v>101</v>
      </c>
      <c r="GA62" s="1651" t="s">
        <v>589</v>
      </c>
      <c r="GB62" s="1651" t="s">
        <v>589</v>
      </c>
      <c r="GC62" s="1651" t="s">
        <v>589</v>
      </c>
      <c r="GD62" s="1616"/>
      <c r="GE62" s="1616"/>
      <c r="GF62" s="1616"/>
      <c r="GG62" s="1616"/>
      <c r="GH62" s="1651" t="s">
        <v>101</v>
      </c>
      <c r="GI62" s="1616"/>
      <c r="GJ62" s="1616"/>
      <c r="GK62" s="1616"/>
      <c r="GL62" s="1616"/>
      <c r="GM62" s="1616"/>
      <c r="GN62" s="1616"/>
      <c r="GO62" s="1616"/>
      <c r="GP62" s="1616"/>
      <c r="GQ62" s="1616"/>
      <c r="GR62" s="1616"/>
      <c r="GS62" s="1651" t="s">
        <v>589</v>
      </c>
      <c r="GT62" s="1616"/>
      <c r="GU62" s="1616"/>
      <c r="GV62" s="1616"/>
      <c r="GW62" s="1669">
        <f>IF(职业列表!$W$27=0,0,_xlfn.IFS(IF(IFERROR(VLOOKUP(A62,职业列表!$J$3:$K$10,1,FALSE),"%^&amp;@%##@^")=A62,1,0)=1,"★",IF(IFERROR(VLOOKUP(A62,职业列表!$J$31:$J$39,1,FALSE),"%^&amp;@%##@^")=A62,1,0)=1,职业列表!$V$25,IF(IFERROR(VLOOKUP(A62,职业列表!$J$43:$J$51,1,FALSE),"%^&amp;@%##@^")=A62,1,0)=1,职业列表!$V$26,IF(IFERROR(VLOOKUP(A62,职业列表!$J$55:$J$63,1,FALSE),"%^&amp;@%##@^")=A62,1,0)=1,职业列表!$V$27,IF(IFERROR(VLOOKUP(A62,职业列表!$J$3:$K$10,1,FALSE),"%^&amp;@%##@^")=A62,1,0)+IF(IFERROR(VLOOKUP(A62,职业列表!$J$31:$J$39,1,FALSE),"%^&amp;@%##@^")=A62,1,0)+IF(IFERROR(VLOOKUP(A62,职业列表!$J$43:$J$51,1,FALSE),"%^&amp;@%##@^")=A62,1,0)+IF(IFERROR(VLOOKUP(A62,职业列表!$J$55:$J$63,1,FALSE),"%^&amp;@%##@^")=A62,1,0)=0,0))</f>
        <v>0</v>
      </c>
      <c r="GX62" s="1616"/>
      <c r="GY62" s="1616"/>
      <c r="GZ62" s="1616"/>
      <c r="HA62" s="1616"/>
      <c r="HB62" s="1616"/>
      <c r="HC62" s="1616"/>
      <c r="HD62" s="1616"/>
      <c r="HE62" s="1616"/>
      <c r="HF62" s="1616"/>
      <c r="HG62" s="1616"/>
      <c r="HH62" s="1616"/>
      <c r="HI62" s="1616"/>
      <c r="HJ62" s="1616"/>
      <c r="HK62" s="1616" t="s">
        <v>589</v>
      </c>
      <c r="HL62" s="1616" t="s">
        <v>101</v>
      </c>
      <c r="HM62" s="1616"/>
      <c r="HN62" s="1616"/>
      <c r="HO62" s="1616"/>
      <c r="HP62" s="1616"/>
      <c r="HQ62" s="1616"/>
      <c r="HR62" s="1616"/>
      <c r="HS62" s="1616"/>
      <c r="HT62" s="1616"/>
      <c r="HU62" s="1616"/>
      <c r="HV62" s="1616"/>
      <c r="HW62" s="1616"/>
      <c r="HX62" s="1616"/>
      <c r="HY62" s="1681"/>
      <c r="HZ62" s="1681"/>
      <c r="IA62" s="1681"/>
      <c r="IB62" s="1681"/>
      <c r="IC62" s="1681"/>
      <c r="ID62" s="1681"/>
      <c r="IE62" s="1681"/>
      <c r="IF62" s="1681"/>
      <c r="IG62" s="1681"/>
      <c r="IH62" s="1681"/>
      <c r="II62" s="1681"/>
      <c r="IJ62" s="1681"/>
      <c r="IK62" s="1681"/>
      <c r="IL62" s="1681"/>
      <c r="IM62" s="1681"/>
      <c r="IN62" s="1681"/>
      <c r="IO62" s="1681"/>
      <c r="IP62" s="1681"/>
      <c r="IQ62" s="1681"/>
      <c r="IR62" s="1681"/>
      <c r="IS62" s="1681"/>
      <c r="IT62" s="1681"/>
      <c r="IU62" s="1681"/>
      <c r="IV62" s="1681"/>
    </row>
    <row r="63" ht="20" customHeight="1" spans="1:256">
      <c r="A63" s="1643" t="s">
        <v>144</v>
      </c>
      <c r="B63" s="1616"/>
      <c r="C63" s="1616" t="s">
        <v>101</v>
      </c>
      <c r="D63" s="1616"/>
      <c r="E63" s="1616"/>
      <c r="F63" s="1616"/>
      <c r="G63" s="1616"/>
      <c r="H63" s="1616"/>
      <c r="I63" s="1616"/>
      <c r="J63" s="1616"/>
      <c r="K63" s="1616"/>
      <c r="L63" s="1616"/>
      <c r="M63" s="1616"/>
      <c r="N63" s="1616"/>
      <c r="O63" s="1616" t="s">
        <v>101</v>
      </c>
      <c r="P63" s="1616"/>
      <c r="Q63" s="1616"/>
      <c r="R63" s="1616"/>
      <c r="S63" s="1616"/>
      <c r="T63" s="1616"/>
      <c r="U63" s="1616"/>
      <c r="V63" s="1616"/>
      <c r="W63" s="1616"/>
      <c r="X63" s="1616"/>
      <c r="Y63" s="1616"/>
      <c r="Z63" s="1616" t="s">
        <v>101</v>
      </c>
      <c r="AA63" s="1616"/>
      <c r="AB63" s="1616"/>
      <c r="AC63" s="1616"/>
      <c r="AD63" s="1616"/>
      <c r="AE63" s="1616"/>
      <c r="AF63" s="1616"/>
      <c r="AG63" s="1616"/>
      <c r="AH63" s="1616"/>
      <c r="AI63" s="1616"/>
      <c r="AJ63" s="1616"/>
      <c r="AK63" s="1616"/>
      <c r="AL63" s="1616" t="s">
        <v>101</v>
      </c>
      <c r="AM63" s="1616"/>
      <c r="AN63" s="1616"/>
      <c r="AO63" s="1616"/>
      <c r="AP63" s="1616"/>
      <c r="AQ63" s="1616"/>
      <c r="AR63" s="1616"/>
      <c r="AS63" s="1616"/>
      <c r="AT63" s="1616"/>
      <c r="AU63" s="1616"/>
      <c r="AV63" s="1616"/>
      <c r="AW63" s="1616"/>
      <c r="AX63" s="1616"/>
      <c r="AY63" s="1616"/>
      <c r="AZ63" s="1616"/>
      <c r="BA63" s="1616"/>
      <c r="BB63" s="1616"/>
      <c r="BC63" s="1616"/>
      <c r="BD63" s="1616" t="s">
        <v>101</v>
      </c>
      <c r="BE63" s="1616"/>
      <c r="BF63" s="1616"/>
      <c r="BG63" s="1616"/>
      <c r="BH63" s="1616"/>
      <c r="BI63" s="1616"/>
      <c r="BJ63" s="1616"/>
      <c r="BK63" s="1616"/>
      <c r="BL63" s="1616"/>
      <c r="BM63" s="1616"/>
      <c r="BN63" s="1616"/>
      <c r="BO63" s="1616"/>
      <c r="BP63" s="1616"/>
      <c r="BQ63" s="1616" t="s">
        <v>101</v>
      </c>
      <c r="BR63" s="1616" t="s">
        <v>101</v>
      </c>
      <c r="BS63" s="1616"/>
      <c r="BT63" s="1616"/>
      <c r="BU63" s="1616"/>
      <c r="BV63" s="1616"/>
      <c r="BW63" s="1616"/>
      <c r="BX63" s="1616"/>
      <c r="BY63" s="1616"/>
      <c r="BZ63" s="1616"/>
      <c r="CA63" s="1616"/>
      <c r="CB63" s="1616"/>
      <c r="CC63" s="1616"/>
      <c r="CD63" s="1616"/>
      <c r="CE63" s="1616"/>
      <c r="CF63" s="1616"/>
      <c r="CG63" s="1616"/>
      <c r="CH63" s="1616"/>
      <c r="CI63" s="1616"/>
      <c r="CJ63" s="1616"/>
      <c r="CK63" s="1616"/>
      <c r="CL63" s="1616"/>
      <c r="CM63" s="1616"/>
      <c r="CN63" s="1616"/>
      <c r="CO63" s="1616"/>
      <c r="CP63" s="1616"/>
      <c r="CQ63" s="1616"/>
      <c r="CR63" s="1616"/>
      <c r="CS63" s="1616"/>
      <c r="CT63" s="1616"/>
      <c r="CU63" s="1616"/>
      <c r="CV63" s="1616"/>
      <c r="CW63" s="1616"/>
      <c r="CX63" s="1616"/>
      <c r="CY63" s="1616"/>
      <c r="CZ63" s="1616"/>
      <c r="DA63" s="1616"/>
      <c r="DB63" s="1616"/>
      <c r="DC63" s="1616"/>
      <c r="DD63" s="1616" t="s">
        <v>589</v>
      </c>
      <c r="DE63" s="1616"/>
      <c r="DF63" s="1616"/>
      <c r="DG63" s="1616"/>
      <c r="DH63" s="1616"/>
      <c r="DI63" s="1616"/>
      <c r="DJ63" s="1616"/>
      <c r="DK63" s="1616"/>
      <c r="DL63" s="1616"/>
      <c r="DM63" s="1651" t="s">
        <v>101</v>
      </c>
      <c r="DN63" s="1651" t="s">
        <v>101</v>
      </c>
      <c r="DO63" s="1651" t="s">
        <v>101</v>
      </c>
      <c r="DP63" s="1651" t="s">
        <v>101</v>
      </c>
      <c r="DQ63" s="1616"/>
      <c r="DR63" s="1616"/>
      <c r="DS63" s="1616"/>
      <c r="DT63" s="1616"/>
      <c r="DU63" s="1616"/>
      <c r="DV63" s="1616"/>
      <c r="DW63" s="1616"/>
      <c r="DX63" s="1616"/>
      <c r="DY63" s="1616"/>
      <c r="DZ63" s="1616"/>
      <c r="EA63" s="1616"/>
      <c r="EB63" s="1616"/>
      <c r="EC63" s="1616"/>
      <c r="ED63" s="1616"/>
      <c r="EE63" s="1616"/>
      <c r="EF63" s="1616"/>
      <c r="EG63" s="1616"/>
      <c r="EH63" s="1616"/>
      <c r="EI63" s="1616"/>
      <c r="EJ63" s="1616"/>
      <c r="EK63" s="1616"/>
      <c r="EL63" s="1616"/>
      <c r="EM63" s="1616"/>
      <c r="EN63" s="1616"/>
      <c r="EO63" s="1616"/>
      <c r="EP63" s="1616"/>
      <c r="EQ63" s="1616"/>
      <c r="ER63" s="1616"/>
      <c r="ES63" s="1616"/>
      <c r="ET63" s="1616"/>
      <c r="EU63" s="1616"/>
      <c r="EV63" s="1616"/>
      <c r="EW63" s="1616"/>
      <c r="EX63" s="1616"/>
      <c r="EY63" s="1616"/>
      <c r="EZ63" s="1616"/>
      <c r="FA63" s="1616"/>
      <c r="FB63" s="1616"/>
      <c r="FC63" s="1616"/>
      <c r="FD63" s="1616"/>
      <c r="FE63" s="1616"/>
      <c r="FF63" s="1616"/>
      <c r="FG63" s="1616"/>
      <c r="FH63" s="1616"/>
      <c r="FI63" s="1616"/>
      <c r="FJ63" s="1616"/>
      <c r="FK63" s="1616"/>
      <c r="FL63" s="1616"/>
      <c r="FM63" s="1616"/>
      <c r="FN63" s="1616"/>
      <c r="FO63" s="1616"/>
      <c r="FP63" s="1616"/>
      <c r="FQ63" s="1616"/>
      <c r="FR63" s="1616"/>
      <c r="FS63" s="1616"/>
      <c r="FT63" s="1616"/>
      <c r="FU63" s="1616"/>
      <c r="FV63" s="1616"/>
      <c r="FW63" s="1616"/>
      <c r="FX63" s="1616"/>
      <c r="FY63" s="1616"/>
      <c r="FZ63" s="1616"/>
      <c r="GA63" s="1616"/>
      <c r="GB63" s="1616"/>
      <c r="GC63" s="1616"/>
      <c r="GD63" s="1616"/>
      <c r="GE63" s="1616"/>
      <c r="GF63" s="1616"/>
      <c r="GG63" s="1616"/>
      <c r="GH63" s="1651" t="s">
        <v>101</v>
      </c>
      <c r="GI63" s="1616"/>
      <c r="GJ63" s="1616"/>
      <c r="GK63" s="1616"/>
      <c r="GL63" s="1616"/>
      <c r="GM63" s="1616"/>
      <c r="GN63" s="1616"/>
      <c r="GO63" s="1616"/>
      <c r="GP63" s="1616"/>
      <c r="GQ63" s="1616"/>
      <c r="GR63" s="1616"/>
      <c r="GS63" s="1616"/>
      <c r="GT63" s="1616"/>
      <c r="GU63" s="1616"/>
      <c r="GV63" s="1616"/>
      <c r="GW63" s="1669">
        <f>IF(职业列表!$W$27=0,0,_xlfn.IFS(IF(IFERROR(VLOOKUP(A63,职业列表!$J$3:$K$10,1,FALSE),"%^&amp;@%##@^")=A63,1,0)=1,"★",IF(IFERROR(VLOOKUP(A63,职业列表!$J$31:$J$39,1,FALSE),"%^&amp;@%##@^")=A63,1,0)=1,职业列表!$V$25,IF(IFERROR(VLOOKUP(A63,职业列表!$J$43:$J$51,1,FALSE),"%^&amp;@%##@^")=A63,1,0)=1,职业列表!$V$26,IF(IFERROR(VLOOKUP(A63,职业列表!$J$55:$J$63,1,FALSE),"%^&amp;@%##@^")=A63,1,0)=1,职业列表!$V$27,IF(IFERROR(VLOOKUP(A63,职业列表!$J$3:$K$10,1,FALSE),"%^&amp;@%##@^")=A63,1,0)+IF(IFERROR(VLOOKUP(A63,职业列表!$J$31:$J$39,1,FALSE),"%^&amp;@%##@^")=A63,1,0)+IF(IFERROR(VLOOKUP(A63,职业列表!$J$43:$J$51,1,FALSE),"%^&amp;@%##@^")=A63,1,0)+IF(IFERROR(VLOOKUP(A63,职业列表!$J$55:$J$63,1,FALSE),"%^&amp;@%##@^")=A63,1,0)=0,0))</f>
        <v>0</v>
      </c>
      <c r="GX63" s="1616"/>
      <c r="GY63" s="1616"/>
      <c r="GZ63" s="1616"/>
      <c r="HA63" s="1616"/>
      <c r="HB63" s="1616"/>
      <c r="HC63" s="1616"/>
      <c r="HD63" s="1616"/>
      <c r="HE63" s="1616"/>
      <c r="HF63" s="1616"/>
      <c r="HG63" s="1616"/>
      <c r="HH63" s="1616"/>
      <c r="HI63" s="1616"/>
      <c r="HJ63" s="1616"/>
      <c r="HK63" s="1616"/>
      <c r="HL63" s="1616"/>
      <c r="HM63" s="1616"/>
      <c r="HN63" s="1616"/>
      <c r="HO63" s="1616"/>
      <c r="HP63" s="1616"/>
      <c r="HQ63" s="1616"/>
      <c r="HR63" s="1616"/>
      <c r="HS63" s="1616"/>
      <c r="HT63" s="1616"/>
      <c r="HU63" s="1616"/>
      <c r="HV63" s="1616"/>
      <c r="HW63" s="1616"/>
      <c r="HX63" s="1616"/>
      <c r="HY63" s="1686" t="s">
        <v>101</v>
      </c>
      <c r="HZ63" s="1686" t="s">
        <v>101</v>
      </c>
      <c r="IA63" s="1681"/>
      <c r="IB63" s="1681"/>
      <c r="IC63" s="1681"/>
      <c r="ID63" s="1681"/>
      <c r="IE63" s="1681"/>
      <c r="IF63" s="1681"/>
      <c r="IG63" s="1681"/>
      <c r="IH63" s="1681"/>
      <c r="II63" s="1681"/>
      <c r="IJ63" s="1681"/>
      <c r="IK63" s="1681"/>
      <c r="IL63" s="1681"/>
      <c r="IM63" s="1681"/>
      <c r="IN63" s="1681"/>
      <c r="IO63" s="1681"/>
      <c r="IP63" s="1681"/>
      <c r="IQ63" s="1681"/>
      <c r="IR63" s="1681"/>
      <c r="IS63" s="1681"/>
      <c r="IT63" s="1681"/>
      <c r="IU63" s="1681"/>
      <c r="IV63" s="1681"/>
    </row>
    <row r="64" ht="20" customHeight="1" spans="1:256">
      <c r="A64" s="1643" t="s">
        <v>146</v>
      </c>
      <c r="B64" s="1616"/>
      <c r="C64" s="1616"/>
      <c r="D64" s="1616"/>
      <c r="E64" s="1616"/>
      <c r="F64" s="1616" t="s">
        <v>101</v>
      </c>
      <c r="G64" s="1616"/>
      <c r="H64" s="1649" t="s">
        <v>101</v>
      </c>
      <c r="I64" s="1616"/>
      <c r="J64" s="1616"/>
      <c r="K64" s="1616"/>
      <c r="L64" s="1616"/>
      <c r="M64" s="1616"/>
      <c r="N64" s="1616"/>
      <c r="O64" s="1616"/>
      <c r="P64" s="1616"/>
      <c r="Q64" s="1616"/>
      <c r="R64" s="1649" t="s">
        <v>101</v>
      </c>
      <c r="S64" s="1616"/>
      <c r="T64" s="1616" t="s">
        <v>101</v>
      </c>
      <c r="U64" s="1616"/>
      <c r="V64" s="1616"/>
      <c r="W64" s="1616"/>
      <c r="X64" s="1616"/>
      <c r="Y64" s="1616"/>
      <c r="Z64" s="1616" t="s">
        <v>101</v>
      </c>
      <c r="AA64" s="1616"/>
      <c r="AB64" s="1616"/>
      <c r="AC64" s="1616"/>
      <c r="AD64" s="1616"/>
      <c r="AE64" s="1616"/>
      <c r="AF64" s="1616"/>
      <c r="AG64" s="1616"/>
      <c r="AH64" s="1616"/>
      <c r="AI64" s="1616"/>
      <c r="AJ64" s="1616"/>
      <c r="AK64" s="1616"/>
      <c r="AL64" s="1616"/>
      <c r="AM64" s="1616"/>
      <c r="AN64" s="1616"/>
      <c r="AO64" s="1616"/>
      <c r="AP64" s="1616"/>
      <c r="AQ64" s="1616"/>
      <c r="AR64" s="1616"/>
      <c r="AS64" s="1616"/>
      <c r="AT64" s="1616"/>
      <c r="AU64" s="1616"/>
      <c r="AV64" s="1616"/>
      <c r="AW64" s="1616"/>
      <c r="AX64" s="1616"/>
      <c r="AY64" s="1616"/>
      <c r="AZ64" s="1616"/>
      <c r="BA64" s="1616"/>
      <c r="BB64" s="1616" t="s">
        <v>101</v>
      </c>
      <c r="BC64" s="1616"/>
      <c r="BD64" s="1616"/>
      <c r="BE64" s="1616"/>
      <c r="BF64" s="1616"/>
      <c r="BG64" s="1616"/>
      <c r="BH64" s="1616"/>
      <c r="BI64" s="1616"/>
      <c r="BJ64" s="1616"/>
      <c r="BK64" s="1616"/>
      <c r="BL64" s="1616"/>
      <c r="BM64" s="1616"/>
      <c r="BN64" s="1616"/>
      <c r="BO64" s="1616"/>
      <c r="BP64" s="1616"/>
      <c r="BQ64" s="1616"/>
      <c r="BR64" s="1616"/>
      <c r="BS64" s="1616"/>
      <c r="BT64" s="1616"/>
      <c r="BU64" s="1616"/>
      <c r="BV64" s="1616"/>
      <c r="BW64" s="1616"/>
      <c r="BX64" s="1616"/>
      <c r="BY64" s="1616" t="s">
        <v>101</v>
      </c>
      <c r="BZ64" s="1616"/>
      <c r="CA64" s="1616"/>
      <c r="CB64" s="1616"/>
      <c r="CC64" s="1616"/>
      <c r="CD64" s="1616" t="s">
        <v>101</v>
      </c>
      <c r="CE64" s="1616"/>
      <c r="CF64" s="1616"/>
      <c r="CG64" s="1616"/>
      <c r="CH64" s="1616"/>
      <c r="CI64" s="1616"/>
      <c r="CJ64" s="1616"/>
      <c r="CK64" s="1616"/>
      <c r="CL64" s="1616"/>
      <c r="CM64" s="1616"/>
      <c r="CN64" s="1616"/>
      <c r="CO64" s="1616"/>
      <c r="CP64" s="1616"/>
      <c r="CQ64" s="1616"/>
      <c r="CR64" s="1616"/>
      <c r="CS64" s="1616"/>
      <c r="CT64" s="1616"/>
      <c r="CU64" s="1616"/>
      <c r="CV64" s="1616"/>
      <c r="CW64" s="1616"/>
      <c r="CX64" s="1616"/>
      <c r="CY64" s="1616"/>
      <c r="CZ64" s="1616"/>
      <c r="DA64" s="1616"/>
      <c r="DB64" s="1616"/>
      <c r="DC64" s="1616"/>
      <c r="DD64" s="1616"/>
      <c r="DE64" s="1616"/>
      <c r="DF64" s="1616"/>
      <c r="DG64" s="1616"/>
      <c r="DH64" s="1616"/>
      <c r="DI64" s="1616"/>
      <c r="DJ64" s="1616"/>
      <c r="DK64" s="1616"/>
      <c r="DL64" s="1616"/>
      <c r="DM64" s="1616"/>
      <c r="DN64" s="1616"/>
      <c r="DO64" s="1616"/>
      <c r="DP64" s="1616"/>
      <c r="DQ64" s="1616"/>
      <c r="DR64" s="1616"/>
      <c r="DS64" s="1616"/>
      <c r="DT64" s="1616"/>
      <c r="DU64" s="1616"/>
      <c r="DV64" s="1616"/>
      <c r="DW64" s="1616"/>
      <c r="DX64" s="1616"/>
      <c r="DY64" s="1616"/>
      <c r="DZ64" s="1616"/>
      <c r="EA64" s="1616"/>
      <c r="EB64" s="1616"/>
      <c r="EC64" s="1616"/>
      <c r="ED64" s="1616"/>
      <c r="EE64" s="1616"/>
      <c r="EF64" s="1616"/>
      <c r="EG64" s="1616"/>
      <c r="EH64" s="1616"/>
      <c r="EI64" s="1616"/>
      <c r="EJ64" s="1616"/>
      <c r="EK64" s="1616"/>
      <c r="EL64" s="1616"/>
      <c r="EM64" s="1616"/>
      <c r="EN64" s="1616"/>
      <c r="EO64" s="1616"/>
      <c r="EP64" s="1616"/>
      <c r="EQ64" s="1616"/>
      <c r="ER64" s="1616"/>
      <c r="ES64" s="1616"/>
      <c r="ET64" s="1616"/>
      <c r="EU64" s="1616"/>
      <c r="EV64" s="1616"/>
      <c r="EW64" s="1616"/>
      <c r="EX64" s="1616"/>
      <c r="EY64" s="1616"/>
      <c r="EZ64" s="1616"/>
      <c r="FA64" s="1651" t="s">
        <v>101</v>
      </c>
      <c r="FB64" s="1616"/>
      <c r="FC64" s="1616"/>
      <c r="FD64" s="1616"/>
      <c r="FE64" s="1616"/>
      <c r="FF64" s="1616"/>
      <c r="FG64" s="1616"/>
      <c r="FH64" s="1616"/>
      <c r="FI64" s="1616"/>
      <c r="FJ64" s="1616"/>
      <c r="FK64" s="1616"/>
      <c r="FL64" s="1616"/>
      <c r="FM64" s="1616"/>
      <c r="FN64" s="1616"/>
      <c r="FO64" s="1616"/>
      <c r="FP64" s="1616"/>
      <c r="FQ64" s="1616"/>
      <c r="FR64" s="1651" t="s">
        <v>101</v>
      </c>
      <c r="FS64" s="1616"/>
      <c r="FT64" s="1616"/>
      <c r="FU64" s="1616"/>
      <c r="FV64" s="1651" t="s">
        <v>101</v>
      </c>
      <c r="FW64" s="1616"/>
      <c r="FX64" s="1616"/>
      <c r="FY64" s="1616"/>
      <c r="FZ64" s="1616"/>
      <c r="GA64" s="1616"/>
      <c r="GB64" s="1616"/>
      <c r="GC64" s="1616"/>
      <c r="GD64" s="1616"/>
      <c r="GE64" s="1616"/>
      <c r="GF64" s="1616"/>
      <c r="GG64" s="1616"/>
      <c r="GH64" s="1616"/>
      <c r="GI64" s="1616"/>
      <c r="GJ64" s="1616"/>
      <c r="GK64" s="1616"/>
      <c r="GL64" s="1616"/>
      <c r="GM64" s="1616"/>
      <c r="GN64" s="1616"/>
      <c r="GO64" s="1616"/>
      <c r="GP64" s="1616"/>
      <c r="GQ64" s="1616"/>
      <c r="GR64" s="1616"/>
      <c r="GS64" s="1616"/>
      <c r="GT64" s="1616"/>
      <c r="GU64" s="1616"/>
      <c r="GV64" s="1616"/>
      <c r="GW64" s="1669">
        <f>IF(职业列表!$W$27=0,0,_xlfn.IFS(IF(IFERROR(VLOOKUP(A64,职业列表!$J$3:$K$10,1,FALSE),"%^&amp;@%##@^")=A64,1,0)=1,"★",IF(IFERROR(VLOOKUP(A64,职业列表!$J$31:$J$39,1,FALSE),"%^&amp;@%##@^")=A64,1,0)=1,职业列表!$V$25,IF(IFERROR(VLOOKUP(A64,职业列表!$J$43:$J$51,1,FALSE),"%^&amp;@%##@^")=A64,1,0)=1,职业列表!$V$26,IF(IFERROR(VLOOKUP(A64,职业列表!$J$55:$J$63,1,FALSE),"%^&amp;@%##@^")=A64,1,0)=1,职业列表!$V$27,IF(IFERROR(VLOOKUP(A64,职业列表!$J$3:$K$10,1,FALSE),"%^&amp;@%##@^")=A64,1,0)+IF(IFERROR(VLOOKUP(A64,职业列表!$J$31:$J$39,1,FALSE),"%^&amp;@%##@^")=A64,1,0)+IF(IFERROR(VLOOKUP(A64,职业列表!$J$43:$J$51,1,FALSE),"%^&amp;@%##@^")=A64,1,0)+IF(IFERROR(VLOOKUP(A64,职业列表!$J$55:$J$63,1,FALSE),"%^&amp;@%##@^")=A64,1,0)=0,0))</f>
        <v>0</v>
      </c>
      <c r="GX64" s="1616"/>
      <c r="GY64" s="1616"/>
      <c r="GZ64" s="1616"/>
      <c r="HA64" s="1616"/>
      <c r="HB64" s="1649"/>
      <c r="HC64" s="1616"/>
      <c r="HD64" s="1616"/>
      <c r="HE64" s="1616"/>
      <c r="HF64" s="1616" t="s">
        <v>101</v>
      </c>
      <c r="HG64" s="1616"/>
      <c r="HH64" s="1616"/>
      <c r="HI64" s="1616"/>
      <c r="HJ64" s="1616"/>
      <c r="HK64" s="1616"/>
      <c r="HL64" s="1616" t="s">
        <v>101</v>
      </c>
      <c r="HM64" s="1616"/>
      <c r="HN64" s="1616"/>
      <c r="HO64" s="1616"/>
      <c r="HP64" s="1616"/>
      <c r="HQ64" s="1616"/>
      <c r="HR64" s="1616"/>
      <c r="HS64" s="1616"/>
      <c r="HT64" s="1616"/>
      <c r="HU64" s="1616"/>
      <c r="HV64" s="1616"/>
      <c r="HW64" s="1616"/>
      <c r="HX64" s="1616"/>
      <c r="HY64" s="1681"/>
      <c r="HZ64" s="1681"/>
      <c r="IA64" s="1681"/>
      <c r="IB64" s="1681" t="s">
        <v>101</v>
      </c>
      <c r="IC64" s="1681"/>
      <c r="ID64" s="1681"/>
      <c r="IE64" s="1681"/>
      <c r="IF64" s="1681"/>
      <c r="IG64" s="1681"/>
      <c r="IH64" s="1681"/>
      <c r="II64" s="1681"/>
      <c r="IJ64" s="1681"/>
      <c r="IK64" s="1681"/>
      <c r="IL64" s="1681"/>
      <c r="IM64" s="1681"/>
      <c r="IN64" s="1681"/>
      <c r="IO64" s="1681"/>
      <c r="IP64" s="1681"/>
      <c r="IQ64" s="1681"/>
      <c r="IR64" s="1681"/>
      <c r="IS64" s="1681"/>
      <c r="IT64" s="1681"/>
      <c r="IU64" s="1681"/>
      <c r="IV64" s="1681"/>
    </row>
    <row r="65" s="1605" customFormat="1" ht="20" customHeight="1" spans="1:256">
      <c r="A65" s="1605" t="s">
        <v>148</v>
      </c>
      <c r="B65" s="1699"/>
      <c r="C65" s="1699"/>
      <c r="D65" s="1699"/>
      <c r="E65" s="1699"/>
      <c r="F65" s="1699"/>
      <c r="G65" s="1699"/>
      <c r="H65" s="1702" t="s">
        <v>101</v>
      </c>
      <c r="I65" s="1699"/>
      <c r="J65" s="1699"/>
      <c r="K65" s="1699"/>
      <c r="L65" s="1699"/>
      <c r="M65" s="1699"/>
      <c r="N65" s="1699"/>
      <c r="O65" s="1699"/>
      <c r="P65" s="1699"/>
      <c r="Q65" s="1699"/>
      <c r="R65" s="1699"/>
      <c r="S65" s="1699"/>
      <c r="T65" s="1699"/>
      <c r="U65" s="1699"/>
      <c r="V65" s="1699"/>
      <c r="W65" s="1699"/>
      <c r="X65" s="1699"/>
      <c r="Y65" s="1699"/>
      <c r="Z65" s="1699"/>
      <c r="AA65" s="1699"/>
      <c r="AB65" s="1699"/>
      <c r="AC65" s="1699"/>
      <c r="AD65" s="1699"/>
      <c r="AE65" s="1699"/>
      <c r="AF65" s="1699"/>
      <c r="AG65" s="1699"/>
      <c r="AH65" s="1699"/>
      <c r="AI65" s="1699"/>
      <c r="AJ65" s="1699"/>
      <c r="AK65" s="1699"/>
      <c r="AL65" s="1699"/>
      <c r="AM65" s="1699"/>
      <c r="AO65" s="1699"/>
      <c r="AP65" s="1699"/>
      <c r="AR65" s="1699"/>
      <c r="AS65" s="1699"/>
      <c r="AT65" s="1699"/>
      <c r="AU65" s="1699"/>
      <c r="AV65" s="1699"/>
      <c r="AW65" s="1699"/>
      <c r="AX65" s="1699"/>
      <c r="AY65" s="1699"/>
      <c r="AZ65" s="1699"/>
      <c r="BA65" s="1699"/>
      <c r="BB65" s="1699"/>
      <c r="BC65" s="1699"/>
      <c r="BD65" s="1699"/>
      <c r="BE65" s="1699"/>
      <c r="BF65" s="1699"/>
      <c r="BG65" s="1699"/>
      <c r="BH65" s="1699"/>
      <c r="BI65" s="1699"/>
      <c r="BJ65" s="1699"/>
      <c r="BK65" s="1699"/>
      <c r="BL65" s="1699"/>
      <c r="BM65" s="1699"/>
      <c r="BN65" s="1699"/>
      <c r="BO65" s="1699"/>
      <c r="BP65" s="1699"/>
      <c r="BQ65" s="1699"/>
      <c r="BR65" s="1699"/>
      <c r="BS65" s="1699"/>
      <c r="BT65" s="1699"/>
      <c r="BU65" s="1699"/>
      <c r="BV65" s="1699"/>
      <c r="BW65" s="1699"/>
      <c r="BX65" s="1699"/>
      <c r="BY65" s="1699"/>
      <c r="BZ65" s="1699"/>
      <c r="CA65" s="1699"/>
      <c r="CB65" s="1699"/>
      <c r="CC65" s="1699"/>
      <c r="CD65" s="1699"/>
      <c r="CE65" s="1699"/>
      <c r="CF65" s="1699"/>
      <c r="CG65" s="1699"/>
      <c r="CH65" s="1699"/>
      <c r="CI65" s="1699"/>
      <c r="CJ65" s="1699"/>
      <c r="CK65" s="1699"/>
      <c r="CL65" s="1699"/>
      <c r="CM65" s="1699"/>
      <c r="CN65" s="1699"/>
      <c r="CO65" s="1699"/>
      <c r="CP65" s="1699"/>
      <c r="CQ65" s="1699"/>
      <c r="CR65" s="1699"/>
      <c r="CS65" s="1699"/>
      <c r="CT65" s="1699"/>
      <c r="CU65" s="1699"/>
      <c r="CV65" s="1699"/>
      <c r="CW65" s="1699"/>
      <c r="CX65" s="1699"/>
      <c r="CY65" s="1699"/>
      <c r="CZ65" s="1699"/>
      <c r="DA65" s="1699"/>
      <c r="DB65" s="1699"/>
      <c r="DD65" s="1699"/>
      <c r="DE65" s="1699"/>
      <c r="DF65" s="1699"/>
      <c r="DG65" s="1699"/>
      <c r="DH65" s="1699"/>
      <c r="DI65" s="1699"/>
      <c r="DJ65" s="1699"/>
      <c r="DK65" s="1702" t="s">
        <v>101</v>
      </c>
      <c r="DL65" s="1699"/>
      <c r="DM65" s="1699"/>
      <c r="DN65" s="1699"/>
      <c r="DO65" s="1699"/>
      <c r="DP65" s="1699"/>
      <c r="DQ65" s="1699"/>
      <c r="DR65" s="1699"/>
      <c r="DS65" s="1699"/>
      <c r="DT65" s="1699"/>
      <c r="DU65" s="1699"/>
      <c r="DV65" s="1699"/>
      <c r="DW65" s="1699"/>
      <c r="DX65" s="1699"/>
      <c r="DY65" s="1699"/>
      <c r="DZ65" s="1699"/>
      <c r="EA65" s="1699"/>
      <c r="EB65" s="1699"/>
      <c r="EC65" s="1699"/>
      <c r="ED65" s="1699"/>
      <c r="EE65" s="1699"/>
      <c r="EF65" s="1699"/>
      <c r="EG65" s="1699"/>
      <c r="EH65" s="1699"/>
      <c r="EI65" s="1699"/>
      <c r="EJ65" s="1699"/>
      <c r="EK65" s="1699"/>
      <c r="EL65" s="1699"/>
      <c r="EM65" s="1699"/>
      <c r="EN65" s="1699"/>
      <c r="EO65" s="1699"/>
      <c r="EP65" s="1699"/>
      <c r="EQ65" s="1699"/>
      <c r="ER65" s="1699"/>
      <c r="ES65" s="1699"/>
      <c r="ET65" s="1699"/>
      <c r="EU65" s="1699"/>
      <c r="EV65" s="1699"/>
      <c r="EW65" s="1699"/>
      <c r="EX65" s="1699"/>
      <c r="EY65" s="1699"/>
      <c r="EZ65" s="1699"/>
      <c r="FA65" s="1699"/>
      <c r="FB65" s="1699"/>
      <c r="FC65" s="1699"/>
      <c r="FD65" s="1699"/>
      <c r="FE65" s="1699"/>
      <c r="FF65" s="1699"/>
      <c r="FG65" s="1699"/>
      <c r="FH65" s="1699"/>
      <c r="FI65" s="1699"/>
      <c r="FJ65" s="1699"/>
      <c r="FK65" s="1699"/>
      <c r="FL65" s="1699"/>
      <c r="FM65" s="1699"/>
      <c r="FN65" s="1699"/>
      <c r="FO65" s="1699"/>
      <c r="FP65" s="1699"/>
      <c r="FQ65" s="1699"/>
      <c r="FR65" s="1699"/>
      <c r="FS65" s="1699"/>
      <c r="FT65" s="1699"/>
      <c r="FU65" s="1699"/>
      <c r="FV65" s="1699"/>
      <c r="FW65" s="1699"/>
      <c r="FX65" s="1699"/>
      <c r="FY65" s="1699"/>
      <c r="FZ65" s="1699"/>
      <c r="GA65" s="1699"/>
      <c r="GB65" s="1699"/>
      <c r="GC65" s="1699"/>
      <c r="GD65" s="1699"/>
      <c r="GE65" s="1699"/>
      <c r="GF65" s="1699"/>
      <c r="GG65" s="1699"/>
      <c r="GH65" s="1699"/>
      <c r="GI65" s="1699"/>
      <c r="GJ65" s="1699"/>
      <c r="GK65" s="1699"/>
      <c r="GL65" s="1699"/>
      <c r="GM65" s="1699"/>
      <c r="GN65" s="1699"/>
      <c r="GO65" s="1699"/>
      <c r="GP65" s="1699"/>
      <c r="GQ65" s="1699"/>
      <c r="GR65" s="1699"/>
      <c r="GS65" s="1699"/>
      <c r="GT65" s="1699"/>
      <c r="GU65" s="1699"/>
      <c r="GV65" s="1699"/>
      <c r="GW65" s="1669">
        <f>IF(职业列表!$W$27=0,0,_xlfn.IFS(IF(IFERROR(VLOOKUP(A65,职业列表!$J$3:$K$10,1,FALSE),"%^&amp;@%##@^")=A65,1,0)=1,"★",IF(IFERROR(VLOOKUP(A65,职业列表!$J$31:$J$39,1,FALSE),"%^&amp;@%##@^")=A65,1,0)=1,职业列表!$V$25,IF(IFERROR(VLOOKUP(A65,职业列表!$J$43:$J$51,1,FALSE),"%^&amp;@%##@^")=A65,1,0)=1,职业列表!$V$26,IF(IFERROR(VLOOKUP(A65,职业列表!$J$55:$J$63,1,FALSE),"%^&amp;@%##@^")=A65,1,0)=1,职业列表!$V$27,IF(IFERROR(VLOOKUP(A65,职业列表!$J$3:$K$10,1,FALSE),"%^&amp;@%##@^")=A65,1,0)+IF(IFERROR(VLOOKUP(A65,职业列表!$J$31:$J$39,1,FALSE),"%^&amp;@%##@^")=A65,1,0)+IF(IFERROR(VLOOKUP(A65,职业列表!$J$43:$J$51,1,FALSE),"%^&amp;@%##@^")=A65,1,0)+IF(IFERROR(VLOOKUP(A65,职业列表!$J$55:$J$63,1,FALSE),"%^&amp;@%##@^")=A65,1,0)=0,0))</f>
        <v>0</v>
      </c>
      <c r="GX65" s="1699"/>
      <c r="GY65" s="1699"/>
      <c r="GZ65" s="1699"/>
      <c r="HA65" s="1699"/>
      <c r="HB65" s="1702"/>
      <c r="HC65" s="1699"/>
      <c r="HD65" s="1699"/>
      <c r="HE65" s="1699"/>
      <c r="HF65" s="1699"/>
      <c r="HG65" s="1699"/>
      <c r="HH65" s="1699"/>
      <c r="HI65" s="1699"/>
      <c r="HJ65" s="1699"/>
      <c r="HK65" s="1699"/>
      <c r="HL65" s="1699"/>
      <c r="HM65" s="1699"/>
      <c r="HN65" s="1699"/>
      <c r="HO65" s="1699"/>
      <c r="HP65" s="1699"/>
      <c r="HQ65" s="1699"/>
      <c r="HR65" s="1699"/>
      <c r="HS65" s="1699"/>
      <c r="HT65" s="1699"/>
      <c r="HU65" s="1699"/>
      <c r="HV65" s="1699"/>
      <c r="HW65" s="1699"/>
      <c r="HX65" s="1699"/>
      <c r="HY65" s="1703"/>
      <c r="HZ65" s="1703"/>
      <c r="IA65" s="1703"/>
      <c r="IB65" s="1703"/>
      <c r="IC65" s="1703"/>
      <c r="ID65" s="1703"/>
      <c r="IE65" s="1703"/>
      <c r="IF65" s="1703"/>
      <c r="IG65" s="1703"/>
      <c r="IH65" s="1703"/>
      <c r="II65" s="1703"/>
      <c r="IJ65" s="1703"/>
      <c r="IK65" s="1703"/>
      <c r="IL65" s="1703"/>
      <c r="IM65" s="1703"/>
      <c r="IN65" s="1703"/>
      <c r="IO65" s="1703"/>
      <c r="IP65" s="1703"/>
      <c r="IQ65" s="1703"/>
      <c r="IR65" s="1703"/>
      <c r="IS65" s="1703"/>
      <c r="IT65" s="1703"/>
      <c r="IU65" s="1703"/>
      <c r="IV65" s="1703"/>
    </row>
    <row r="66" ht="20" customHeight="1" spans="1:256">
      <c r="A66" s="1250" t="s">
        <v>150</v>
      </c>
      <c r="B66" s="1616"/>
      <c r="C66" s="1616"/>
      <c r="D66" s="1616"/>
      <c r="E66" s="1616"/>
      <c r="F66" s="1616"/>
      <c r="G66" s="1616"/>
      <c r="H66" s="1616"/>
      <c r="I66" s="1616"/>
      <c r="J66" s="1616"/>
      <c r="K66" s="1616"/>
      <c r="L66" s="1616"/>
      <c r="M66" s="1616"/>
      <c r="N66" s="1616"/>
      <c r="O66" s="1616"/>
      <c r="P66" s="1616"/>
      <c r="Q66" s="1616"/>
      <c r="R66" s="1616"/>
      <c r="S66" s="1616"/>
      <c r="T66" s="1616"/>
      <c r="U66" s="1616"/>
      <c r="V66" s="1616"/>
      <c r="W66" s="1616"/>
      <c r="X66" s="1616"/>
      <c r="Y66" s="1616"/>
      <c r="Z66" s="1616"/>
      <c r="AA66" s="1616"/>
      <c r="AB66" s="1616"/>
      <c r="AC66" s="1616"/>
      <c r="AD66" s="1616"/>
      <c r="AE66" s="1616"/>
      <c r="AF66" s="1616"/>
      <c r="AG66" s="1616"/>
      <c r="AH66" s="1616"/>
      <c r="AI66" s="1616"/>
      <c r="AJ66" s="1616"/>
      <c r="AK66" s="1616"/>
      <c r="AL66" s="1616"/>
      <c r="AM66" s="1616"/>
      <c r="AN66" s="1616"/>
      <c r="AO66" s="1616"/>
      <c r="AP66" s="1616"/>
      <c r="AQ66" s="1669" t="s">
        <v>101</v>
      </c>
      <c r="AR66" s="1616"/>
      <c r="AS66" s="1616"/>
      <c r="AT66" s="1616"/>
      <c r="AU66" s="1616"/>
      <c r="AV66" s="1616"/>
      <c r="AW66" s="1616"/>
      <c r="AX66" s="1616"/>
      <c r="AY66" s="1616"/>
      <c r="AZ66" s="1616"/>
      <c r="BA66" s="1616"/>
      <c r="BB66" s="1616"/>
      <c r="BC66" s="1616"/>
      <c r="BD66" s="1616"/>
      <c r="BE66" s="1616"/>
      <c r="BF66" s="1616"/>
      <c r="BG66" s="1616"/>
      <c r="BH66" s="1616"/>
      <c r="BI66" s="1616"/>
      <c r="BJ66" s="1616"/>
      <c r="BK66" s="1616"/>
      <c r="BL66" s="1616"/>
      <c r="BM66" s="1616"/>
      <c r="BN66" s="1616"/>
      <c r="BO66" s="1616"/>
      <c r="BP66" s="1616"/>
      <c r="BQ66" s="1616"/>
      <c r="BR66" s="1616"/>
      <c r="BS66" s="1616"/>
      <c r="BT66" s="1616"/>
      <c r="BU66" s="1616"/>
      <c r="BV66" s="1616"/>
      <c r="BW66" s="1616"/>
      <c r="BX66" s="1616"/>
      <c r="BY66" s="1616"/>
      <c r="BZ66" s="1616"/>
      <c r="CA66" s="1616"/>
      <c r="CB66" s="1616"/>
      <c r="CC66" s="1616"/>
      <c r="CD66" s="1616"/>
      <c r="CE66" s="1616"/>
      <c r="CF66" s="1616"/>
      <c r="CG66" s="1616"/>
      <c r="CH66" s="1616"/>
      <c r="CI66" s="1616"/>
      <c r="CJ66" s="1616"/>
      <c r="CK66" s="1616"/>
      <c r="CL66" s="1616"/>
      <c r="CM66" s="1616"/>
      <c r="CN66" s="1616"/>
      <c r="CO66" s="1616"/>
      <c r="CP66" s="1616"/>
      <c r="CQ66" s="1616"/>
      <c r="CR66" s="1616"/>
      <c r="CS66" s="1616"/>
      <c r="CT66" s="1616"/>
      <c r="CU66" s="1616"/>
      <c r="CV66" s="1616"/>
      <c r="CW66" s="1616"/>
      <c r="CX66" s="1616"/>
      <c r="CY66" s="1616"/>
      <c r="CZ66" s="1616"/>
      <c r="DA66" s="1616"/>
      <c r="DB66" s="1616"/>
      <c r="DC66" s="1649" t="s">
        <v>593</v>
      </c>
      <c r="DD66" s="1616"/>
      <c r="DE66" s="1616"/>
      <c r="DF66" s="1616"/>
      <c r="DG66" s="1616"/>
      <c r="DH66" s="1616"/>
      <c r="DI66" s="1616"/>
      <c r="DJ66" s="1616"/>
      <c r="DK66" s="1616"/>
      <c r="DL66" s="1616"/>
      <c r="DM66" s="1616"/>
      <c r="DN66" s="1616"/>
      <c r="DO66" s="1616"/>
      <c r="DP66" s="1616"/>
      <c r="DQ66" s="1616"/>
      <c r="DR66" s="1616"/>
      <c r="DS66" s="1616"/>
      <c r="DT66" s="1616"/>
      <c r="DU66" s="1616"/>
      <c r="DV66" s="1616"/>
      <c r="DW66" s="1616"/>
      <c r="DX66" s="1616"/>
      <c r="DY66" s="1616"/>
      <c r="DZ66" s="1616"/>
      <c r="EA66" s="1616"/>
      <c r="EB66" s="1616"/>
      <c r="EC66" s="1616"/>
      <c r="ED66" s="1616"/>
      <c r="EE66" s="1616"/>
      <c r="EF66" s="1616"/>
      <c r="EG66" s="1616"/>
      <c r="EH66" s="1616"/>
      <c r="EI66" s="1616"/>
      <c r="EJ66" s="1616"/>
      <c r="EK66" s="1616"/>
      <c r="EL66" s="1616"/>
      <c r="EM66" s="1616"/>
      <c r="EN66" s="1616"/>
      <c r="EO66" s="1616"/>
      <c r="EP66" s="1616"/>
      <c r="EQ66" s="1616"/>
      <c r="ER66" s="1616"/>
      <c r="ES66" s="1616"/>
      <c r="ET66" s="1616"/>
      <c r="EU66" s="1616"/>
      <c r="EV66" s="1616"/>
      <c r="EW66" s="1616"/>
      <c r="EX66" s="1616"/>
      <c r="EY66" s="1616"/>
      <c r="EZ66" s="1616"/>
      <c r="FA66" s="1616"/>
      <c r="FB66" s="1616"/>
      <c r="FK66" s="1616"/>
      <c r="FL66" s="1616"/>
      <c r="FM66" s="1616"/>
      <c r="FN66" s="1616"/>
      <c r="FO66" s="1616"/>
      <c r="FP66" s="1616"/>
      <c r="FQ66" s="1616"/>
      <c r="FR66" s="1616"/>
      <c r="FS66" s="1616"/>
      <c r="FT66" s="1616"/>
      <c r="FU66" s="1616"/>
      <c r="FV66" s="1616"/>
      <c r="FW66" s="1616"/>
      <c r="FX66" s="1616"/>
      <c r="FY66" s="1616"/>
      <c r="FZ66" s="1616"/>
      <c r="GA66" s="1616"/>
      <c r="GB66" s="1616"/>
      <c r="GC66" s="1616"/>
      <c r="GD66" s="1616"/>
      <c r="GE66" s="1616"/>
      <c r="GF66" s="1616"/>
      <c r="GG66" s="1616"/>
      <c r="GH66" s="1616"/>
      <c r="GI66" s="1616"/>
      <c r="GJ66" s="1616"/>
      <c r="GK66" s="1616"/>
      <c r="GL66" s="1616"/>
      <c r="GM66" s="1616"/>
      <c r="GN66" s="1616"/>
      <c r="GO66" s="1616"/>
      <c r="GP66" s="1616"/>
      <c r="GQ66" s="1616"/>
      <c r="GR66" s="1616"/>
      <c r="GS66" s="1616"/>
      <c r="GT66" s="1616"/>
      <c r="GU66" s="1616"/>
      <c r="GV66" s="1616"/>
      <c r="GW66" s="1669">
        <f>IF(职业列表!$W$27=0,0,_xlfn.IFS(IF(IFERROR(VLOOKUP(A66,职业列表!$J$3:$K$10,1,FALSE),"%^&amp;@%##@^")=A66,1,0)=1,"★",IF(IFERROR(VLOOKUP(A66,职业列表!$J$31:$J$39,1,FALSE),"%^&amp;@%##@^")=A66,1,0)=1,职业列表!$V$25,IF(IFERROR(VLOOKUP(A66,职业列表!$J$43:$J$51,1,FALSE),"%^&amp;@%##@^")=A66,1,0)=1,职业列表!$V$26,IF(IFERROR(VLOOKUP(A66,职业列表!$J$55:$J$63,1,FALSE),"%^&amp;@%##@^")=A66,1,0)=1,职业列表!$V$27,IF(IFERROR(VLOOKUP(A66,职业列表!$J$3:$K$10,1,FALSE),"%^&amp;@%##@^")=A66,1,0)+IF(IFERROR(VLOOKUP(A66,职业列表!$J$31:$J$39,1,FALSE),"%^&amp;@%##@^")=A66,1,0)+IF(IFERROR(VLOOKUP(A66,职业列表!$J$43:$J$51,1,FALSE),"%^&amp;@%##@^")=A66,1,0)+IF(IFERROR(VLOOKUP(A66,职业列表!$J$55:$J$63,1,FALSE),"%^&amp;@%##@^")=A66,1,0)=0,0))</f>
        <v>0</v>
      </c>
      <c r="GX66" s="1616"/>
      <c r="GY66" s="1616"/>
      <c r="GZ66" s="1616"/>
      <c r="HA66" s="1616"/>
      <c r="HB66" s="1616"/>
      <c r="HC66" s="1616"/>
      <c r="HD66" s="1616"/>
      <c r="HE66" s="1616"/>
      <c r="HF66" s="1616"/>
      <c r="HG66" s="1616"/>
      <c r="HH66" s="1616"/>
      <c r="HI66" s="1616"/>
      <c r="HJ66" s="1616"/>
      <c r="HK66" s="1616"/>
      <c r="HL66" s="1616"/>
      <c r="HM66" s="1616"/>
      <c r="HN66" s="1616"/>
      <c r="HO66" s="1616"/>
      <c r="HP66" s="1616"/>
      <c r="HQ66" s="1616"/>
      <c r="HR66" s="1616"/>
      <c r="HS66" s="1616"/>
      <c r="HT66" s="1616"/>
      <c r="HU66" s="1616"/>
      <c r="HV66" s="1616"/>
      <c r="HW66" s="1616"/>
      <c r="HX66" s="1616"/>
      <c r="HY66" s="1681"/>
      <c r="HZ66" s="1681"/>
      <c r="IA66" s="1681"/>
      <c r="IB66" s="1681"/>
      <c r="IC66" s="1681"/>
      <c r="ID66" s="1681"/>
      <c r="IE66" s="1681"/>
      <c r="IF66" s="1681"/>
      <c r="IG66" s="1681"/>
      <c r="IH66" s="1681"/>
      <c r="II66" s="1681"/>
      <c r="IJ66" s="1681"/>
      <c r="IK66" s="1681"/>
      <c r="IL66" s="1681"/>
      <c r="IM66" s="1681"/>
      <c r="IN66" s="1681"/>
      <c r="IO66" s="1681"/>
      <c r="IP66" s="1681"/>
      <c r="IQ66" s="1681"/>
      <c r="IR66" s="1681"/>
      <c r="IS66" s="1681"/>
      <c r="IT66" s="1681"/>
      <c r="IU66" s="1681"/>
      <c r="IV66" s="1681"/>
    </row>
    <row r="67" ht="20" customHeight="1" spans="1:256">
      <c r="A67" s="1250" t="s">
        <v>152</v>
      </c>
      <c r="B67" s="1616"/>
      <c r="C67" s="1616"/>
      <c r="D67" s="1616"/>
      <c r="E67" s="1616"/>
      <c r="F67" s="1616"/>
      <c r="G67" s="1616"/>
      <c r="H67" s="1616"/>
      <c r="I67" s="1616"/>
      <c r="J67" s="1616"/>
      <c r="K67" s="1616"/>
      <c r="L67" s="1616"/>
      <c r="M67" s="1616"/>
      <c r="N67" s="1616"/>
      <c r="O67" s="1616"/>
      <c r="P67" s="1616"/>
      <c r="Q67" s="1616"/>
      <c r="R67" s="1616"/>
      <c r="S67" s="1616"/>
      <c r="T67" s="1616"/>
      <c r="U67" s="1616"/>
      <c r="V67" s="1616"/>
      <c r="W67" s="1616"/>
      <c r="X67" s="1616"/>
      <c r="Y67" s="1616"/>
      <c r="Z67" s="1616"/>
      <c r="AA67" s="1616"/>
      <c r="AB67" s="1616"/>
      <c r="AC67" s="1616"/>
      <c r="AD67" s="1616"/>
      <c r="AE67" s="1616"/>
      <c r="AF67" s="1616"/>
      <c r="AG67" s="1616"/>
      <c r="AH67" s="1616"/>
      <c r="AI67" s="1616"/>
      <c r="AJ67" s="1616"/>
      <c r="AK67" s="1616"/>
      <c r="AL67" s="1616"/>
      <c r="AM67" s="1616"/>
      <c r="AO67" s="1616"/>
      <c r="AP67" s="1616"/>
      <c r="AQ67" s="1616"/>
      <c r="AR67" s="1616"/>
      <c r="AS67" s="1616"/>
      <c r="AT67" s="1616"/>
      <c r="AU67" s="1616"/>
      <c r="AV67" s="1616"/>
      <c r="AW67" s="1616"/>
      <c r="AX67" s="1616"/>
      <c r="AY67" s="1616"/>
      <c r="AZ67" s="1616"/>
      <c r="BA67" s="1616"/>
      <c r="BB67" s="1616"/>
      <c r="BC67" s="1616"/>
      <c r="BD67" s="1616"/>
      <c r="BE67" s="1616"/>
      <c r="BF67" s="1616"/>
      <c r="BG67" s="1616"/>
      <c r="BH67" s="1616"/>
      <c r="BI67" s="1616"/>
      <c r="BJ67" s="1616"/>
      <c r="BK67" s="1616"/>
      <c r="BL67" s="1616"/>
      <c r="BM67" s="1616"/>
      <c r="BN67" s="1616"/>
      <c r="BO67" s="1616"/>
      <c r="BP67" s="1616"/>
      <c r="BQ67" s="1616"/>
      <c r="BR67" s="1616"/>
      <c r="BS67" s="1616"/>
      <c r="BT67" s="1616"/>
      <c r="BU67" s="1616"/>
      <c r="BV67" s="1616"/>
      <c r="BW67" s="1616"/>
      <c r="BX67" s="1616"/>
      <c r="BY67" s="1616"/>
      <c r="BZ67" s="1616"/>
      <c r="CA67" s="1616"/>
      <c r="CB67" s="1616"/>
      <c r="CC67" s="1616"/>
      <c r="CD67" s="1616"/>
      <c r="CE67" s="1616"/>
      <c r="CF67" s="1616"/>
      <c r="CG67" s="1616"/>
      <c r="CH67" s="1616"/>
      <c r="CI67" s="1616"/>
      <c r="CJ67" s="1616"/>
      <c r="CK67" s="1616"/>
      <c r="CL67" s="1616"/>
      <c r="CM67" s="1616"/>
      <c r="CN67" s="1616"/>
      <c r="CO67" s="1616"/>
      <c r="CP67" s="1616"/>
      <c r="CQ67" s="1616"/>
      <c r="CR67" s="1616"/>
      <c r="CS67" s="1616"/>
      <c r="CT67" s="1616"/>
      <c r="CU67" s="1616"/>
      <c r="CV67" s="1616"/>
      <c r="CW67" s="1616"/>
      <c r="CX67" s="1616"/>
      <c r="CY67" s="1616"/>
      <c r="CZ67" s="1616"/>
      <c r="DA67" s="1616"/>
      <c r="DB67" s="1616"/>
      <c r="DC67" s="1616"/>
      <c r="DD67" s="1616"/>
      <c r="DE67" s="1616"/>
      <c r="DF67" s="1616"/>
      <c r="DG67" s="1616"/>
      <c r="DH67" s="1616"/>
      <c r="DI67" s="1616"/>
      <c r="DJ67" s="1616"/>
      <c r="DK67" s="1616"/>
      <c r="DL67" s="1616"/>
      <c r="DM67" s="1616"/>
      <c r="DN67" s="1616"/>
      <c r="DO67" s="1616"/>
      <c r="DP67" s="1616"/>
      <c r="DQ67" s="1616"/>
      <c r="DR67" s="1616"/>
      <c r="DS67" s="1616"/>
      <c r="DT67" s="1616"/>
      <c r="DU67" s="1616"/>
      <c r="DV67" s="1616"/>
      <c r="DW67" s="1616"/>
      <c r="DX67" s="1616"/>
      <c r="DY67" s="1616"/>
      <c r="DZ67" s="1616"/>
      <c r="EA67" s="1616"/>
      <c r="EB67" s="1616"/>
      <c r="EC67" s="1616"/>
      <c r="ED67" s="1616"/>
      <c r="EE67" s="1616"/>
      <c r="EF67" s="1616"/>
      <c r="EG67" s="1616"/>
      <c r="EH67" s="1616"/>
      <c r="EI67" s="1616"/>
      <c r="EJ67" s="1616"/>
      <c r="EK67" s="1616"/>
      <c r="EL67" s="1616"/>
      <c r="EM67" s="1616"/>
      <c r="EN67" s="1616"/>
      <c r="EO67" s="1616"/>
      <c r="EP67" s="1616"/>
      <c r="EQ67" s="1616"/>
      <c r="ER67" s="1616"/>
      <c r="ES67" s="1616"/>
      <c r="ET67" s="1616"/>
      <c r="EU67" s="1616"/>
      <c r="EV67" s="1616"/>
      <c r="EW67" s="1616"/>
      <c r="EX67" s="1616"/>
      <c r="EY67" s="1616"/>
      <c r="EZ67" s="1616"/>
      <c r="FA67" s="1616"/>
      <c r="FB67" s="1616"/>
      <c r="FC67" s="1651"/>
      <c r="FD67" s="1651"/>
      <c r="FE67" s="1651"/>
      <c r="FF67" s="1616"/>
      <c r="FG67" s="1616"/>
      <c r="FH67" s="1651"/>
      <c r="FI67" s="1651"/>
      <c r="FJ67" s="1651"/>
      <c r="FK67" s="1616"/>
      <c r="FL67" s="1616"/>
      <c r="FM67" s="1616"/>
      <c r="FN67" s="1616"/>
      <c r="FO67" s="1616"/>
      <c r="FP67" s="1616"/>
      <c r="FQ67" s="1616"/>
      <c r="FR67" s="1616"/>
      <c r="FS67" s="1616"/>
      <c r="FT67" s="1616"/>
      <c r="FU67" s="1616"/>
      <c r="FV67" s="1616"/>
      <c r="FW67" s="1616"/>
      <c r="FX67" s="1616"/>
      <c r="FY67" s="1616"/>
      <c r="FZ67" s="1616"/>
      <c r="GA67" s="1616"/>
      <c r="GB67" s="1616"/>
      <c r="GC67" s="1616"/>
      <c r="GD67" s="1616"/>
      <c r="GE67" s="1616"/>
      <c r="GF67" s="1616"/>
      <c r="GG67" s="1616"/>
      <c r="GH67" s="1616"/>
      <c r="GI67" s="1616"/>
      <c r="GJ67" s="1616"/>
      <c r="GK67" s="1616"/>
      <c r="GL67" s="1616"/>
      <c r="GM67" s="1616"/>
      <c r="GN67" s="1616"/>
      <c r="GO67" s="1616"/>
      <c r="GP67" s="1616"/>
      <c r="GQ67" s="1616"/>
      <c r="GR67" s="1616"/>
      <c r="GS67" s="1616"/>
      <c r="GT67" s="1616"/>
      <c r="GU67" s="1616"/>
      <c r="GV67" s="1616"/>
      <c r="GW67" s="1669">
        <f>IF(职业列表!$W$27=0,0,_xlfn.IFS(IF(IFERROR(VLOOKUP(A67,职业列表!$J$3:$K$10,1,FALSE),"%^&amp;@%##@^")=A67,1,0)=1,"★",IF(IFERROR(VLOOKUP(A67,职业列表!$J$31:$J$39,1,FALSE),"%^&amp;@%##@^")=A67,1,0)=1,职业列表!$V$25,IF(IFERROR(VLOOKUP(A67,职业列表!$J$43:$J$51,1,FALSE),"%^&amp;@%##@^")=A67,1,0)=1,职业列表!$V$26,IF(IFERROR(VLOOKUP(A67,职业列表!$J$55:$J$63,1,FALSE),"%^&amp;@%##@^")=A67,1,0)=1,职业列表!$V$27,IF(IFERROR(VLOOKUP(A67,职业列表!$J$3:$K$10,1,FALSE),"%^&amp;@%##@^")=A67,1,0)+IF(IFERROR(VLOOKUP(A67,职业列表!$J$31:$J$39,1,FALSE),"%^&amp;@%##@^")=A67,1,0)+IF(IFERROR(VLOOKUP(A67,职业列表!$J$43:$J$51,1,FALSE),"%^&amp;@%##@^")=A67,1,0)+IF(IFERROR(VLOOKUP(A67,职业列表!$J$55:$J$63,1,FALSE),"%^&amp;@%##@^")=A67,1,0)=0,0))</f>
        <v>0</v>
      </c>
      <c r="GX67" s="1616"/>
      <c r="GY67" s="1616"/>
      <c r="GZ67" s="1616"/>
      <c r="HA67" s="1616"/>
      <c r="HB67" s="1616"/>
      <c r="HC67" s="1616"/>
      <c r="HD67" s="1616"/>
      <c r="HE67" s="1616"/>
      <c r="HF67" s="1616"/>
      <c r="HG67" s="1616"/>
      <c r="HH67" s="1616"/>
      <c r="HI67" s="1616"/>
      <c r="HJ67" s="1616"/>
      <c r="HK67" s="1616"/>
      <c r="HL67" s="1616"/>
      <c r="HM67" s="1616"/>
      <c r="HN67" s="1616"/>
      <c r="HO67" s="1616"/>
      <c r="HP67" s="1616"/>
      <c r="HQ67" s="1616"/>
      <c r="HR67" s="1616"/>
      <c r="HS67" s="1616"/>
      <c r="HT67" s="1616"/>
      <c r="HU67" s="1616"/>
      <c r="HV67" s="1616"/>
      <c r="HW67" s="1616"/>
      <c r="HX67" s="1616"/>
      <c r="HY67" s="1681"/>
      <c r="HZ67" s="1681"/>
      <c r="IA67" s="1681"/>
      <c r="IB67" s="1681"/>
      <c r="IC67" s="1681"/>
      <c r="ID67" s="1681"/>
      <c r="IE67" s="1681"/>
      <c r="IF67" s="1681"/>
      <c r="IG67" s="1681"/>
      <c r="IH67" s="1681"/>
      <c r="II67" s="1681"/>
      <c r="IJ67" s="1681"/>
      <c r="IK67" s="1681"/>
      <c r="IL67" s="1681"/>
      <c r="IM67" s="1681"/>
      <c r="IN67" s="1681"/>
      <c r="IO67" s="1681"/>
      <c r="IP67" s="1681"/>
      <c r="IQ67" s="1681"/>
      <c r="IR67" s="1681"/>
      <c r="IS67" s="1681"/>
      <c r="IT67" s="1681"/>
      <c r="IU67" s="1681"/>
      <c r="IV67" s="1681"/>
    </row>
    <row r="68" ht="20" customHeight="1" spans="1:256">
      <c r="A68" s="1250" t="s">
        <v>155</v>
      </c>
      <c r="B68" s="1616"/>
      <c r="C68" s="1616"/>
      <c r="D68" s="1616"/>
      <c r="E68" s="1616"/>
      <c r="F68" s="1616"/>
      <c r="G68" s="1616"/>
      <c r="H68" s="1616"/>
      <c r="I68" s="1616"/>
      <c r="J68" s="1616"/>
      <c r="K68" s="1616"/>
      <c r="L68" s="1616"/>
      <c r="M68" s="1616"/>
      <c r="N68" s="1616"/>
      <c r="O68" s="1616"/>
      <c r="P68" s="1616"/>
      <c r="Q68" s="1616"/>
      <c r="R68" s="1616"/>
      <c r="S68" s="1616"/>
      <c r="T68" s="1616"/>
      <c r="U68" s="1616"/>
      <c r="V68" s="1616"/>
      <c r="W68" s="1616"/>
      <c r="X68" s="1616"/>
      <c r="Y68" s="1616"/>
      <c r="Z68" s="1616"/>
      <c r="AA68" s="1616"/>
      <c r="AB68" s="1616"/>
      <c r="AC68" s="1616"/>
      <c r="AD68" s="1616"/>
      <c r="AE68" s="1616"/>
      <c r="AF68" s="1616"/>
      <c r="AG68" s="1616"/>
      <c r="AH68" s="1616"/>
      <c r="AI68" s="1616"/>
      <c r="AJ68" s="1616"/>
      <c r="AK68" s="1616"/>
      <c r="AL68" s="1616"/>
      <c r="AM68" s="1616"/>
      <c r="AN68" s="1616"/>
      <c r="AO68" s="1616"/>
      <c r="AP68" s="1616"/>
      <c r="AR68" s="1616"/>
      <c r="AS68" s="1616"/>
      <c r="AT68" s="1616"/>
      <c r="AU68" s="1616"/>
      <c r="AV68" s="1616"/>
      <c r="AW68" s="1616"/>
      <c r="AX68" s="1616"/>
      <c r="AY68" s="1616"/>
      <c r="AZ68" s="1616"/>
      <c r="BA68" s="1616"/>
      <c r="BB68" s="1616"/>
      <c r="BC68" s="1616"/>
      <c r="BD68" s="1616"/>
      <c r="BE68" s="1616"/>
      <c r="BF68" s="1616"/>
      <c r="BG68" s="1616"/>
      <c r="BH68" s="1616"/>
      <c r="BI68" s="1616"/>
      <c r="BJ68" s="1616"/>
      <c r="BK68" s="1616"/>
      <c r="BL68" s="1616"/>
      <c r="BM68" s="1616"/>
      <c r="BN68" s="1616"/>
      <c r="BO68" s="1616"/>
      <c r="BP68" s="1616"/>
      <c r="BQ68" s="1616"/>
      <c r="BR68" s="1616"/>
      <c r="BS68" s="1616"/>
      <c r="BT68" s="1616"/>
      <c r="BU68" s="1616"/>
      <c r="BV68" s="1616"/>
      <c r="BW68" s="1616"/>
      <c r="BX68" s="1616"/>
      <c r="BY68" s="1616"/>
      <c r="BZ68" s="1616"/>
      <c r="CA68" s="1616"/>
      <c r="CB68" s="1616"/>
      <c r="CC68" s="1616"/>
      <c r="CD68" s="1616"/>
      <c r="CE68" s="1616"/>
      <c r="CF68" s="1616"/>
      <c r="CG68" s="1616"/>
      <c r="CH68" s="1616"/>
      <c r="CI68" s="1616"/>
      <c r="CJ68" s="1616"/>
      <c r="CK68" s="1616"/>
      <c r="CL68" s="1616"/>
      <c r="CM68" s="1616"/>
      <c r="CN68" s="1616"/>
      <c r="CO68" s="1616"/>
      <c r="CP68" s="1616"/>
      <c r="CQ68" s="1616"/>
      <c r="CR68" s="1616"/>
      <c r="CS68" s="1616"/>
      <c r="CT68" s="1616"/>
      <c r="CU68" s="1616"/>
      <c r="CV68" s="1616"/>
      <c r="CW68" s="1616"/>
      <c r="CX68" s="1616"/>
      <c r="CY68" s="1616"/>
      <c r="CZ68" s="1616"/>
      <c r="DA68" s="1616"/>
      <c r="DB68" s="1616"/>
      <c r="DC68" s="1669"/>
      <c r="DD68" s="1616"/>
      <c r="DE68" s="1616"/>
      <c r="DF68" s="1616"/>
      <c r="DG68" s="1616"/>
      <c r="DH68" s="1616"/>
      <c r="DI68" s="1616"/>
      <c r="DJ68" s="1616"/>
      <c r="DK68" s="1616"/>
      <c r="DL68" s="1616"/>
      <c r="DM68" s="1616"/>
      <c r="DN68" s="1616"/>
      <c r="DO68" s="1616"/>
      <c r="DP68" s="1616"/>
      <c r="DQ68" s="1616"/>
      <c r="DR68" s="1616"/>
      <c r="DS68" s="1616"/>
      <c r="DT68" s="1616"/>
      <c r="DU68" s="1616"/>
      <c r="DV68" s="1616"/>
      <c r="DW68" s="1616"/>
      <c r="DX68" s="1616"/>
      <c r="DY68" s="1616"/>
      <c r="DZ68" s="1616"/>
      <c r="EA68" s="1616"/>
      <c r="EB68" s="1616"/>
      <c r="EC68" s="1616"/>
      <c r="ED68" s="1616"/>
      <c r="EE68" s="1616"/>
      <c r="EF68" s="1616"/>
      <c r="EG68" s="1616"/>
      <c r="EH68" s="1616"/>
      <c r="EI68" s="1616"/>
      <c r="EJ68" s="1616"/>
      <c r="EK68" s="1616"/>
      <c r="EL68" s="1616"/>
      <c r="EM68" s="1616"/>
      <c r="EN68" s="1616"/>
      <c r="EO68" s="1616"/>
      <c r="EP68" s="1616"/>
      <c r="EQ68" s="1616"/>
      <c r="ER68" s="1616"/>
      <c r="ES68" s="1616"/>
      <c r="ET68" s="1616"/>
      <c r="EU68" s="1616"/>
      <c r="EV68" s="1616"/>
      <c r="EW68" s="1616"/>
      <c r="EX68" s="1616"/>
      <c r="EY68" s="1616"/>
      <c r="EZ68" s="1616"/>
      <c r="FA68" s="1616"/>
      <c r="FB68" s="1616"/>
      <c r="FC68" s="1616"/>
      <c r="FD68" s="1616"/>
      <c r="FE68" s="1616"/>
      <c r="FF68" s="1616"/>
      <c r="FG68" s="1616"/>
      <c r="FH68" s="1616"/>
      <c r="FI68" s="1616"/>
      <c r="FJ68" s="1616"/>
      <c r="FK68" s="1616"/>
      <c r="FL68" s="1616"/>
      <c r="FM68" s="1616"/>
      <c r="FN68" s="1616"/>
      <c r="FO68" s="1616"/>
      <c r="FP68" s="1616"/>
      <c r="FQ68" s="1616"/>
      <c r="FR68" s="1616"/>
      <c r="FS68" s="1616"/>
      <c r="FT68" s="1616"/>
      <c r="FU68" s="1616"/>
      <c r="FV68" s="1616"/>
      <c r="FW68" s="1616"/>
      <c r="FX68" s="1616"/>
      <c r="FY68" s="1616"/>
      <c r="FZ68" s="1616"/>
      <c r="GA68" s="1616"/>
      <c r="GB68" s="1616"/>
      <c r="GC68" s="1616"/>
      <c r="GD68" s="1616"/>
      <c r="GE68" s="1616"/>
      <c r="GF68" s="1616"/>
      <c r="GG68" s="1616"/>
      <c r="GH68" s="1616"/>
      <c r="GI68" s="1616"/>
      <c r="GJ68" s="1616"/>
      <c r="GK68" s="1616"/>
      <c r="GL68" s="1616"/>
      <c r="GM68" s="1616"/>
      <c r="GN68" s="1616"/>
      <c r="GO68" s="1616"/>
      <c r="GP68" s="1616"/>
      <c r="GQ68" s="1616"/>
      <c r="GR68" s="1616"/>
      <c r="GS68" s="1616"/>
      <c r="GT68" s="1616"/>
      <c r="GU68" s="1616"/>
      <c r="GV68" s="1616"/>
      <c r="GW68" s="1669">
        <f>IF(职业列表!$W$27=0,0,_xlfn.IFS(IF(IFERROR(VLOOKUP(A68,职业列表!$J$3:$K$10,1,FALSE),"%^&amp;@%##@^")=A68,1,0)=1,"★",IF(IFERROR(VLOOKUP(A68,职业列表!$J$31:$J$39,1,FALSE),"%^&amp;@%##@^")=A68,1,0)=1,职业列表!$V$25,IF(IFERROR(VLOOKUP(A68,职业列表!$J$43:$J$51,1,FALSE),"%^&amp;@%##@^")=A68,1,0)=1,职业列表!$V$26,IF(IFERROR(VLOOKUP(A68,职业列表!$J$55:$J$63,1,FALSE),"%^&amp;@%##@^")=A68,1,0)=1,职业列表!$V$27,IF(IFERROR(VLOOKUP(A68,职业列表!$J$3:$K$10,1,FALSE),"%^&amp;@%##@^")=A68,1,0)+IF(IFERROR(VLOOKUP(A68,职业列表!$J$31:$J$39,1,FALSE),"%^&amp;@%##@^")=A68,1,0)+IF(IFERROR(VLOOKUP(A68,职业列表!$J$43:$J$51,1,FALSE),"%^&amp;@%##@^")=A68,1,0)+IF(IFERROR(VLOOKUP(A68,职业列表!$J$55:$J$63,1,FALSE),"%^&amp;@%##@^")=A68,1,0)=0,0))</f>
        <v>0</v>
      </c>
      <c r="GX68" s="1616"/>
      <c r="GY68" s="1616"/>
      <c r="GZ68" s="1616"/>
      <c r="HA68" s="1616"/>
      <c r="HB68" s="1616"/>
      <c r="HC68" s="1616"/>
      <c r="HD68" s="1616"/>
      <c r="HE68" s="1616"/>
      <c r="HF68" s="1616"/>
      <c r="HG68" s="1616"/>
      <c r="HH68" s="1616"/>
      <c r="HI68" s="1616"/>
      <c r="HJ68" s="1616"/>
      <c r="HK68" s="1616"/>
      <c r="HL68" s="1616"/>
      <c r="HM68" s="1616"/>
      <c r="HN68" s="1616"/>
      <c r="HO68" s="1616"/>
      <c r="HP68" s="1616"/>
      <c r="HQ68" s="1616"/>
      <c r="HR68" s="1616"/>
      <c r="HS68" s="1616"/>
      <c r="HT68" s="1616"/>
      <c r="HU68" s="1616"/>
      <c r="HV68" s="1616"/>
      <c r="HW68" s="1616"/>
      <c r="HX68" s="1616"/>
      <c r="HY68" s="1681"/>
      <c r="HZ68" s="1681"/>
      <c r="IA68" s="1681"/>
      <c r="IB68" s="1681"/>
      <c r="IC68" s="1681"/>
      <c r="ID68" s="1681"/>
      <c r="IE68" s="1681"/>
      <c r="IF68" s="1681"/>
      <c r="IG68" s="1681"/>
      <c r="IH68" s="1681"/>
      <c r="II68" s="1681"/>
      <c r="IJ68" s="1681"/>
      <c r="IK68" s="1681"/>
      <c r="IL68" s="1681"/>
      <c r="IM68" s="1681"/>
      <c r="IN68" s="1681"/>
      <c r="IO68" s="1681"/>
      <c r="IP68" s="1681"/>
      <c r="IQ68" s="1681"/>
      <c r="IR68" s="1681"/>
      <c r="IS68" s="1681"/>
      <c r="IT68" s="1681"/>
      <c r="IU68" s="1681"/>
      <c r="IV68" s="1681"/>
    </row>
    <row r="69" ht="16" customHeight="1" spans="1:205">
      <c r="A69" s="1250" t="s">
        <v>157</v>
      </c>
      <c r="AN69" s="1649" t="s">
        <v>101</v>
      </c>
      <c r="GW69" s="1669">
        <f>IF(职业列表!$W$27=0,0,_xlfn.IFS(IF(IFERROR(VLOOKUP(A69,职业列表!$J$3:$K$10,1,FALSE),"%^&amp;@%##@^")=A69,1,0)=1,"★",IF(IFERROR(VLOOKUP(A69,职业列表!$J$31:$J$39,1,FALSE),"%^&amp;@%##@^")=A69,1,0)=1,职业列表!$V$25,IF(IFERROR(VLOOKUP(A69,职业列表!$J$43:$J$51,1,FALSE),"%^&amp;@%##@^")=A69,1,0)=1,职业列表!$V$26,IF(IFERROR(VLOOKUP(A69,职业列表!$J$55:$J$63,1,FALSE),"%^&amp;@%##@^")=A69,1,0)=1,职业列表!$V$27,IF(IFERROR(VLOOKUP(A69,职业列表!$J$3:$K$10,1,FALSE),"%^&amp;@%##@^")=A69,1,0)+IF(IFERROR(VLOOKUP(A69,职业列表!$J$31:$J$39,1,FALSE),"%^&amp;@%##@^")=A69,1,0)+IF(IFERROR(VLOOKUP(A69,职业列表!$J$43:$J$51,1,FALSE),"%^&amp;@%##@^")=A69,1,0)+IF(IFERROR(VLOOKUP(A69,职业列表!$J$55:$J$63,1,FALSE),"%^&amp;@%##@^")=A69,1,0)=0,0))</f>
        <v>0</v>
      </c>
    </row>
    <row r="70" ht="15" customHeight="1" spans="1:205">
      <c r="A70" s="1620" t="s">
        <v>159</v>
      </c>
      <c r="GW70" s="1669">
        <f>IF(职业列表!$W$27=0,0,_xlfn.IFS(IF(IFERROR(VLOOKUP(A70,职业列表!$J$3:$K$10,1,FALSE),"%^&amp;@%##@^")=A70,1,0)=1,"★",IF(IFERROR(VLOOKUP(A70,职业列表!$J$31:$J$39,1,FALSE),"%^&amp;@%##@^")=A70,1,0)=1,职业列表!$V$25,IF(IFERROR(VLOOKUP(A70,职业列表!$J$43:$J$51,1,FALSE),"%^&amp;@%##@^")=A70,1,0)=1,职业列表!$V$26,IF(IFERROR(VLOOKUP(A70,职业列表!$J$55:$J$63,1,FALSE),"%^&amp;@%##@^")=A70,1,0)=1,职业列表!$V$27,IF(IFERROR(VLOOKUP(A70,职业列表!$J$3:$K$10,1,FALSE),"%^&amp;@%##@^")=A70,1,0)+IF(IFERROR(VLOOKUP(A70,职业列表!$J$31:$J$39,1,FALSE),"%^&amp;@%##@^")=A70,1,0)+IF(IFERROR(VLOOKUP(A70,职业列表!$J$43:$J$51,1,FALSE),"%^&amp;@%##@^")=A70,1,0)+IF(IFERROR(VLOOKUP(A70,职业列表!$J$55:$J$63,1,FALSE),"%^&amp;@%##@^")=A70,1,0)=0,0))</f>
        <v>0</v>
      </c>
    </row>
    <row r="71" ht="15" customHeight="1" spans="1:205">
      <c r="A71" s="1700" t="s">
        <v>161</v>
      </c>
      <c r="FC71" s="1649" t="s">
        <v>101</v>
      </c>
      <c r="FD71" s="1649" t="s">
        <v>101</v>
      </c>
      <c r="FE71" s="1649" t="s">
        <v>101</v>
      </c>
      <c r="FF71" s="1649" t="s">
        <v>101</v>
      </c>
      <c r="FG71" s="1616"/>
      <c r="FH71" s="1649" t="s">
        <v>101</v>
      </c>
      <c r="FI71" s="1649" t="s">
        <v>101</v>
      </c>
      <c r="FJ71" s="1649" t="s">
        <v>101</v>
      </c>
      <c r="GW71" s="1669">
        <f>IF(职业列表!$W$27=0,0,_xlfn.IFS(IF(IFERROR(VLOOKUP(A71,职业列表!$J$3:$K$10,1,FALSE),"%^&amp;@%##@^")=A71,1,0)=1,"★",IF(IFERROR(VLOOKUP(A71,职业列表!$J$31:$J$39,1,FALSE),"%^&amp;@%##@^")=A71,1,0)=1,职业列表!$V$25,IF(IFERROR(VLOOKUP(A71,职业列表!$J$43:$J$51,1,FALSE),"%^&amp;@%##@^")=A71,1,0)=1,职业列表!$V$26,IF(IFERROR(VLOOKUP(A71,职业列表!$J$55:$J$63,1,FALSE),"%^&amp;@%##@^")=A71,1,0)=1,职业列表!$V$27,IF(IFERROR(VLOOKUP(A71,职业列表!$J$3:$K$10,1,FALSE),"%^&amp;@%##@^")=A71,1,0)+IF(IFERROR(VLOOKUP(A71,职业列表!$J$31:$J$39,1,FALSE),"%^&amp;@%##@^")=A71,1,0)+IF(IFERROR(VLOOKUP(A71,职业列表!$J$43:$J$51,1,FALSE),"%^&amp;@%##@^")=A71,1,0)+IF(IFERROR(VLOOKUP(A71,职业列表!$J$55:$J$63,1,FALSE),"%^&amp;@%##@^")=A71,1,0)=0,0))</f>
        <v>0</v>
      </c>
    </row>
    <row r="72" ht="15" customHeight="1" spans="1:205">
      <c r="A72" s="1701" t="str">
        <f>人物卡!AB49</f>
        <v>自定义技能</v>
      </c>
      <c r="GW72" s="1669">
        <f>IF(职业列表!$W$27=0,0,_xlfn.IFS(IF(IFERROR(VLOOKUP(A72,职业列表!$J$3:$K$10,1,FALSE),"%^&amp;@%##@^")=A72,1,0)=1,"★",IF(IFERROR(VLOOKUP(A72,职业列表!$J$31:$J$39,1,FALSE),"%^&amp;@%##@^")=A72,1,0)=1,职业列表!$V$25,IF(IFERROR(VLOOKUP(A72,职业列表!$J$43:$J$51,1,FALSE),"%^&amp;@%##@^")=A72,1,0)=1,职业列表!$V$26,IF(IFERROR(VLOOKUP(A72,职业列表!$J$55:$J$63,1,FALSE),"%^&amp;@%##@^")=A72,1,0)=1,职业列表!$V$27,IF(IFERROR(VLOOKUP(A72,职业列表!$J$3:$K$10,1,FALSE),"%^&amp;@%##@^")=A72,1,0)+IF(IFERROR(VLOOKUP(A72,职业列表!$J$31:$J$39,1,FALSE),"%^&amp;@%##@^")=A72,1,0)+IF(IFERROR(VLOOKUP(A72,职业列表!$J$43:$J$51,1,FALSE),"%^&amp;@%##@^")=A72,1,0)+IF(IFERROR(VLOOKUP(A72,职业列表!$J$55:$J$63,1,FALSE),"%^&amp;@%##@^")=A72,1,0)=0,0))</f>
        <v>0</v>
      </c>
    </row>
    <row r="73" ht="15" customHeight="1" spans="1:205">
      <c r="A73" s="1250">
        <f>人物卡!AB50</f>
        <v>0</v>
      </c>
      <c r="GW73" s="1669">
        <f>IF(职业列表!$W$27=0,0,_xlfn.IFS(IF(IFERROR(VLOOKUP(A73,职业列表!$J$3:$K$10,1,FALSE),"%^&amp;@%##@^")=A73,1,0)=1,"★",IF(IFERROR(VLOOKUP(A73,职业列表!$J$31:$J$39,1,FALSE),"%^&amp;@%##@^")=A73,1,0)=1,职业列表!$V$25,IF(IFERROR(VLOOKUP(A73,职业列表!$J$43:$J$51,1,FALSE),"%^&amp;@%##@^")=A73,1,0)=1,职业列表!$V$26,IF(IFERROR(VLOOKUP(A73,职业列表!$J$55:$J$63,1,FALSE),"%^&amp;@%##@^")=A73,1,0)=1,职业列表!$V$27,IF(IFERROR(VLOOKUP(A73,职业列表!$J$3:$K$10,1,FALSE),"%^&amp;@%##@^")=A73,1,0)+IF(IFERROR(VLOOKUP(A73,职业列表!$J$31:$J$39,1,FALSE),"%^&amp;@%##@^")=A73,1,0)+IF(IFERROR(VLOOKUP(A73,职业列表!$J$43:$J$51,1,FALSE),"%^&amp;@%##@^")=A73,1,0)+IF(IFERROR(VLOOKUP(A73,职业列表!$J$55:$J$63,1,FALSE),"%^&amp;@%##@^")=A73,1,0)=0,0))</f>
        <v>0</v>
      </c>
    </row>
    <row r="74" customHeight="1" spans="1:205">
      <c r="A74" s="1250" t="s">
        <v>147</v>
      </c>
      <c r="GW74" s="1669">
        <f>IF(职业列表!$W$27=0,0,_xlfn.IFS(IF(IFERROR(VLOOKUP(A74,职业列表!$J$3:$K$10,1,FALSE),"%^&amp;@%##@^")=A74,1,0)=1,"★",IF(IFERROR(VLOOKUP(A74,职业列表!$J$31:$J$39,1,FALSE),"%^&amp;@%##@^")=A74,1,0)=1,职业列表!$V$25,IF(IFERROR(VLOOKUP(A74,职业列表!$J$43:$J$51,1,FALSE),"%^&amp;@%##@^")=A74,1,0)=1,职业列表!$V$26,IF(IFERROR(VLOOKUP(A74,职业列表!$J$55:$J$63,1,FALSE),"%^&amp;@%##@^")=A74,1,0)=1,职业列表!$V$27,IF(IFERROR(VLOOKUP(A74,职业列表!$J$3:$K$10,1,FALSE),"%^&amp;@%##@^")=A74,1,0)+IF(IFERROR(VLOOKUP(A74,职业列表!$J$31:$J$39,1,FALSE),"%^&amp;@%##@^")=A74,1,0)+IF(IFERROR(VLOOKUP(A74,职业列表!$J$43:$J$51,1,FALSE),"%^&amp;@%##@^")=A74,1,0)+IF(IFERROR(VLOOKUP(A74,职业列表!$J$55:$J$63,1,FALSE),"%^&amp;@%##@^")=A74,1,0)=0,0))</f>
        <v>0</v>
      </c>
    </row>
    <row r="75" customHeight="1" spans="205:205">
      <c r="GW75" s="1669">
        <f>IF(职业列表!$W$27=0,0,_xlfn.IFS(IF(IFERROR(VLOOKUP(A75,职业列表!$J$3:$K$10,1,FALSE),"%^&amp;@%##@^")=A75,1,0)=1,"★",IF(IFERROR(VLOOKUP(A75,职业列表!$J$31:$J$39,1,FALSE),"%^&amp;@%##@^")=A75,1,0)=1,职业列表!$V$25,IF(IFERROR(VLOOKUP(A75,职业列表!$J$43:$J$51,1,FALSE),"%^&amp;@%##@^")=A75,1,0)=1,职业列表!$V$26,IF(IFERROR(VLOOKUP(A75,职业列表!$J$55:$J$63,1,FALSE),"%^&amp;@%##@^")=A75,1,0)=1,职业列表!$V$27,IF(IFERROR(VLOOKUP(A75,职业列表!$J$3:$K$10,1,FALSE),"%^&amp;@%##@^")=A75,1,0)+IF(IFERROR(VLOOKUP(A75,职业列表!$J$31:$J$39,1,FALSE),"%^&amp;@%##@^")=A75,1,0)+IF(IFERROR(VLOOKUP(A75,职业列表!$J$43:$J$51,1,FALSE),"%^&amp;@%##@^")=A75,1,0)+IF(IFERROR(VLOOKUP(A75,职业列表!$J$55:$J$63,1,FALSE),"%^&amp;@%##@^")=A75,1,0)=0,0))</f>
        <v>0</v>
      </c>
    </row>
    <row r="76" customHeight="1" spans="205:205">
      <c r="GW76" s="1669">
        <f>IF(职业列表!$W$27=0,0,_xlfn.IFS(IF(IFERROR(VLOOKUP(A76,职业列表!$J$3:$K$10,1,FALSE),"%^&amp;@%##@^")=A76,1,0)=1,"★",IF(IFERROR(VLOOKUP(A76,职业列表!$J$31:$J$39,1,FALSE),"%^&amp;@%##@^")=A76,1,0)=1,职业列表!$V$25,IF(IFERROR(VLOOKUP(A76,职业列表!$J$43:$J$51,1,FALSE),"%^&amp;@%##@^")=A76,1,0)=1,职业列表!$V$26,IF(IFERROR(VLOOKUP(A76,职业列表!$J$55:$J$63,1,FALSE),"%^&amp;@%##@^")=A76,1,0)=1,职业列表!$V$27,IF(IFERROR(VLOOKUP(A76,职业列表!$J$3:$K$10,1,FALSE),"%^&amp;@%##@^")=A76,1,0)+IF(IFERROR(VLOOKUP(A76,职业列表!$J$31:$J$39,1,FALSE),"%^&amp;@%##@^")=A76,1,0)+IF(IFERROR(VLOOKUP(A76,职业列表!$J$43:$J$51,1,FALSE),"%^&amp;@%##@^")=A76,1,0)+IF(IFERROR(VLOOKUP(A76,职业列表!$J$55:$J$63,1,FALSE),"%^&amp;@%##@^")=A76,1,0)=0,0))</f>
        <v>0</v>
      </c>
    </row>
    <row r="77" customHeight="1" spans="205:205">
      <c r="GW77" s="1669">
        <f>IF(职业列表!$W$27=0,0,_xlfn.IFS(IF(IFERROR(VLOOKUP(A77,职业列表!$J$3:$K$10,1,FALSE),"%^&amp;@%##@^")=A77,1,0)=1,"★",IF(IFERROR(VLOOKUP(A77,职业列表!$J$31:$J$39,1,FALSE),"%^&amp;@%##@^")=A77,1,0)=1,职业列表!$V$25,IF(IFERROR(VLOOKUP(A77,职业列表!$J$43:$J$51,1,FALSE),"%^&amp;@%##@^")=A77,1,0)=1,职业列表!$V$26,IF(IFERROR(VLOOKUP(A77,职业列表!$J$55:$J$63,1,FALSE),"%^&amp;@%##@^")=A77,1,0)=1,职业列表!$V$27,IF(IFERROR(VLOOKUP(A77,职业列表!$J$3:$K$10,1,FALSE),"%^&amp;@%##@^")=A77,1,0)+IF(IFERROR(VLOOKUP(A77,职业列表!$J$31:$J$39,1,FALSE),"%^&amp;@%##@^")=A77,1,0)+IF(IFERROR(VLOOKUP(A77,职业列表!$J$43:$J$51,1,FALSE),"%^&amp;@%##@^")=A77,1,0)+IF(IFERROR(VLOOKUP(A77,职业列表!$J$55:$J$63,1,FALSE),"%^&amp;@%##@^")=A77,1,0)=0,0))</f>
        <v>0</v>
      </c>
    </row>
  </sheetData>
  <pageMargins left="0.75" right="0.75" top="1" bottom="1" header="0.511805555555556" footer="0.511805555555556"/>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92"/>
  <sheetViews>
    <sheetView showGridLines="0" showRowColHeaders="0" zoomScale="56" zoomScaleNormal="56" topLeftCell="A5" workbookViewId="0">
      <selection activeCell="A1" sqref="A1"/>
    </sheetView>
  </sheetViews>
  <sheetFormatPr defaultColWidth="4" defaultRowHeight="17.6"/>
  <cols>
    <col min="1" max="1" width="4" style="1319"/>
    <col min="2" max="2" width="4.36538461538461" style="1320"/>
    <col min="3" max="7" width="4" style="1320"/>
    <col min="8" max="8" width="4.36538461538461" style="1320"/>
    <col min="9" max="19" width="4" style="1320"/>
    <col min="20" max="20" width="4.36538461538461" style="1320"/>
    <col min="21" max="16384" width="4" style="1320"/>
  </cols>
  <sheetData>
    <row r="1" ht="17.55" spans="1:1">
      <c r="A1"/>
    </row>
    <row r="2" spans="2:49">
      <c r="B2" s="1321" t="s">
        <v>3504</v>
      </c>
      <c r="C2" s="1322"/>
      <c r="D2" s="1322"/>
      <c r="E2" s="1322"/>
      <c r="F2" s="1322"/>
      <c r="G2" s="1322"/>
      <c r="H2" s="1322"/>
      <c r="I2" s="1322"/>
      <c r="J2" s="1322"/>
      <c r="K2" s="1322"/>
      <c r="L2" s="1322"/>
      <c r="M2" s="1322"/>
      <c r="N2" s="1322"/>
      <c r="O2" s="1322"/>
      <c r="P2" s="1322"/>
      <c r="Q2" s="1322"/>
      <c r="R2" s="1322"/>
      <c r="S2" s="1322"/>
      <c r="T2" s="1322"/>
      <c r="U2" s="1322"/>
      <c r="V2" s="1322"/>
      <c r="W2" s="1322"/>
      <c r="X2" s="1322"/>
      <c r="Y2" s="1322"/>
      <c r="Z2" s="1322"/>
      <c r="AA2" s="1322"/>
      <c r="AB2" s="1322"/>
      <c r="AC2" s="1322"/>
      <c r="AD2" s="1322"/>
      <c r="AE2" s="1322"/>
      <c r="AF2" s="1322"/>
      <c r="AG2" s="1322"/>
      <c r="AH2" s="1322"/>
      <c r="AI2" s="1322"/>
      <c r="AJ2" s="1322"/>
      <c r="AK2" s="1322"/>
      <c r="AL2" s="1322"/>
      <c r="AM2" s="1322"/>
      <c r="AN2" s="1322"/>
      <c r="AO2" s="1322"/>
      <c r="AP2" s="1322"/>
      <c r="AQ2" s="1322"/>
      <c r="AR2" s="1322"/>
      <c r="AS2" s="1322"/>
      <c r="AT2" s="1322"/>
      <c r="AU2" s="1322"/>
      <c r="AV2" s="1322"/>
      <c r="AW2" s="1443"/>
    </row>
    <row r="3" spans="1:49">
      <c r="A3" s="1320"/>
      <c r="B3" s="1323" t="s">
        <v>3505</v>
      </c>
      <c r="C3" s="1324"/>
      <c r="D3" s="1324"/>
      <c r="E3" s="1324"/>
      <c r="F3" s="1324"/>
      <c r="G3" s="1324"/>
      <c r="H3" s="1356" t="s">
        <v>3506</v>
      </c>
      <c r="I3" s="1356"/>
      <c r="J3" s="1356"/>
      <c r="K3" s="1356"/>
      <c r="L3" s="1356"/>
      <c r="M3" s="1356"/>
      <c r="N3" s="1356" t="s">
        <v>3507</v>
      </c>
      <c r="O3" s="1356"/>
      <c r="P3" s="1356"/>
      <c r="Q3" s="1356"/>
      <c r="R3" s="1356"/>
      <c r="S3" s="1356"/>
      <c r="T3" s="1356" t="s">
        <v>3508</v>
      </c>
      <c r="U3" s="1356"/>
      <c r="V3" s="1356"/>
      <c r="W3" s="1356"/>
      <c r="X3" s="1356"/>
      <c r="Y3" s="1356"/>
      <c r="Z3" s="1356" t="s">
        <v>3509</v>
      </c>
      <c r="AA3" s="1356"/>
      <c r="AB3" s="1356"/>
      <c r="AC3" s="1356"/>
      <c r="AD3" s="1356"/>
      <c r="AE3" s="1356"/>
      <c r="AF3" s="1356" t="s">
        <v>3510</v>
      </c>
      <c r="AG3" s="1356"/>
      <c r="AH3" s="1356"/>
      <c r="AI3" s="1356"/>
      <c r="AJ3" s="1356"/>
      <c r="AK3" s="1356"/>
      <c r="AL3" s="1356" t="s">
        <v>3511</v>
      </c>
      <c r="AM3" s="1356"/>
      <c r="AN3" s="1356"/>
      <c r="AO3" s="1356"/>
      <c r="AP3" s="1356"/>
      <c r="AQ3" s="1356"/>
      <c r="AR3" s="1356" t="s">
        <v>3512</v>
      </c>
      <c r="AS3" s="1356"/>
      <c r="AT3" s="1356"/>
      <c r="AU3" s="1356"/>
      <c r="AV3" s="1356"/>
      <c r="AW3" s="1444"/>
    </row>
    <row r="4" spans="1:49">
      <c r="A4" s="1320"/>
      <c r="B4" s="1325" t="s">
        <v>3513</v>
      </c>
      <c r="C4" s="1326"/>
      <c r="D4" s="1326"/>
      <c r="E4" s="1326"/>
      <c r="F4" s="1326"/>
      <c r="G4" s="1326"/>
      <c r="H4" s="1357" t="s">
        <v>3513</v>
      </c>
      <c r="I4" s="1326"/>
      <c r="J4" s="1326"/>
      <c r="K4" s="1326"/>
      <c r="L4" s="1326"/>
      <c r="M4" s="1326"/>
      <c r="N4" s="1379" t="s">
        <v>3514</v>
      </c>
      <c r="S4" s="1388"/>
      <c r="T4" s="1326" t="s">
        <v>3513</v>
      </c>
      <c r="U4" s="1326"/>
      <c r="V4" s="1326"/>
      <c r="W4" s="1326"/>
      <c r="X4" s="1326"/>
      <c r="Y4" s="1326"/>
      <c r="Z4" s="1411" t="s">
        <v>3513</v>
      </c>
      <c r="AA4" s="1326"/>
      <c r="AB4" s="1326"/>
      <c r="AC4" s="1326"/>
      <c r="AD4" s="1326"/>
      <c r="AE4" s="1326"/>
      <c r="AF4" s="1379" t="s">
        <v>3514</v>
      </c>
      <c r="AL4" s="1423" t="s">
        <v>3513</v>
      </c>
      <c r="AM4" s="1326"/>
      <c r="AN4" s="1326"/>
      <c r="AO4" s="1326"/>
      <c r="AP4" s="1326"/>
      <c r="AQ4" s="1326"/>
      <c r="AR4" s="1379" t="s">
        <v>3514</v>
      </c>
      <c r="AW4" s="1445"/>
    </row>
    <row r="5" ht="18.35" spans="1:49">
      <c r="A5" s="1320"/>
      <c r="B5" s="1327"/>
      <c r="C5" s="1328"/>
      <c r="D5" s="1328"/>
      <c r="E5" s="1328"/>
      <c r="F5" s="1328"/>
      <c r="G5" s="1328"/>
      <c r="H5" s="1358"/>
      <c r="I5" s="1328"/>
      <c r="J5" s="1328"/>
      <c r="K5" s="1328"/>
      <c r="L5" s="1328"/>
      <c r="M5" s="1328"/>
      <c r="N5" s="1380"/>
      <c r="O5" s="1381"/>
      <c r="P5" s="1381"/>
      <c r="Q5" s="1381"/>
      <c r="R5" s="1381"/>
      <c r="S5" s="1389"/>
      <c r="T5" s="1328"/>
      <c r="U5" s="1328"/>
      <c r="V5" s="1328"/>
      <c r="W5" s="1328"/>
      <c r="X5" s="1328"/>
      <c r="Y5" s="1328"/>
      <c r="Z5" s="1412"/>
      <c r="AA5" s="1328"/>
      <c r="AB5" s="1328"/>
      <c r="AC5" s="1328"/>
      <c r="AD5" s="1328"/>
      <c r="AE5" s="1328"/>
      <c r="AF5" s="1380"/>
      <c r="AG5" s="1381"/>
      <c r="AH5" s="1381"/>
      <c r="AI5" s="1381"/>
      <c r="AJ5" s="1381"/>
      <c r="AK5" s="1381"/>
      <c r="AL5" s="1358"/>
      <c r="AM5" s="1328"/>
      <c r="AN5" s="1328"/>
      <c r="AO5" s="1328"/>
      <c r="AP5" s="1328"/>
      <c r="AQ5" s="1328"/>
      <c r="AR5" s="1380"/>
      <c r="AS5" s="1381"/>
      <c r="AT5" s="1381"/>
      <c r="AU5" s="1381"/>
      <c r="AV5" s="1381"/>
      <c r="AW5" s="1446"/>
    </row>
    <row r="6" ht="18.35" spans="1:1">
      <c r="A6" s="1320"/>
    </row>
    <row r="7" spans="2:49">
      <c r="B7" s="1321" t="s">
        <v>3515</v>
      </c>
      <c r="C7" s="1322"/>
      <c r="D7" s="1322"/>
      <c r="E7" s="1322"/>
      <c r="F7" s="1322"/>
      <c r="G7" s="1322"/>
      <c r="H7" s="1322"/>
      <c r="I7" s="1322"/>
      <c r="J7" s="1322"/>
      <c r="K7" s="1322"/>
      <c r="L7" s="1322"/>
      <c r="M7" s="1322"/>
      <c r="N7" s="1322"/>
      <c r="O7" s="1322"/>
      <c r="P7" s="1322"/>
      <c r="Q7" s="1322"/>
      <c r="R7" s="1322"/>
      <c r="S7" s="1322"/>
      <c r="T7" s="1322"/>
      <c r="U7" s="1322"/>
      <c r="V7" s="1322"/>
      <c r="W7" s="1322"/>
      <c r="X7" s="1322"/>
      <c r="Y7" s="1322"/>
      <c r="Z7" s="1322"/>
      <c r="AA7" s="1322"/>
      <c r="AB7" s="1322"/>
      <c r="AC7" s="1322"/>
      <c r="AD7" s="1322"/>
      <c r="AE7" s="1322"/>
      <c r="AF7" s="1322"/>
      <c r="AG7" s="1322"/>
      <c r="AH7" s="1322"/>
      <c r="AI7" s="1322"/>
      <c r="AJ7" s="1322"/>
      <c r="AK7" s="1322"/>
      <c r="AL7" s="1322"/>
      <c r="AM7" s="1322"/>
      <c r="AN7" s="1322"/>
      <c r="AO7" s="1322"/>
      <c r="AP7" s="1322"/>
      <c r="AQ7" s="1322"/>
      <c r="AR7" s="1322"/>
      <c r="AS7" s="1322"/>
      <c r="AT7" s="1322"/>
      <c r="AU7" s="1322"/>
      <c r="AV7" s="1322"/>
      <c r="AW7" s="1443"/>
    </row>
    <row r="8" spans="2:49">
      <c r="B8" s="1329" t="s">
        <v>3505</v>
      </c>
      <c r="C8" s="1330"/>
      <c r="D8" s="1330"/>
      <c r="E8" s="1330"/>
      <c r="F8" s="1330"/>
      <c r="G8" s="1330"/>
      <c r="H8" s="1359" t="s">
        <v>3506</v>
      </c>
      <c r="I8" s="1359"/>
      <c r="J8" s="1359"/>
      <c r="K8" s="1359"/>
      <c r="L8" s="1359"/>
      <c r="M8" s="1359"/>
      <c r="N8" s="1359" t="s">
        <v>3507</v>
      </c>
      <c r="O8" s="1359"/>
      <c r="P8" s="1359"/>
      <c r="Q8" s="1359"/>
      <c r="R8" s="1359"/>
      <c r="S8" s="1359"/>
      <c r="T8" s="1359" t="s">
        <v>3508</v>
      </c>
      <c r="U8" s="1359"/>
      <c r="V8" s="1359"/>
      <c r="W8" s="1359"/>
      <c r="X8" s="1359"/>
      <c r="Y8" s="1359"/>
      <c r="Z8" s="1359" t="s">
        <v>3509</v>
      </c>
      <c r="AA8" s="1359"/>
      <c r="AB8" s="1359"/>
      <c r="AC8" s="1359"/>
      <c r="AD8" s="1359"/>
      <c r="AE8" s="1359"/>
      <c r="AF8" s="1359" t="s">
        <v>3510</v>
      </c>
      <c r="AG8" s="1359"/>
      <c r="AH8" s="1359"/>
      <c r="AI8" s="1359"/>
      <c r="AJ8" s="1359"/>
      <c r="AK8" s="1359"/>
      <c r="AL8" s="1359" t="s">
        <v>3511</v>
      </c>
      <c r="AM8" s="1359"/>
      <c r="AN8" s="1359"/>
      <c r="AO8" s="1359"/>
      <c r="AP8" s="1359"/>
      <c r="AQ8" s="1359"/>
      <c r="AR8" s="1359" t="s">
        <v>3512</v>
      </c>
      <c r="AS8" s="1359"/>
      <c r="AT8" s="1359"/>
      <c r="AU8" s="1359"/>
      <c r="AV8" s="1359"/>
      <c r="AW8" s="1447"/>
    </row>
    <row r="9" spans="2:49">
      <c r="B9" s="1331">
        <v>0</v>
      </c>
      <c r="C9" s="1332" t="s">
        <v>3516</v>
      </c>
      <c r="D9" s="1332"/>
      <c r="E9" s="1332"/>
      <c r="F9" s="1332"/>
      <c r="G9" s="1332"/>
      <c r="H9" s="1336">
        <v>0</v>
      </c>
      <c r="I9" s="1336" t="s">
        <v>1339</v>
      </c>
      <c r="J9" s="1336"/>
      <c r="K9" s="1336"/>
      <c r="L9" s="1336"/>
      <c r="M9" s="1336"/>
      <c r="N9" s="1336">
        <v>0</v>
      </c>
      <c r="O9" s="1336" t="s">
        <v>3517</v>
      </c>
      <c r="P9" s="1336"/>
      <c r="Q9" s="1336"/>
      <c r="R9" s="1336"/>
      <c r="S9" s="1336"/>
      <c r="T9" s="1336">
        <v>0</v>
      </c>
      <c r="U9" s="1336" t="s">
        <v>3518</v>
      </c>
      <c r="V9" s="1336"/>
      <c r="W9" s="1336"/>
      <c r="X9" s="1336"/>
      <c r="Y9" s="1336"/>
      <c r="Z9" s="1336">
        <v>0</v>
      </c>
      <c r="AA9" s="1332" t="s">
        <v>3519</v>
      </c>
      <c r="AB9" s="1332"/>
      <c r="AC9" s="1332"/>
      <c r="AD9" s="1332"/>
      <c r="AE9" s="1332"/>
      <c r="AF9" s="1336">
        <v>0</v>
      </c>
      <c r="AG9" s="1332" t="s">
        <v>3520</v>
      </c>
      <c r="AH9" s="1332"/>
      <c r="AI9" s="1332"/>
      <c r="AJ9" s="1332"/>
      <c r="AK9" s="1332"/>
      <c r="AL9" s="1336">
        <v>0</v>
      </c>
      <c r="AM9" s="1332" t="s">
        <v>3521</v>
      </c>
      <c r="AN9" s="1332"/>
      <c r="AO9" s="1332"/>
      <c r="AP9" s="1332"/>
      <c r="AQ9" s="1332"/>
      <c r="AR9" s="1336">
        <v>0</v>
      </c>
      <c r="AS9" s="1336" t="s">
        <v>3522</v>
      </c>
      <c r="AT9" s="1336"/>
      <c r="AU9" s="1336"/>
      <c r="AV9" s="1336"/>
      <c r="AW9" s="1448"/>
    </row>
    <row r="10" spans="2:49">
      <c r="B10" s="1331"/>
      <c r="C10" s="1332"/>
      <c r="D10" s="1332"/>
      <c r="E10" s="1332"/>
      <c r="F10" s="1332"/>
      <c r="G10" s="1332"/>
      <c r="H10" s="1336"/>
      <c r="I10" s="1336"/>
      <c r="J10" s="1336"/>
      <c r="K10" s="1336"/>
      <c r="L10" s="1336"/>
      <c r="M10" s="1336"/>
      <c r="N10" s="1336"/>
      <c r="O10" s="1336"/>
      <c r="P10" s="1336"/>
      <c r="Q10" s="1336"/>
      <c r="R10" s="1336"/>
      <c r="S10" s="1336"/>
      <c r="T10" s="1336"/>
      <c r="U10" s="1336"/>
      <c r="V10" s="1336"/>
      <c r="W10" s="1336"/>
      <c r="X10" s="1336"/>
      <c r="Y10" s="1336"/>
      <c r="Z10" s="1336"/>
      <c r="AA10" s="1332"/>
      <c r="AB10" s="1332"/>
      <c r="AC10" s="1332"/>
      <c r="AD10" s="1332"/>
      <c r="AE10" s="1332"/>
      <c r="AF10" s="1336"/>
      <c r="AG10" s="1332"/>
      <c r="AH10" s="1332"/>
      <c r="AI10" s="1332"/>
      <c r="AJ10" s="1332"/>
      <c r="AK10" s="1332"/>
      <c r="AL10" s="1336"/>
      <c r="AM10" s="1332"/>
      <c r="AN10" s="1332"/>
      <c r="AO10" s="1332"/>
      <c r="AP10" s="1332"/>
      <c r="AQ10" s="1332"/>
      <c r="AR10" s="1336"/>
      <c r="AS10" s="1336"/>
      <c r="AT10" s="1336"/>
      <c r="AU10" s="1336"/>
      <c r="AV10" s="1336"/>
      <c r="AW10" s="1448"/>
    </row>
    <row r="11" spans="2:49">
      <c r="B11" s="1333"/>
      <c r="C11" s="1334"/>
      <c r="D11" s="1334"/>
      <c r="E11" s="1334"/>
      <c r="F11" s="1334"/>
      <c r="G11" s="1334"/>
      <c r="H11" s="1335">
        <v>1</v>
      </c>
      <c r="I11" s="1334" t="s">
        <v>3523</v>
      </c>
      <c r="J11" s="1334"/>
      <c r="K11" s="1334"/>
      <c r="L11" s="1334"/>
      <c r="M11" s="1334"/>
      <c r="N11" s="1335">
        <v>1</v>
      </c>
      <c r="O11" s="1335" t="s">
        <v>3524</v>
      </c>
      <c r="P11" s="1335"/>
      <c r="Q11" s="1335"/>
      <c r="R11" s="1335"/>
      <c r="S11" s="1335"/>
      <c r="T11" s="1335"/>
      <c r="U11" s="1335"/>
      <c r="V11" s="1335"/>
      <c r="W11" s="1335"/>
      <c r="X11" s="1335"/>
      <c r="Y11" s="1335"/>
      <c r="Z11" s="1335"/>
      <c r="AA11" s="1334"/>
      <c r="AB11" s="1334"/>
      <c r="AC11" s="1334"/>
      <c r="AD11" s="1334"/>
      <c r="AE11" s="1334"/>
      <c r="AF11" s="1335"/>
      <c r="AG11" s="1334"/>
      <c r="AH11" s="1334"/>
      <c r="AI11" s="1334"/>
      <c r="AJ11" s="1334"/>
      <c r="AK11" s="1334"/>
      <c r="AL11" s="1326"/>
      <c r="AM11" s="1326"/>
      <c r="AN11" s="1326"/>
      <c r="AO11" s="1326"/>
      <c r="AP11" s="1326"/>
      <c r="AQ11" s="1326"/>
      <c r="AR11" s="1335">
        <v>15</v>
      </c>
      <c r="AS11" s="1335" t="s">
        <v>3525</v>
      </c>
      <c r="AT11" s="1335"/>
      <c r="AU11" s="1335"/>
      <c r="AV11" s="1335"/>
      <c r="AW11" s="1449"/>
    </row>
    <row r="12" spans="2:49">
      <c r="B12" s="1333"/>
      <c r="C12" s="1334"/>
      <c r="D12" s="1334"/>
      <c r="E12" s="1334"/>
      <c r="F12" s="1334"/>
      <c r="G12" s="1334"/>
      <c r="H12" s="1335"/>
      <c r="I12" s="1334"/>
      <c r="J12" s="1334"/>
      <c r="K12" s="1334"/>
      <c r="L12" s="1334"/>
      <c r="M12" s="1334"/>
      <c r="N12" s="1335"/>
      <c r="O12" s="1335"/>
      <c r="P12" s="1335"/>
      <c r="Q12" s="1335"/>
      <c r="R12" s="1335"/>
      <c r="S12" s="1335"/>
      <c r="T12" s="1335"/>
      <c r="U12" s="1335"/>
      <c r="V12" s="1335"/>
      <c r="W12" s="1335"/>
      <c r="X12" s="1335"/>
      <c r="Y12" s="1335"/>
      <c r="Z12" s="1335"/>
      <c r="AA12" s="1334"/>
      <c r="AB12" s="1334"/>
      <c r="AC12" s="1334"/>
      <c r="AD12" s="1334"/>
      <c r="AE12" s="1334"/>
      <c r="AF12" s="1335"/>
      <c r="AG12" s="1334"/>
      <c r="AH12" s="1334"/>
      <c r="AI12" s="1334"/>
      <c r="AJ12" s="1334"/>
      <c r="AK12" s="1334"/>
      <c r="AL12" s="1326"/>
      <c r="AM12" s="1326"/>
      <c r="AN12" s="1326"/>
      <c r="AO12" s="1326"/>
      <c r="AP12" s="1326"/>
      <c r="AQ12" s="1326"/>
      <c r="AR12" s="1335"/>
      <c r="AS12" s="1335"/>
      <c r="AT12" s="1335"/>
      <c r="AU12" s="1335"/>
      <c r="AV12" s="1335"/>
      <c r="AW12" s="1449"/>
    </row>
    <row r="13" spans="2:49">
      <c r="B13" s="1331">
        <v>15</v>
      </c>
      <c r="C13" s="1332" t="s">
        <v>3526</v>
      </c>
      <c r="D13" s="1332"/>
      <c r="E13" s="1332"/>
      <c r="F13" s="1332"/>
      <c r="G13" s="1332"/>
      <c r="H13" s="1336">
        <v>15</v>
      </c>
      <c r="I13" s="1332" t="s">
        <v>3527</v>
      </c>
      <c r="J13" s="1332"/>
      <c r="K13" s="1332"/>
      <c r="L13" s="1332"/>
      <c r="M13" s="1332"/>
      <c r="N13" s="1336">
        <v>15</v>
      </c>
      <c r="O13" s="1332" t="s">
        <v>3528</v>
      </c>
      <c r="P13" s="1332"/>
      <c r="Q13" s="1332"/>
      <c r="R13" s="1332"/>
      <c r="S13" s="1332"/>
      <c r="T13" s="1336">
        <v>15</v>
      </c>
      <c r="U13" s="1332" t="s">
        <v>3529</v>
      </c>
      <c r="V13" s="1332"/>
      <c r="W13" s="1332"/>
      <c r="X13" s="1332"/>
      <c r="Y13" s="1332"/>
      <c r="Z13" s="1336">
        <v>15</v>
      </c>
      <c r="AA13" s="1332" t="s">
        <v>3530</v>
      </c>
      <c r="AB13" s="1332"/>
      <c r="AC13" s="1332"/>
      <c r="AD13" s="1332"/>
      <c r="AE13" s="1332"/>
      <c r="AF13" s="1336">
        <v>15</v>
      </c>
      <c r="AG13" s="1332" t="s">
        <v>3531</v>
      </c>
      <c r="AH13" s="1332"/>
      <c r="AI13" s="1332"/>
      <c r="AJ13" s="1332"/>
      <c r="AK13" s="1332"/>
      <c r="AL13" s="1336">
        <v>15</v>
      </c>
      <c r="AM13" s="1332" t="s">
        <v>3532</v>
      </c>
      <c r="AN13" s="1332"/>
      <c r="AO13" s="1332"/>
      <c r="AP13" s="1332"/>
      <c r="AQ13" s="1332"/>
      <c r="AR13" s="1336">
        <v>60</v>
      </c>
      <c r="AS13" s="1332" t="s">
        <v>3533</v>
      </c>
      <c r="AT13" s="1332"/>
      <c r="AU13" s="1332"/>
      <c r="AV13" s="1332"/>
      <c r="AW13" s="1450"/>
    </row>
    <row r="14" spans="2:49">
      <c r="B14" s="1331"/>
      <c r="C14" s="1332"/>
      <c r="D14" s="1332"/>
      <c r="E14" s="1332"/>
      <c r="F14" s="1332"/>
      <c r="G14" s="1332"/>
      <c r="H14" s="1336"/>
      <c r="I14" s="1332"/>
      <c r="J14" s="1332"/>
      <c r="K14" s="1332"/>
      <c r="L14" s="1332"/>
      <c r="M14" s="1332"/>
      <c r="N14" s="1336"/>
      <c r="O14" s="1332"/>
      <c r="P14" s="1332"/>
      <c r="Q14" s="1332"/>
      <c r="R14" s="1332"/>
      <c r="S14" s="1332"/>
      <c r="T14" s="1336"/>
      <c r="U14" s="1332"/>
      <c r="V14" s="1332"/>
      <c r="W14" s="1332"/>
      <c r="X14" s="1332"/>
      <c r="Y14" s="1332"/>
      <c r="Z14" s="1336"/>
      <c r="AA14" s="1332"/>
      <c r="AB14" s="1332"/>
      <c r="AC14" s="1332"/>
      <c r="AD14" s="1332"/>
      <c r="AE14" s="1332"/>
      <c r="AF14" s="1336"/>
      <c r="AG14" s="1332"/>
      <c r="AH14" s="1332"/>
      <c r="AI14" s="1332"/>
      <c r="AJ14" s="1332"/>
      <c r="AK14" s="1332"/>
      <c r="AL14" s="1336"/>
      <c r="AM14" s="1332"/>
      <c r="AN14" s="1332"/>
      <c r="AO14" s="1332"/>
      <c r="AP14" s="1332"/>
      <c r="AQ14" s="1332"/>
      <c r="AR14" s="1336"/>
      <c r="AS14" s="1332"/>
      <c r="AT14" s="1332"/>
      <c r="AU14" s="1332"/>
      <c r="AV14" s="1332"/>
      <c r="AW14" s="1450"/>
    </row>
    <row r="15" spans="2:49">
      <c r="B15" s="1333">
        <v>50</v>
      </c>
      <c r="C15" s="1334" t="s">
        <v>3534</v>
      </c>
      <c r="D15" s="1334"/>
      <c r="E15" s="1334"/>
      <c r="F15" s="1334"/>
      <c r="G15" s="1334"/>
      <c r="H15" s="1335">
        <v>50</v>
      </c>
      <c r="I15" s="1334" t="s">
        <v>3535</v>
      </c>
      <c r="J15" s="1334"/>
      <c r="K15" s="1334"/>
      <c r="L15" s="1334"/>
      <c r="M15" s="1334"/>
      <c r="N15" s="1335">
        <v>65</v>
      </c>
      <c r="O15" s="1334" t="s">
        <v>3536</v>
      </c>
      <c r="P15" s="1334"/>
      <c r="Q15" s="1334"/>
      <c r="R15" s="1334"/>
      <c r="S15" s="1334"/>
      <c r="T15" s="1335">
        <v>50</v>
      </c>
      <c r="U15" s="1334" t="s">
        <v>3535</v>
      </c>
      <c r="V15" s="1334"/>
      <c r="W15" s="1334"/>
      <c r="X15" s="1334"/>
      <c r="Y15" s="1334"/>
      <c r="Z15" s="1335">
        <v>50</v>
      </c>
      <c r="AA15" s="1334" t="s">
        <v>3534</v>
      </c>
      <c r="AB15" s="1334"/>
      <c r="AC15" s="1334"/>
      <c r="AD15" s="1334"/>
      <c r="AE15" s="1334"/>
      <c r="AF15" s="1335">
        <v>50</v>
      </c>
      <c r="AG15" s="1334" t="s">
        <v>3534</v>
      </c>
      <c r="AH15" s="1334"/>
      <c r="AI15" s="1334"/>
      <c r="AJ15" s="1334"/>
      <c r="AK15" s="1334"/>
      <c r="AL15" s="1335">
        <v>50</v>
      </c>
      <c r="AM15" s="1334" t="s">
        <v>3537</v>
      </c>
      <c r="AN15" s="1334"/>
      <c r="AO15" s="1334"/>
      <c r="AP15" s="1334"/>
      <c r="AQ15" s="1334"/>
      <c r="AR15" s="1335">
        <v>70</v>
      </c>
      <c r="AS15" s="1334" t="s">
        <v>3538</v>
      </c>
      <c r="AT15" s="1334"/>
      <c r="AU15" s="1334"/>
      <c r="AV15" s="1334"/>
      <c r="AW15" s="1451"/>
    </row>
    <row r="16" spans="2:49">
      <c r="B16" s="1333"/>
      <c r="C16" s="1334"/>
      <c r="D16" s="1334"/>
      <c r="E16" s="1334"/>
      <c r="F16" s="1334"/>
      <c r="G16" s="1334"/>
      <c r="H16" s="1335"/>
      <c r="I16" s="1334"/>
      <c r="J16" s="1334"/>
      <c r="K16" s="1334"/>
      <c r="L16" s="1334"/>
      <c r="M16" s="1334"/>
      <c r="N16" s="1335"/>
      <c r="O16" s="1334"/>
      <c r="P16" s="1334"/>
      <c r="Q16" s="1334"/>
      <c r="R16" s="1334"/>
      <c r="S16" s="1334"/>
      <c r="T16" s="1335"/>
      <c r="U16" s="1334"/>
      <c r="V16" s="1334"/>
      <c r="W16" s="1334"/>
      <c r="X16" s="1334"/>
      <c r="Y16" s="1334"/>
      <c r="Z16" s="1335"/>
      <c r="AA16" s="1334"/>
      <c r="AB16" s="1334"/>
      <c r="AC16" s="1334"/>
      <c r="AD16" s="1334"/>
      <c r="AE16" s="1334"/>
      <c r="AF16" s="1335"/>
      <c r="AG16" s="1334"/>
      <c r="AH16" s="1334"/>
      <c r="AI16" s="1334"/>
      <c r="AJ16" s="1334"/>
      <c r="AK16" s="1334"/>
      <c r="AL16" s="1335"/>
      <c r="AM16" s="1334"/>
      <c r="AN16" s="1334"/>
      <c r="AO16" s="1334"/>
      <c r="AP16" s="1334"/>
      <c r="AQ16" s="1334"/>
      <c r="AR16" s="1335"/>
      <c r="AS16" s="1334"/>
      <c r="AT16" s="1334"/>
      <c r="AU16" s="1334"/>
      <c r="AV16" s="1334"/>
      <c r="AW16" s="1451"/>
    </row>
    <row r="17" spans="2:49">
      <c r="B17" s="1331">
        <v>90</v>
      </c>
      <c r="C17" s="1332" t="s">
        <v>3539</v>
      </c>
      <c r="D17" s="1332"/>
      <c r="E17" s="1332"/>
      <c r="F17" s="1332"/>
      <c r="G17" s="1332"/>
      <c r="H17" s="1336">
        <v>90</v>
      </c>
      <c r="I17" s="1332" t="s">
        <v>3540</v>
      </c>
      <c r="J17" s="1332"/>
      <c r="K17" s="1332"/>
      <c r="L17" s="1332"/>
      <c r="M17" s="1332"/>
      <c r="N17" s="1336">
        <v>80</v>
      </c>
      <c r="O17" s="1332" t="s">
        <v>3541</v>
      </c>
      <c r="P17" s="1332"/>
      <c r="Q17" s="1332"/>
      <c r="R17" s="1332"/>
      <c r="S17" s="1332"/>
      <c r="T17" s="1336">
        <v>90</v>
      </c>
      <c r="U17" s="1332" t="s">
        <v>3542</v>
      </c>
      <c r="V17" s="1332"/>
      <c r="W17" s="1332"/>
      <c r="X17" s="1332"/>
      <c r="Y17" s="1332"/>
      <c r="Z17" s="1336">
        <v>90</v>
      </c>
      <c r="AA17" s="1332" t="s">
        <v>3543</v>
      </c>
      <c r="AB17" s="1332"/>
      <c r="AC17" s="1332"/>
      <c r="AD17" s="1332"/>
      <c r="AE17" s="1332"/>
      <c r="AF17" s="1336">
        <v>90</v>
      </c>
      <c r="AG17" s="1332" t="s">
        <v>3544</v>
      </c>
      <c r="AH17" s="1332"/>
      <c r="AI17" s="1332"/>
      <c r="AJ17" s="1332"/>
      <c r="AK17" s="1332"/>
      <c r="AL17" s="1336">
        <v>90</v>
      </c>
      <c r="AM17" s="1332" t="s">
        <v>3545</v>
      </c>
      <c r="AN17" s="1332"/>
      <c r="AO17" s="1332"/>
      <c r="AP17" s="1332"/>
      <c r="AQ17" s="1332"/>
      <c r="AR17" s="1336">
        <v>80</v>
      </c>
      <c r="AS17" s="1332" t="s">
        <v>3546</v>
      </c>
      <c r="AT17" s="1332"/>
      <c r="AU17" s="1332"/>
      <c r="AV17" s="1332"/>
      <c r="AW17" s="1450"/>
    </row>
    <row r="18" spans="2:49">
      <c r="B18" s="1331"/>
      <c r="C18" s="1332"/>
      <c r="D18" s="1332"/>
      <c r="E18" s="1332"/>
      <c r="F18" s="1332"/>
      <c r="G18" s="1332"/>
      <c r="H18" s="1336"/>
      <c r="I18" s="1332"/>
      <c r="J18" s="1332"/>
      <c r="K18" s="1332"/>
      <c r="L18" s="1332"/>
      <c r="M18" s="1332"/>
      <c r="N18" s="1336"/>
      <c r="O18" s="1332"/>
      <c r="P18" s="1332"/>
      <c r="Q18" s="1332"/>
      <c r="R18" s="1332"/>
      <c r="S18" s="1332"/>
      <c r="T18" s="1336"/>
      <c r="U18" s="1332"/>
      <c r="V18" s="1332"/>
      <c r="W18" s="1332"/>
      <c r="X18" s="1332"/>
      <c r="Y18" s="1332"/>
      <c r="Z18" s="1336"/>
      <c r="AA18" s="1332"/>
      <c r="AB18" s="1332"/>
      <c r="AC18" s="1332"/>
      <c r="AD18" s="1332"/>
      <c r="AE18" s="1332"/>
      <c r="AF18" s="1336"/>
      <c r="AG18" s="1332"/>
      <c r="AH18" s="1332"/>
      <c r="AI18" s="1332"/>
      <c r="AJ18" s="1332"/>
      <c r="AK18" s="1332"/>
      <c r="AL18" s="1336"/>
      <c r="AM18" s="1332"/>
      <c r="AN18" s="1332"/>
      <c r="AO18" s="1332"/>
      <c r="AP18" s="1332"/>
      <c r="AQ18" s="1332"/>
      <c r="AR18" s="1336"/>
      <c r="AS18" s="1332"/>
      <c r="AT18" s="1332"/>
      <c r="AU18" s="1332"/>
      <c r="AV18" s="1332"/>
      <c r="AW18" s="1450"/>
    </row>
    <row r="19" spans="2:49">
      <c r="B19" s="1333">
        <v>99</v>
      </c>
      <c r="C19" s="1334" t="s">
        <v>3547</v>
      </c>
      <c r="D19" s="1334"/>
      <c r="E19" s="1334"/>
      <c r="F19" s="1334"/>
      <c r="G19" s="1334"/>
      <c r="H19" s="1335">
        <v>99</v>
      </c>
      <c r="I19" s="1334" t="s">
        <v>3548</v>
      </c>
      <c r="J19" s="1334"/>
      <c r="K19" s="1334"/>
      <c r="L19" s="1334"/>
      <c r="M19" s="1334"/>
      <c r="N19" s="1335">
        <v>99</v>
      </c>
      <c r="O19" s="1334" t="s">
        <v>3549</v>
      </c>
      <c r="P19" s="1334"/>
      <c r="Q19" s="1334"/>
      <c r="R19" s="1334"/>
      <c r="S19" s="1334"/>
      <c r="T19" s="1335">
        <v>99</v>
      </c>
      <c r="U19" s="1334" t="s">
        <v>3550</v>
      </c>
      <c r="V19" s="1334"/>
      <c r="W19" s="1334"/>
      <c r="X19" s="1334"/>
      <c r="Y19" s="1334"/>
      <c r="Z19" s="1335">
        <v>99</v>
      </c>
      <c r="AA19" s="1334" t="s">
        <v>3551</v>
      </c>
      <c r="AB19" s="1334"/>
      <c r="AC19" s="1334"/>
      <c r="AD19" s="1334"/>
      <c r="AE19" s="1334"/>
      <c r="AF19" s="1335">
        <v>99</v>
      </c>
      <c r="AG19" s="1334" t="s">
        <v>3552</v>
      </c>
      <c r="AH19" s="1334"/>
      <c r="AI19" s="1334"/>
      <c r="AJ19" s="1334"/>
      <c r="AK19" s="1334"/>
      <c r="AL19" s="1335">
        <v>100</v>
      </c>
      <c r="AM19" s="1334" t="s">
        <v>3553</v>
      </c>
      <c r="AN19" s="1334"/>
      <c r="AO19" s="1334"/>
      <c r="AP19" s="1334"/>
      <c r="AQ19" s="1334"/>
      <c r="AR19" s="1335">
        <v>90</v>
      </c>
      <c r="AS19" s="1334" t="s">
        <v>3554</v>
      </c>
      <c r="AT19" s="1334"/>
      <c r="AU19" s="1334"/>
      <c r="AV19" s="1334"/>
      <c r="AW19" s="1451"/>
    </row>
    <row r="20" spans="2:49">
      <c r="B20" s="1333"/>
      <c r="C20" s="1334"/>
      <c r="D20" s="1334"/>
      <c r="E20" s="1334"/>
      <c r="F20" s="1334"/>
      <c r="G20" s="1334"/>
      <c r="H20" s="1335"/>
      <c r="I20" s="1334"/>
      <c r="J20" s="1334"/>
      <c r="K20" s="1334"/>
      <c r="L20" s="1334"/>
      <c r="M20" s="1334"/>
      <c r="N20" s="1335"/>
      <c r="O20" s="1334"/>
      <c r="P20" s="1334"/>
      <c r="Q20" s="1334"/>
      <c r="R20" s="1334"/>
      <c r="S20" s="1334"/>
      <c r="T20" s="1335"/>
      <c r="U20" s="1334"/>
      <c r="V20" s="1334"/>
      <c r="W20" s="1334"/>
      <c r="X20" s="1334"/>
      <c r="Y20" s="1334"/>
      <c r="Z20" s="1335"/>
      <c r="AA20" s="1334"/>
      <c r="AB20" s="1334"/>
      <c r="AC20" s="1334"/>
      <c r="AD20" s="1334"/>
      <c r="AE20" s="1334"/>
      <c r="AF20" s="1335"/>
      <c r="AG20" s="1334"/>
      <c r="AH20" s="1334"/>
      <c r="AI20" s="1334"/>
      <c r="AJ20" s="1334"/>
      <c r="AK20" s="1334"/>
      <c r="AL20" s="1335"/>
      <c r="AM20" s="1334"/>
      <c r="AN20" s="1334"/>
      <c r="AO20" s="1334"/>
      <c r="AP20" s="1334"/>
      <c r="AQ20" s="1334"/>
      <c r="AR20" s="1335"/>
      <c r="AS20" s="1334"/>
      <c r="AT20" s="1334"/>
      <c r="AU20" s="1334"/>
      <c r="AV20" s="1334"/>
      <c r="AW20" s="1451"/>
    </row>
    <row r="21" spans="2:49">
      <c r="B21" s="1331">
        <v>140</v>
      </c>
      <c r="C21" s="1332" t="s">
        <v>3555</v>
      </c>
      <c r="D21" s="1332"/>
      <c r="E21" s="1332"/>
      <c r="F21" s="1332"/>
      <c r="G21" s="1332"/>
      <c r="H21" s="1336">
        <v>140</v>
      </c>
      <c r="I21" s="1332" t="s">
        <v>3556</v>
      </c>
      <c r="J21" s="1332"/>
      <c r="K21" s="1332"/>
      <c r="L21" s="1332"/>
      <c r="M21" s="1332"/>
      <c r="N21" s="1336">
        <v>150</v>
      </c>
      <c r="O21" s="1332" t="s">
        <v>3557</v>
      </c>
      <c r="P21" s="1332"/>
      <c r="Q21" s="1332"/>
      <c r="R21" s="1332"/>
      <c r="S21" s="1332"/>
      <c r="T21" s="1336">
        <v>120</v>
      </c>
      <c r="U21" s="1336" t="s">
        <v>3558</v>
      </c>
      <c r="V21" s="1336"/>
      <c r="W21" s="1336"/>
      <c r="X21" s="1336"/>
      <c r="Y21" s="1336"/>
      <c r="Z21" s="1336"/>
      <c r="AA21" s="1332"/>
      <c r="AB21" s="1332"/>
      <c r="AC21" s="1332"/>
      <c r="AD21" s="1332"/>
      <c r="AE21" s="1332"/>
      <c r="AF21" s="1336">
        <v>140</v>
      </c>
      <c r="AG21" s="1336" t="s">
        <v>3559</v>
      </c>
      <c r="AH21" s="1336"/>
      <c r="AI21" s="1336"/>
      <c r="AJ21" s="1336"/>
      <c r="AK21" s="1336"/>
      <c r="AL21" s="1336">
        <v>140</v>
      </c>
      <c r="AM21" s="1332" t="s">
        <v>3560</v>
      </c>
      <c r="AN21" s="1332"/>
      <c r="AO21" s="1332"/>
      <c r="AP21" s="1332"/>
      <c r="AQ21" s="1332"/>
      <c r="AR21" s="1336">
        <v>96</v>
      </c>
      <c r="AS21" s="1332" t="s">
        <v>3561</v>
      </c>
      <c r="AT21" s="1332"/>
      <c r="AU21" s="1332"/>
      <c r="AV21" s="1332"/>
      <c r="AW21" s="1450"/>
    </row>
    <row r="22" spans="2:49">
      <c r="B22" s="1331"/>
      <c r="C22" s="1332"/>
      <c r="D22" s="1332"/>
      <c r="E22" s="1332"/>
      <c r="F22" s="1332"/>
      <c r="G22" s="1332"/>
      <c r="H22" s="1336"/>
      <c r="I22" s="1332"/>
      <c r="J22" s="1332"/>
      <c r="K22" s="1332"/>
      <c r="L22" s="1332"/>
      <c r="M22" s="1332"/>
      <c r="N22" s="1336"/>
      <c r="O22" s="1332"/>
      <c r="P22" s="1332"/>
      <c r="Q22" s="1332"/>
      <c r="R22" s="1332"/>
      <c r="S22" s="1332"/>
      <c r="T22" s="1336"/>
      <c r="U22" s="1336"/>
      <c r="V22" s="1336"/>
      <c r="W22" s="1336"/>
      <c r="X22" s="1336"/>
      <c r="Y22" s="1336"/>
      <c r="Z22" s="1336"/>
      <c r="AA22" s="1332"/>
      <c r="AB22" s="1332"/>
      <c r="AC22" s="1332"/>
      <c r="AD22" s="1332"/>
      <c r="AE22" s="1332"/>
      <c r="AF22" s="1336"/>
      <c r="AG22" s="1336"/>
      <c r="AH22" s="1336"/>
      <c r="AI22" s="1336"/>
      <c r="AJ22" s="1336"/>
      <c r="AK22" s="1336"/>
      <c r="AL22" s="1336"/>
      <c r="AM22" s="1332"/>
      <c r="AN22" s="1332"/>
      <c r="AO22" s="1332"/>
      <c r="AP22" s="1332"/>
      <c r="AQ22" s="1332"/>
      <c r="AR22" s="1336"/>
      <c r="AS22" s="1332"/>
      <c r="AT22" s="1332"/>
      <c r="AU22" s="1332"/>
      <c r="AV22" s="1332"/>
      <c r="AW22" s="1450"/>
    </row>
    <row r="23" spans="2:49">
      <c r="B23" s="1333"/>
      <c r="C23" s="1335"/>
      <c r="D23" s="1335"/>
      <c r="E23" s="1335"/>
      <c r="F23" s="1335"/>
      <c r="G23" s="1335"/>
      <c r="H23" s="1335"/>
      <c r="I23" s="1334"/>
      <c r="J23" s="1334"/>
      <c r="K23" s="1334"/>
      <c r="L23" s="1334"/>
      <c r="M23" s="1334"/>
      <c r="N23" s="1335">
        <v>180</v>
      </c>
      <c r="O23" s="1334" t="s">
        <v>3562</v>
      </c>
      <c r="P23" s="1334"/>
      <c r="Q23" s="1334"/>
      <c r="R23" s="1334"/>
      <c r="S23" s="1334"/>
      <c r="T23" s="1335"/>
      <c r="U23" s="1334"/>
      <c r="V23" s="1334"/>
      <c r="W23" s="1334"/>
      <c r="X23" s="1334"/>
      <c r="Y23" s="1334"/>
      <c r="Z23" s="1335"/>
      <c r="AA23" s="1334"/>
      <c r="AB23" s="1334"/>
      <c r="AC23" s="1334"/>
      <c r="AD23" s="1334"/>
      <c r="AE23" s="1334"/>
      <c r="AF23" s="1335"/>
      <c r="AG23" s="1334"/>
      <c r="AH23" s="1334"/>
      <c r="AI23" s="1334"/>
      <c r="AJ23" s="1334"/>
      <c r="AK23" s="1334"/>
      <c r="AL23" s="1335"/>
      <c r="AM23" s="1334"/>
      <c r="AN23" s="1334"/>
      <c r="AO23" s="1334"/>
      <c r="AP23" s="1334"/>
      <c r="AQ23" s="1334"/>
      <c r="AR23" s="1335">
        <v>99</v>
      </c>
      <c r="AS23" s="1334" t="s">
        <v>3563</v>
      </c>
      <c r="AT23" s="1334"/>
      <c r="AU23" s="1334"/>
      <c r="AV23" s="1334"/>
      <c r="AW23" s="1451"/>
    </row>
    <row r="24" spans="2:49">
      <c r="B24" s="1333"/>
      <c r="C24" s="1335"/>
      <c r="D24" s="1335"/>
      <c r="E24" s="1335"/>
      <c r="F24" s="1335"/>
      <c r="G24" s="1335"/>
      <c r="H24" s="1335"/>
      <c r="I24" s="1334"/>
      <c r="J24" s="1334"/>
      <c r="K24" s="1334"/>
      <c r="L24" s="1334"/>
      <c r="M24" s="1334"/>
      <c r="N24" s="1335"/>
      <c r="O24" s="1334"/>
      <c r="P24" s="1334"/>
      <c r="Q24" s="1334"/>
      <c r="R24" s="1334"/>
      <c r="S24" s="1334"/>
      <c r="T24" s="1335"/>
      <c r="U24" s="1334"/>
      <c r="V24" s="1334"/>
      <c r="W24" s="1334"/>
      <c r="X24" s="1334"/>
      <c r="Y24" s="1334"/>
      <c r="Z24" s="1335"/>
      <c r="AA24" s="1334"/>
      <c r="AB24" s="1334"/>
      <c r="AC24" s="1334"/>
      <c r="AD24" s="1334"/>
      <c r="AE24" s="1334"/>
      <c r="AF24" s="1335"/>
      <c r="AG24" s="1334"/>
      <c r="AH24" s="1334"/>
      <c r="AI24" s="1334"/>
      <c r="AJ24" s="1334"/>
      <c r="AK24" s="1334"/>
      <c r="AL24" s="1335"/>
      <c r="AM24" s="1334"/>
      <c r="AN24" s="1334"/>
      <c r="AO24" s="1334"/>
      <c r="AP24" s="1334"/>
      <c r="AQ24" s="1334"/>
      <c r="AR24" s="1335"/>
      <c r="AS24" s="1334"/>
      <c r="AT24" s="1334"/>
      <c r="AU24" s="1334"/>
      <c r="AV24" s="1334"/>
      <c r="AW24" s="1451"/>
    </row>
    <row r="25" spans="2:49">
      <c r="B25" s="1331" t="s">
        <v>3564</v>
      </c>
      <c r="C25" s="1336" t="s">
        <v>3565</v>
      </c>
      <c r="D25" s="1336"/>
      <c r="E25" s="1336"/>
      <c r="F25" s="1336"/>
      <c r="G25" s="1336"/>
      <c r="H25" s="1336" t="s">
        <v>3564</v>
      </c>
      <c r="I25" s="1332" t="s">
        <v>3566</v>
      </c>
      <c r="J25" s="1332"/>
      <c r="K25" s="1332"/>
      <c r="L25" s="1332"/>
      <c r="M25" s="1332"/>
      <c r="N25" s="1336" t="s">
        <v>3564</v>
      </c>
      <c r="O25" s="1332" t="s">
        <v>3567</v>
      </c>
      <c r="P25" s="1332"/>
      <c r="Q25" s="1332"/>
      <c r="R25" s="1332"/>
      <c r="S25" s="1332"/>
      <c r="T25" s="1336" t="s">
        <v>3564</v>
      </c>
      <c r="U25" s="1332" t="s">
        <v>3568</v>
      </c>
      <c r="V25" s="1332"/>
      <c r="W25" s="1332"/>
      <c r="X25" s="1332"/>
      <c r="Y25" s="1332"/>
      <c r="Z25" s="1336"/>
      <c r="AA25" s="1332"/>
      <c r="AB25" s="1332"/>
      <c r="AC25" s="1332"/>
      <c r="AD25" s="1332"/>
      <c r="AE25" s="1332"/>
      <c r="AF25" s="1336" t="s">
        <v>3569</v>
      </c>
      <c r="AG25" s="1332" t="s">
        <v>3570</v>
      </c>
      <c r="AH25" s="1332"/>
      <c r="AI25" s="1332"/>
      <c r="AJ25" s="1332"/>
      <c r="AK25" s="1332"/>
      <c r="AL25" s="1336" t="s">
        <v>3569</v>
      </c>
      <c r="AM25" s="1332" t="s">
        <v>3571</v>
      </c>
      <c r="AN25" s="1332"/>
      <c r="AO25" s="1332"/>
      <c r="AP25" s="1332"/>
      <c r="AQ25" s="1332"/>
      <c r="AR25" s="1336"/>
      <c r="AS25" s="1332"/>
      <c r="AT25" s="1332"/>
      <c r="AU25" s="1332"/>
      <c r="AV25" s="1332"/>
      <c r="AW25" s="1450"/>
    </row>
    <row r="26" spans="2:49">
      <c r="B26" s="1337"/>
      <c r="C26" s="1338"/>
      <c r="D26" s="1338"/>
      <c r="E26" s="1338"/>
      <c r="F26" s="1338"/>
      <c r="G26" s="1338"/>
      <c r="H26" s="1338"/>
      <c r="I26" s="1373"/>
      <c r="J26" s="1373"/>
      <c r="K26" s="1373"/>
      <c r="L26" s="1373"/>
      <c r="M26" s="1373"/>
      <c r="N26" s="1338"/>
      <c r="O26" s="1373"/>
      <c r="P26" s="1373"/>
      <c r="Q26" s="1373"/>
      <c r="R26" s="1373"/>
      <c r="S26" s="1373"/>
      <c r="T26" s="1338"/>
      <c r="U26" s="1373"/>
      <c r="V26" s="1373"/>
      <c r="W26" s="1373"/>
      <c r="X26" s="1373"/>
      <c r="Y26" s="1373"/>
      <c r="Z26" s="1338"/>
      <c r="AA26" s="1373"/>
      <c r="AB26" s="1373"/>
      <c r="AC26" s="1373"/>
      <c r="AD26" s="1373"/>
      <c r="AE26" s="1373"/>
      <c r="AF26" s="1338"/>
      <c r="AG26" s="1373"/>
      <c r="AH26" s="1373"/>
      <c r="AI26" s="1373"/>
      <c r="AJ26" s="1373"/>
      <c r="AK26" s="1373"/>
      <c r="AL26" s="1338"/>
      <c r="AM26" s="1373"/>
      <c r="AN26" s="1373"/>
      <c r="AO26" s="1373"/>
      <c r="AP26" s="1373"/>
      <c r="AQ26" s="1373"/>
      <c r="AR26" s="1338"/>
      <c r="AS26" s="1373"/>
      <c r="AT26" s="1373"/>
      <c r="AU26" s="1373"/>
      <c r="AV26" s="1373"/>
      <c r="AW26" s="1452"/>
    </row>
    <row r="27" ht="16.8" spans="1:49">
      <c r="A27" s="1339" t="s">
        <v>3572</v>
      </c>
      <c r="B27" s="1340" t="s">
        <v>3573</v>
      </c>
      <c r="C27" s="1341"/>
      <c r="D27" s="1341"/>
      <c r="E27" s="1341"/>
      <c r="F27" s="1341"/>
      <c r="G27" s="1360"/>
      <c r="H27" s="1340" t="s">
        <v>3574</v>
      </c>
      <c r="I27" s="1341"/>
      <c r="J27" s="1341"/>
      <c r="K27" s="1341"/>
      <c r="L27" s="1341"/>
      <c r="M27" s="1360"/>
      <c r="N27" s="1340" t="s">
        <v>3575</v>
      </c>
      <c r="O27" s="1341"/>
      <c r="P27" s="1341"/>
      <c r="Q27" s="1341"/>
      <c r="R27" s="1341"/>
      <c r="S27" s="1360"/>
      <c r="T27" s="1340" t="s">
        <v>3576</v>
      </c>
      <c r="U27" s="1341"/>
      <c r="V27" s="1341"/>
      <c r="W27" s="1341"/>
      <c r="X27" s="1341"/>
      <c r="Y27" s="1360"/>
      <c r="Z27" s="1340" t="s">
        <v>3577</v>
      </c>
      <c r="AA27" s="1341"/>
      <c r="AB27" s="1341"/>
      <c r="AC27" s="1341"/>
      <c r="AD27" s="1341"/>
      <c r="AE27" s="1360"/>
      <c r="AF27" s="1340" t="s">
        <v>3578</v>
      </c>
      <c r="AG27" s="1341"/>
      <c r="AH27" s="1341"/>
      <c r="AI27" s="1341"/>
      <c r="AJ27" s="1341"/>
      <c r="AK27" s="1360"/>
      <c r="AL27" s="1340" t="s">
        <v>3579</v>
      </c>
      <c r="AM27" s="1341"/>
      <c r="AN27" s="1341"/>
      <c r="AO27" s="1341"/>
      <c r="AP27" s="1341"/>
      <c r="AQ27" s="1360"/>
      <c r="AR27" s="1340" t="s">
        <v>3580</v>
      </c>
      <c r="AS27" s="1341"/>
      <c r="AT27" s="1341"/>
      <c r="AU27" s="1341"/>
      <c r="AV27" s="1341"/>
      <c r="AW27" s="1360"/>
    </row>
    <row r="28" ht="16.8" spans="1:49">
      <c r="A28" s="1339"/>
      <c r="B28" s="1340"/>
      <c r="C28" s="1341"/>
      <c r="D28" s="1341"/>
      <c r="E28" s="1341"/>
      <c r="F28" s="1341"/>
      <c r="G28" s="1360"/>
      <c r="H28" s="1340"/>
      <c r="I28" s="1341"/>
      <c r="J28" s="1341"/>
      <c r="K28" s="1341"/>
      <c r="L28" s="1341"/>
      <c r="M28" s="1360"/>
      <c r="N28" s="1340"/>
      <c r="O28" s="1341"/>
      <c r="P28" s="1341"/>
      <c r="Q28" s="1341"/>
      <c r="R28" s="1341"/>
      <c r="S28" s="1360"/>
      <c r="T28" s="1340"/>
      <c r="U28" s="1341"/>
      <c r="V28" s="1341"/>
      <c r="W28" s="1341"/>
      <c r="X28" s="1341"/>
      <c r="Y28" s="1360"/>
      <c r="Z28" s="1340"/>
      <c r="AA28" s="1341"/>
      <c r="AB28" s="1341"/>
      <c r="AC28" s="1341"/>
      <c r="AD28" s="1341"/>
      <c r="AE28" s="1360"/>
      <c r="AF28" s="1340"/>
      <c r="AG28" s="1341"/>
      <c r="AH28" s="1341"/>
      <c r="AI28" s="1341"/>
      <c r="AJ28" s="1341"/>
      <c r="AK28" s="1360"/>
      <c r="AL28" s="1340"/>
      <c r="AM28" s="1341"/>
      <c r="AN28" s="1341"/>
      <c r="AO28" s="1341"/>
      <c r="AP28" s="1341"/>
      <c r="AQ28" s="1360"/>
      <c r="AR28" s="1340"/>
      <c r="AS28" s="1341"/>
      <c r="AT28" s="1341"/>
      <c r="AU28" s="1341"/>
      <c r="AV28" s="1341"/>
      <c r="AW28" s="1360"/>
    </row>
    <row r="29" ht="16.8" spans="1:49">
      <c r="A29" s="1339"/>
      <c r="B29" s="1340"/>
      <c r="C29" s="1341"/>
      <c r="D29" s="1341"/>
      <c r="E29" s="1341"/>
      <c r="F29" s="1341"/>
      <c r="G29" s="1360"/>
      <c r="H29" s="1340"/>
      <c r="I29" s="1341"/>
      <c r="J29" s="1341"/>
      <c r="K29" s="1341"/>
      <c r="L29" s="1341"/>
      <c r="M29" s="1360"/>
      <c r="N29" s="1340"/>
      <c r="O29" s="1341"/>
      <c r="P29" s="1341"/>
      <c r="Q29" s="1341"/>
      <c r="R29" s="1341"/>
      <c r="S29" s="1360"/>
      <c r="T29" s="1340"/>
      <c r="U29" s="1341"/>
      <c r="V29" s="1341"/>
      <c r="W29" s="1341"/>
      <c r="X29" s="1341"/>
      <c r="Y29" s="1360"/>
      <c r="Z29" s="1340"/>
      <c r="AA29" s="1341"/>
      <c r="AB29" s="1341"/>
      <c r="AC29" s="1341"/>
      <c r="AD29" s="1341"/>
      <c r="AE29" s="1360"/>
      <c r="AF29" s="1340"/>
      <c r="AG29" s="1341"/>
      <c r="AH29" s="1341"/>
      <c r="AI29" s="1341"/>
      <c r="AJ29" s="1341"/>
      <c r="AK29" s="1360"/>
      <c r="AL29" s="1340"/>
      <c r="AM29" s="1341"/>
      <c r="AN29" s="1341"/>
      <c r="AO29" s="1341"/>
      <c r="AP29" s="1341"/>
      <c r="AQ29" s="1360"/>
      <c r="AR29" s="1340"/>
      <c r="AS29" s="1341"/>
      <c r="AT29" s="1341"/>
      <c r="AU29" s="1341"/>
      <c r="AV29" s="1341"/>
      <c r="AW29" s="1360"/>
    </row>
    <row r="30" ht="16.8" spans="1:49">
      <c r="A30" s="1339"/>
      <c r="B30" s="1340"/>
      <c r="C30" s="1341"/>
      <c r="D30" s="1341"/>
      <c r="E30" s="1341"/>
      <c r="F30" s="1341"/>
      <c r="G30" s="1360"/>
      <c r="H30" s="1340"/>
      <c r="I30" s="1341"/>
      <c r="J30" s="1341"/>
      <c r="K30" s="1341"/>
      <c r="L30" s="1341"/>
      <c r="M30" s="1360"/>
      <c r="N30" s="1340"/>
      <c r="O30" s="1341"/>
      <c r="P30" s="1341"/>
      <c r="Q30" s="1341"/>
      <c r="R30" s="1341"/>
      <c r="S30" s="1360"/>
      <c r="T30" s="1340"/>
      <c r="U30" s="1341"/>
      <c r="V30" s="1341"/>
      <c r="W30" s="1341"/>
      <c r="X30" s="1341"/>
      <c r="Y30" s="1360"/>
      <c r="Z30" s="1340"/>
      <c r="AA30" s="1341"/>
      <c r="AB30" s="1341"/>
      <c r="AC30" s="1341"/>
      <c r="AD30" s="1341"/>
      <c r="AE30" s="1360"/>
      <c r="AF30" s="1340"/>
      <c r="AG30" s="1341"/>
      <c r="AH30" s="1341"/>
      <c r="AI30" s="1341"/>
      <c r="AJ30" s="1341"/>
      <c r="AK30" s="1360"/>
      <c r="AL30" s="1340"/>
      <c r="AM30" s="1341"/>
      <c r="AN30" s="1341"/>
      <c r="AO30" s="1341"/>
      <c r="AP30" s="1341"/>
      <c r="AQ30" s="1360"/>
      <c r="AR30" s="1340"/>
      <c r="AS30" s="1341"/>
      <c r="AT30" s="1341"/>
      <c r="AU30" s="1341"/>
      <c r="AV30" s="1341"/>
      <c r="AW30" s="1360"/>
    </row>
    <row r="31" ht="16.8" spans="1:49">
      <c r="A31" s="1339"/>
      <c r="B31" s="1342"/>
      <c r="C31" s="1343"/>
      <c r="D31" s="1343"/>
      <c r="E31" s="1343"/>
      <c r="F31" s="1343"/>
      <c r="G31" s="1361"/>
      <c r="H31" s="1342"/>
      <c r="I31" s="1343"/>
      <c r="J31" s="1343"/>
      <c r="K31" s="1343"/>
      <c r="L31" s="1343"/>
      <c r="M31" s="1361"/>
      <c r="N31" s="1342"/>
      <c r="O31" s="1343"/>
      <c r="P31" s="1343"/>
      <c r="Q31" s="1343"/>
      <c r="R31" s="1343"/>
      <c r="S31" s="1361"/>
      <c r="T31" s="1342"/>
      <c r="U31" s="1343"/>
      <c r="V31" s="1343"/>
      <c r="W31" s="1343"/>
      <c r="X31" s="1343"/>
      <c r="Y31" s="1361"/>
      <c r="Z31" s="1342"/>
      <c r="AA31" s="1343"/>
      <c r="AB31" s="1343"/>
      <c r="AC31" s="1343"/>
      <c r="AD31" s="1343"/>
      <c r="AE31" s="1361"/>
      <c r="AF31" s="1342"/>
      <c r="AG31" s="1343"/>
      <c r="AH31" s="1343"/>
      <c r="AI31" s="1343"/>
      <c r="AJ31" s="1343"/>
      <c r="AK31" s="1361"/>
      <c r="AL31" s="1342"/>
      <c r="AM31" s="1343"/>
      <c r="AN31" s="1343"/>
      <c r="AO31" s="1343"/>
      <c r="AP31" s="1343"/>
      <c r="AQ31" s="1361"/>
      <c r="AR31" s="1342"/>
      <c r="AS31" s="1343"/>
      <c r="AT31" s="1343"/>
      <c r="AU31" s="1343"/>
      <c r="AV31" s="1343"/>
      <c r="AW31" s="1361"/>
    </row>
    <row r="32" ht="26" spans="1:63">
      <c r="A32" s="1344" t="s">
        <v>3581</v>
      </c>
      <c r="B32" s="1345" t="s">
        <v>3582</v>
      </c>
      <c r="C32" s="1345"/>
      <c r="D32" s="1345"/>
      <c r="E32" s="1345"/>
      <c r="F32" s="1345"/>
      <c r="G32" s="1345"/>
      <c r="H32" s="1345" t="s">
        <v>3583</v>
      </c>
      <c r="I32" s="1345"/>
      <c r="J32" s="1345"/>
      <c r="K32" s="1345"/>
      <c r="L32" s="1345"/>
      <c r="M32" s="1345"/>
      <c r="N32" s="1345" t="s">
        <v>3584</v>
      </c>
      <c r="O32" s="1345"/>
      <c r="P32" s="1345"/>
      <c r="Q32" s="1345"/>
      <c r="R32" s="1345"/>
      <c r="S32" s="1345"/>
      <c r="T32" s="1345" t="s">
        <v>3585</v>
      </c>
      <c r="U32" s="1345"/>
      <c r="V32" s="1345"/>
      <c r="W32" s="1345"/>
      <c r="X32" s="1345"/>
      <c r="Y32" s="1345"/>
      <c r="Z32" s="1345" t="s">
        <v>3586</v>
      </c>
      <c r="AA32" s="1345"/>
      <c r="AB32" s="1345"/>
      <c r="AC32" s="1345"/>
      <c r="AD32" s="1345"/>
      <c r="AE32" s="1345"/>
      <c r="AF32" s="1345" t="s">
        <v>3587</v>
      </c>
      <c r="AG32" s="1345"/>
      <c r="AH32" s="1345"/>
      <c r="AI32" s="1345"/>
      <c r="AJ32" s="1345"/>
      <c r="AK32" s="1345"/>
      <c r="AL32" s="1345"/>
      <c r="AM32" s="1345"/>
      <c r="AN32" s="1345"/>
      <c r="AO32" s="1345"/>
      <c r="AP32" s="1345"/>
      <c r="AQ32" s="1345"/>
      <c r="AR32" s="1345" t="s">
        <v>3588</v>
      </c>
      <c r="AS32" s="1345"/>
      <c r="AT32" s="1345"/>
      <c r="AU32" s="1345"/>
      <c r="AV32" s="1345"/>
      <c r="AW32" s="1345"/>
      <c r="BJ32" s="1454"/>
      <c r="BK32" s="1454"/>
    </row>
    <row r="33" ht="16.8" spans="1:49">
      <c r="A33" s="1344"/>
      <c r="B33" s="1345"/>
      <c r="C33" s="1345"/>
      <c r="D33" s="1345"/>
      <c r="E33" s="1345"/>
      <c r="F33" s="1345"/>
      <c r="G33" s="1345"/>
      <c r="H33" s="1345"/>
      <c r="I33" s="1345"/>
      <c r="J33" s="1345"/>
      <c r="K33" s="1345"/>
      <c r="L33" s="1345"/>
      <c r="M33" s="1345"/>
      <c r="N33" s="1345"/>
      <c r="O33" s="1345"/>
      <c r="P33" s="1345"/>
      <c r="Q33" s="1345"/>
      <c r="R33" s="1345"/>
      <c r="S33" s="1345"/>
      <c r="T33" s="1345"/>
      <c r="U33" s="1345"/>
      <c r="V33" s="1345"/>
      <c r="W33" s="1345"/>
      <c r="X33" s="1345"/>
      <c r="Y33" s="1345"/>
      <c r="Z33" s="1345"/>
      <c r="AA33" s="1345"/>
      <c r="AB33" s="1345"/>
      <c r="AC33" s="1345"/>
      <c r="AD33" s="1345"/>
      <c r="AE33" s="1345"/>
      <c r="AF33" s="1345"/>
      <c r="AG33" s="1345"/>
      <c r="AH33" s="1345"/>
      <c r="AI33" s="1345"/>
      <c r="AJ33" s="1345"/>
      <c r="AK33" s="1345"/>
      <c r="AL33" s="1345"/>
      <c r="AM33" s="1345"/>
      <c r="AN33" s="1345"/>
      <c r="AO33" s="1345"/>
      <c r="AP33" s="1345"/>
      <c r="AQ33" s="1345"/>
      <c r="AR33" s="1345"/>
      <c r="AS33" s="1345"/>
      <c r="AT33" s="1345"/>
      <c r="AU33" s="1345"/>
      <c r="AV33" s="1345"/>
      <c r="AW33" s="1345"/>
    </row>
    <row r="34" ht="16.8" spans="1:49">
      <c r="A34" s="1344"/>
      <c r="B34" s="1345"/>
      <c r="C34" s="1345"/>
      <c r="D34" s="1345"/>
      <c r="E34" s="1345"/>
      <c r="F34" s="1345"/>
      <c r="G34" s="1345"/>
      <c r="H34" s="1345"/>
      <c r="I34" s="1345"/>
      <c r="J34" s="1345"/>
      <c r="K34" s="1345"/>
      <c r="L34" s="1345"/>
      <c r="M34" s="1345"/>
      <c r="N34" s="1345"/>
      <c r="O34" s="1345"/>
      <c r="P34" s="1345"/>
      <c r="Q34" s="1345"/>
      <c r="R34" s="1345"/>
      <c r="S34" s="1345"/>
      <c r="T34" s="1345"/>
      <c r="U34" s="1345"/>
      <c r="V34" s="1345"/>
      <c r="W34" s="1345"/>
      <c r="X34" s="1345"/>
      <c r="Y34" s="1345"/>
      <c r="Z34" s="1345"/>
      <c r="AA34" s="1345"/>
      <c r="AB34" s="1345"/>
      <c r="AC34" s="1345"/>
      <c r="AD34" s="1345"/>
      <c r="AE34" s="1345"/>
      <c r="AF34" s="1345"/>
      <c r="AG34" s="1345"/>
      <c r="AH34" s="1345"/>
      <c r="AI34" s="1345"/>
      <c r="AJ34" s="1345"/>
      <c r="AK34" s="1345"/>
      <c r="AL34" s="1345"/>
      <c r="AM34" s="1345"/>
      <c r="AN34" s="1345"/>
      <c r="AO34" s="1345"/>
      <c r="AP34" s="1345"/>
      <c r="AQ34" s="1345"/>
      <c r="AR34" s="1345"/>
      <c r="AS34" s="1345"/>
      <c r="AT34" s="1345"/>
      <c r="AU34" s="1345"/>
      <c r="AV34" s="1345"/>
      <c r="AW34" s="1345"/>
    </row>
    <row r="35" ht="16.8" spans="1:49">
      <c r="A35" s="1344"/>
      <c r="B35" s="1345"/>
      <c r="C35" s="1345"/>
      <c r="D35" s="1345"/>
      <c r="E35" s="1345"/>
      <c r="F35" s="1345"/>
      <c r="G35" s="1345"/>
      <c r="H35" s="1345"/>
      <c r="I35" s="1345"/>
      <c r="J35" s="1345"/>
      <c r="K35" s="1345"/>
      <c r="L35" s="1345"/>
      <c r="M35" s="1345"/>
      <c r="N35" s="1345"/>
      <c r="O35" s="1345"/>
      <c r="P35" s="1345"/>
      <c r="Q35" s="1345"/>
      <c r="R35" s="1345"/>
      <c r="S35" s="1345"/>
      <c r="T35" s="1345"/>
      <c r="U35" s="1345"/>
      <c r="V35" s="1345"/>
      <c r="W35" s="1345"/>
      <c r="X35" s="1345"/>
      <c r="Y35" s="1345"/>
      <c r="Z35" s="1345"/>
      <c r="AA35" s="1345"/>
      <c r="AB35" s="1345"/>
      <c r="AC35" s="1345"/>
      <c r="AD35" s="1345"/>
      <c r="AE35" s="1345"/>
      <c r="AF35" s="1345"/>
      <c r="AG35" s="1345"/>
      <c r="AH35" s="1345"/>
      <c r="AI35" s="1345"/>
      <c r="AJ35" s="1345"/>
      <c r="AK35" s="1345"/>
      <c r="AL35" s="1345"/>
      <c r="AM35" s="1345"/>
      <c r="AN35" s="1345"/>
      <c r="AO35" s="1345"/>
      <c r="AP35" s="1345"/>
      <c r="AQ35" s="1345"/>
      <c r="AR35" s="1434"/>
      <c r="AS35" s="1434"/>
      <c r="AT35" s="1434"/>
      <c r="AU35" s="1434"/>
      <c r="AV35" s="1434"/>
      <c r="AW35" s="1434"/>
    </row>
    <row r="36" ht="17.25" customHeight="1" spans="1:49">
      <c r="A36" s="1344" t="s">
        <v>3589</v>
      </c>
      <c r="B36" s="1345" t="s">
        <v>3590</v>
      </c>
      <c r="C36" s="1345"/>
      <c r="D36" s="1345"/>
      <c r="E36" s="1345"/>
      <c r="F36" s="1345"/>
      <c r="G36" s="1345"/>
      <c r="H36" s="1345" t="s">
        <v>3591</v>
      </c>
      <c r="I36" s="1345"/>
      <c r="J36" s="1345"/>
      <c r="K36" s="1345"/>
      <c r="L36" s="1345"/>
      <c r="M36" s="1345"/>
      <c r="N36" s="1345" t="s">
        <v>3592</v>
      </c>
      <c r="O36" s="1345"/>
      <c r="P36" s="1345"/>
      <c r="Q36" s="1345"/>
      <c r="R36" s="1345"/>
      <c r="S36" s="1345"/>
      <c r="T36" s="1345" t="s">
        <v>3593</v>
      </c>
      <c r="U36" s="1345"/>
      <c r="V36" s="1345"/>
      <c r="W36" s="1345"/>
      <c r="X36" s="1345"/>
      <c r="Y36" s="1345"/>
      <c r="Z36" s="1345" t="s">
        <v>3594</v>
      </c>
      <c r="AA36" s="1345"/>
      <c r="AB36" s="1345"/>
      <c r="AC36" s="1345"/>
      <c r="AD36" s="1345"/>
      <c r="AE36" s="1345"/>
      <c r="AF36" s="1345" t="s">
        <v>3595</v>
      </c>
      <c r="AG36" s="1345"/>
      <c r="AH36" s="1345"/>
      <c r="AI36" s="1345"/>
      <c r="AJ36" s="1345"/>
      <c r="AK36" s="1345"/>
      <c r="AL36" s="1345"/>
      <c r="AM36" s="1345"/>
      <c r="AN36" s="1345"/>
      <c r="AO36" s="1345"/>
      <c r="AP36" s="1345"/>
      <c r="AQ36" s="1435"/>
      <c r="AR36" s="1346"/>
      <c r="AS36" s="1347"/>
      <c r="AT36" s="1347"/>
      <c r="AU36" s="1347"/>
      <c r="AV36" s="1347"/>
      <c r="AW36" s="1415"/>
    </row>
    <row r="37" ht="17.25" customHeight="1" spans="1:49">
      <c r="A37" s="1344"/>
      <c r="B37" s="1345"/>
      <c r="C37" s="1345"/>
      <c r="D37" s="1345"/>
      <c r="E37" s="1345"/>
      <c r="F37" s="1345"/>
      <c r="G37" s="1345"/>
      <c r="H37" s="1345"/>
      <c r="I37" s="1345"/>
      <c r="J37" s="1345"/>
      <c r="K37" s="1345"/>
      <c r="L37" s="1345"/>
      <c r="M37" s="1345"/>
      <c r="N37" s="1345"/>
      <c r="O37" s="1345"/>
      <c r="P37" s="1345"/>
      <c r="Q37" s="1345"/>
      <c r="R37" s="1345"/>
      <c r="S37" s="1345"/>
      <c r="T37" s="1345"/>
      <c r="U37" s="1345"/>
      <c r="V37" s="1345"/>
      <c r="W37" s="1345"/>
      <c r="X37" s="1345"/>
      <c r="Y37" s="1345"/>
      <c r="Z37" s="1345"/>
      <c r="AA37" s="1345"/>
      <c r="AB37" s="1345"/>
      <c r="AC37" s="1345"/>
      <c r="AD37" s="1345"/>
      <c r="AE37" s="1345"/>
      <c r="AF37" s="1345"/>
      <c r="AG37" s="1345"/>
      <c r="AH37" s="1345"/>
      <c r="AI37" s="1345"/>
      <c r="AJ37" s="1345"/>
      <c r="AK37" s="1345"/>
      <c r="AL37" s="1345"/>
      <c r="AM37" s="1345"/>
      <c r="AN37" s="1345"/>
      <c r="AO37" s="1345"/>
      <c r="AP37" s="1345"/>
      <c r="AQ37" s="1435"/>
      <c r="AR37" s="1348"/>
      <c r="AW37" s="1416"/>
    </row>
    <row r="38" ht="17.25" customHeight="1" spans="1:73">
      <c r="A38" s="1344"/>
      <c r="B38" s="1345"/>
      <c r="C38" s="1345"/>
      <c r="D38" s="1345"/>
      <c r="E38" s="1345"/>
      <c r="F38" s="1345"/>
      <c r="G38" s="1345"/>
      <c r="H38" s="1345"/>
      <c r="I38" s="1345"/>
      <c r="J38" s="1345"/>
      <c r="K38" s="1345"/>
      <c r="L38" s="1345"/>
      <c r="M38" s="1345"/>
      <c r="N38" s="1345"/>
      <c r="O38" s="1345"/>
      <c r="P38" s="1345"/>
      <c r="Q38" s="1345"/>
      <c r="R38" s="1345"/>
      <c r="S38" s="1345"/>
      <c r="T38" s="1345"/>
      <c r="U38" s="1345"/>
      <c r="V38" s="1345"/>
      <c r="W38" s="1345"/>
      <c r="X38" s="1345"/>
      <c r="Y38" s="1345"/>
      <c r="Z38" s="1345"/>
      <c r="AA38" s="1345"/>
      <c r="AB38" s="1345"/>
      <c r="AC38" s="1345"/>
      <c r="AD38" s="1345"/>
      <c r="AE38" s="1345"/>
      <c r="AF38" s="1345"/>
      <c r="AG38" s="1345"/>
      <c r="AH38" s="1345"/>
      <c r="AI38" s="1345"/>
      <c r="AJ38" s="1345"/>
      <c r="AK38" s="1345"/>
      <c r="AL38" s="1345"/>
      <c r="AM38" s="1345"/>
      <c r="AN38" s="1345"/>
      <c r="AO38" s="1345"/>
      <c r="AP38" s="1345"/>
      <c r="AQ38" s="1435"/>
      <c r="AR38" s="1348"/>
      <c r="AW38" s="1416"/>
      <c r="BD38" s="1453"/>
      <c r="BE38" s="1453"/>
      <c r="BF38" s="1453"/>
      <c r="BG38" s="1453"/>
      <c r="BH38" s="1453"/>
      <c r="BI38" s="1453"/>
      <c r="BJ38" s="1453"/>
      <c r="BK38" s="1453"/>
      <c r="BL38" s="1453"/>
      <c r="BM38" s="1453"/>
      <c r="BN38" s="1453"/>
      <c r="BO38" s="1453"/>
      <c r="BP38" s="1453"/>
      <c r="BQ38" s="1453"/>
      <c r="BR38" s="1453"/>
      <c r="BS38" s="1453"/>
      <c r="BT38" s="1453"/>
      <c r="BU38" s="1453"/>
    </row>
    <row r="39" ht="17.25" customHeight="1" spans="1:73">
      <c r="A39" s="1344"/>
      <c r="B39" s="1345"/>
      <c r="C39" s="1345"/>
      <c r="D39" s="1345"/>
      <c r="E39" s="1345"/>
      <c r="F39" s="1345"/>
      <c r="G39" s="1345"/>
      <c r="H39" s="1345"/>
      <c r="I39" s="1345"/>
      <c r="J39" s="1345"/>
      <c r="K39" s="1345"/>
      <c r="L39" s="1345"/>
      <c r="M39" s="1345"/>
      <c r="N39" s="1345"/>
      <c r="O39" s="1345"/>
      <c r="P39" s="1345"/>
      <c r="Q39" s="1345"/>
      <c r="R39" s="1345"/>
      <c r="S39" s="1345"/>
      <c r="T39" s="1345"/>
      <c r="U39" s="1345"/>
      <c r="V39" s="1345"/>
      <c r="W39" s="1345"/>
      <c r="X39" s="1345"/>
      <c r="Y39" s="1345"/>
      <c r="Z39" s="1345"/>
      <c r="AA39" s="1345"/>
      <c r="AB39" s="1345"/>
      <c r="AC39" s="1345"/>
      <c r="AD39" s="1345"/>
      <c r="AE39" s="1345"/>
      <c r="AF39" s="1345"/>
      <c r="AG39" s="1345"/>
      <c r="AH39" s="1345"/>
      <c r="AI39" s="1345"/>
      <c r="AJ39" s="1345"/>
      <c r="AK39" s="1345"/>
      <c r="AL39" s="1345"/>
      <c r="AM39" s="1345"/>
      <c r="AN39" s="1345"/>
      <c r="AO39" s="1345"/>
      <c r="AP39" s="1345"/>
      <c r="AQ39" s="1435"/>
      <c r="AR39" s="1349"/>
      <c r="AS39" s="1350"/>
      <c r="AT39" s="1350"/>
      <c r="AU39" s="1350"/>
      <c r="AV39" s="1350"/>
      <c r="AW39" s="1424"/>
      <c r="BD39" s="1453"/>
      <c r="BE39" s="1453"/>
      <c r="BF39" s="1453"/>
      <c r="BG39" s="1453"/>
      <c r="BH39" s="1453"/>
      <c r="BI39" s="1453"/>
      <c r="BJ39" s="1453"/>
      <c r="BK39" s="1453"/>
      <c r="BL39" s="1453"/>
      <c r="BM39" s="1453"/>
      <c r="BN39" s="1453"/>
      <c r="BO39" s="1453"/>
      <c r="BP39" s="1453"/>
      <c r="BQ39" s="1453"/>
      <c r="BR39" s="1453"/>
      <c r="BS39" s="1453"/>
      <c r="BT39" s="1453"/>
      <c r="BU39" s="1453"/>
    </row>
    <row r="40" ht="17.25" customHeight="1" spans="1:73">
      <c r="A40" s="1339" t="s">
        <v>124</v>
      </c>
      <c r="B40" s="1346"/>
      <c r="C40" s="1347"/>
      <c r="D40" s="1347"/>
      <c r="E40" s="1347"/>
      <c r="F40" s="1347"/>
      <c r="G40" s="1347"/>
      <c r="H40" s="1346"/>
      <c r="I40" s="1347"/>
      <c r="J40" s="1347"/>
      <c r="K40" s="1347"/>
      <c r="L40" s="1347"/>
      <c r="M40" s="1347"/>
      <c r="N40" s="1346"/>
      <c r="O40" s="1347"/>
      <c r="P40" s="1347"/>
      <c r="Q40" s="1347"/>
      <c r="R40" s="1347"/>
      <c r="S40" s="1347"/>
      <c r="T40" s="1390" t="s">
        <v>3596</v>
      </c>
      <c r="U40" s="1402"/>
      <c r="V40" s="1402"/>
      <c r="W40" s="1402"/>
      <c r="X40" s="1402"/>
      <c r="Y40" s="1402"/>
      <c r="Z40" s="1390" t="s">
        <v>3597</v>
      </c>
      <c r="AA40" s="1347"/>
      <c r="AB40" s="1347"/>
      <c r="AC40" s="1347"/>
      <c r="AD40" s="1347"/>
      <c r="AE40" s="1415"/>
      <c r="AF40" s="1347"/>
      <c r="AG40" s="1347"/>
      <c r="AH40" s="1347"/>
      <c r="AI40" s="1347"/>
      <c r="AJ40" s="1347"/>
      <c r="AK40" s="1415"/>
      <c r="AL40" s="1402" t="s">
        <v>3598</v>
      </c>
      <c r="AM40" s="1347"/>
      <c r="AN40" s="1347"/>
      <c r="AO40" s="1347"/>
      <c r="AP40" s="1347"/>
      <c r="AQ40" s="1415"/>
      <c r="AR40" s="1402" t="s">
        <v>3599</v>
      </c>
      <c r="AS40" s="1347"/>
      <c r="AT40" s="1347"/>
      <c r="AU40" s="1347"/>
      <c r="AV40" s="1347"/>
      <c r="AW40" s="1415"/>
      <c r="BD40" s="1453"/>
      <c r="BE40" s="1453"/>
      <c r="BF40" s="1453"/>
      <c r="BG40" s="1453"/>
      <c r="BH40" s="1453"/>
      <c r="BI40" s="1453"/>
      <c r="BJ40" s="1453"/>
      <c r="BK40" s="1453"/>
      <c r="BL40" s="1453"/>
      <c r="BM40" s="1453"/>
      <c r="BN40" s="1453"/>
      <c r="BO40" s="1453"/>
      <c r="BP40" s="1453"/>
      <c r="BQ40" s="1453"/>
      <c r="BR40" s="1453"/>
      <c r="BS40" s="1453"/>
      <c r="BT40" s="1453"/>
      <c r="BU40" s="1453"/>
    </row>
    <row r="41" ht="17.25" customHeight="1" spans="1:73">
      <c r="A41" s="1339"/>
      <c r="B41" s="1348"/>
      <c r="H41" s="1348"/>
      <c r="N41" s="1348"/>
      <c r="T41" s="1340"/>
      <c r="U41" s="1341"/>
      <c r="V41" s="1341"/>
      <c r="W41" s="1341"/>
      <c r="X41" s="1341"/>
      <c r="Y41" s="1341"/>
      <c r="Z41" s="1348"/>
      <c r="AE41" s="1416"/>
      <c r="AK41" s="1416"/>
      <c r="AQ41" s="1416"/>
      <c r="AW41" s="1416"/>
      <c r="BD41" s="1453"/>
      <c r="BE41" s="1453"/>
      <c r="BF41" s="1453"/>
      <c r="BG41" s="1453"/>
      <c r="BH41" s="1453"/>
      <c r="BI41" s="1453"/>
      <c r="BJ41" s="1453"/>
      <c r="BK41" s="1453"/>
      <c r="BL41" s="1453"/>
      <c r="BM41" s="1453"/>
      <c r="BN41" s="1453"/>
      <c r="BO41" s="1453"/>
      <c r="BP41" s="1453"/>
      <c r="BQ41" s="1453"/>
      <c r="BR41" s="1453"/>
      <c r="BS41" s="1453"/>
      <c r="BT41" s="1453"/>
      <c r="BU41" s="1453"/>
    </row>
    <row r="42" ht="17.25" customHeight="1" spans="1:73">
      <c r="A42" s="1339"/>
      <c r="B42" s="1348"/>
      <c r="H42" s="1348"/>
      <c r="N42" s="1348"/>
      <c r="T42" s="1340"/>
      <c r="U42" s="1341"/>
      <c r="V42" s="1341"/>
      <c r="W42" s="1341"/>
      <c r="X42" s="1341"/>
      <c r="Y42" s="1341"/>
      <c r="Z42" s="1348"/>
      <c r="AE42" s="1416"/>
      <c r="AK42" s="1416"/>
      <c r="AQ42" s="1416"/>
      <c r="AW42" s="1416"/>
      <c r="BD42" s="1453"/>
      <c r="BE42" s="1453"/>
      <c r="BF42" s="1453"/>
      <c r="BG42" s="1453"/>
      <c r="BH42" s="1453"/>
      <c r="BI42" s="1453"/>
      <c r="BJ42" s="1453"/>
      <c r="BK42" s="1453"/>
      <c r="BL42" s="1453"/>
      <c r="BM42" s="1453"/>
      <c r="BN42" s="1453"/>
      <c r="BO42" s="1453"/>
      <c r="BP42" s="1453"/>
      <c r="BQ42" s="1455"/>
      <c r="BR42" s="1453"/>
      <c r="BS42" s="1453"/>
      <c r="BT42" s="1453"/>
      <c r="BU42" s="1453"/>
    </row>
    <row r="43" ht="17.25" customHeight="1" spans="1:73">
      <c r="A43" s="1339"/>
      <c r="B43" s="1349"/>
      <c r="C43" s="1350"/>
      <c r="D43" s="1350"/>
      <c r="E43" s="1350"/>
      <c r="F43" s="1350"/>
      <c r="G43" s="1350"/>
      <c r="H43" s="1349"/>
      <c r="I43" s="1350"/>
      <c r="J43" s="1350"/>
      <c r="K43" s="1350"/>
      <c r="L43" s="1350"/>
      <c r="M43" s="1350"/>
      <c r="N43" s="1349"/>
      <c r="O43" s="1350"/>
      <c r="P43" s="1350"/>
      <c r="Q43" s="1350"/>
      <c r="R43" s="1350"/>
      <c r="S43" s="1350"/>
      <c r="T43" s="1342"/>
      <c r="U43" s="1343"/>
      <c r="V43" s="1343"/>
      <c r="W43" s="1343"/>
      <c r="X43" s="1343"/>
      <c r="Y43" s="1343"/>
      <c r="Z43" s="1349"/>
      <c r="AA43" s="1350"/>
      <c r="AB43" s="1350"/>
      <c r="AC43" s="1350"/>
      <c r="AD43" s="1350"/>
      <c r="AE43" s="1417"/>
      <c r="AF43" s="1350"/>
      <c r="AG43" s="1350"/>
      <c r="AH43" s="1350"/>
      <c r="AI43" s="1350"/>
      <c r="AJ43" s="1350"/>
      <c r="AK43" s="1424"/>
      <c r="AL43" s="1350"/>
      <c r="AM43" s="1350"/>
      <c r="AN43" s="1350"/>
      <c r="AO43" s="1350"/>
      <c r="AP43" s="1350"/>
      <c r="AQ43" s="1424"/>
      <c r="AR43" s="1350"/>
      <c r="AS43" s="1350"/>
      <c r="AT43" s="1350"/>
      <c r="AU43" s="1350"/>
      <c r="AV43" s="1350"/>
      <c r="AW43" s="1424"/>
      <c r="BD43" s="1453"/>
      <c r="BE43" s="1453"/>
      <c r="BF43" s="1453"/>
      <c r="BG43" s="1453"/>
      <c r="BH43" s="1453"/>
      <c r="BI43" s="1453"/>
      <c r="BJ43" s="1453"/>
      <c r="BK43" s="1453"/>
      <c r="BL43" s="1453"/>
      <c r="BM43" s="1453"/>
      <c r="BN43" s="1453"/>
      <c r="BO43" s="1453"/>
      <c r="BP43" s="1453"/>
      <c r="BQ43" s="1453"/>
      <c r="BR43" s="1453"/>
      <c r="BS43" s="1453"/>
      <c r="BT43" s="1453"/>
      <c r="BU43" s="1453"/>
    </row>
    <row r="44" ht="17.25" customHeight="1" spans="1:49">
      <c r="A44" s="1351" t="s">
        <v>3600</v>
      </c>
      <c r="B44" s="1352" t="s">
        <v>3505</v>
      </c>
      <c r="C44" s="1352"/>
      <c r="D44" s="1352"/>
      <c r="E44" s="1352"/>
      <c r="F44" s="1352"/>
      <c r="G44" s="1352"/>
      <c r="H44" s="1362" t="s">
        <v>3506</v>
      </c>
      <c r="I44" s="1362"/>
      <c r="J44" s="1362"/>
      <c r="K44" s="1362"/>
      <c r="L44" s="1362"/>
      <c r="M44" s="1362"/>
      <c r="N44" s="1382" t="s">
        <v>3507</v>
      </c>
      <c r="O44" s="1382"/>
      <c r="P44" s="1382"/>
      <c r="Q44" s="1382"/>
      <c r="R44" s="1382"/>
      <c r="S44" s="1382"/>
      <c r="T44" s="1391" t="s">
        <v>3508</v>
      </c>
      <c r="U44" s="1391"/>
      <c r="V44" s="1391"/>
      <c r="W44" s="1391"/>
      <c r="X44" s="1391"/>
      <c r="Y44" s="1391"/>
      <c r="Z44" s="1413" t="s">
        <v>3509</v>
      </c>
      <c r="AA44" s="1413"/>
      <c r="AB44" s="1413"/>
      <c r="AC44" s="1413"/>
      <c r="AD44" s="1413"/>
      <c r="AE44" s="1413"/>
      <c r="AF44" s="1418" t="s">
        <v>3510</v>
      </c>
      <c r="AG44" s="1418"/>
      <c r="AH44" s="1418"/>
      <c r="AI44" s="1418"/>
      <c r="AJ44" s="1418"/>
      <c r="AK44" s="1418"/>
      <c r="AL44" s="1425" t="s">
        <v>3511</v>
      </c>
      <c r="AM44" s="1425"/>
      <c r="AN44" s="1425"/>
      <c r="AO44" s="1425"/>
      <c r="AP44" s="1425"/>
      <c r="AQ44" s="1425"/>
      <c r="AR44" s="1436" t="s">
        <v>3512</v>
      </c>
      <c r="AS44" s="1436"/>
      <c r="AT44" s="1436"/>
      <c r="AU44" s="1436"/>
      <c r="AV44" s="1436"/>
      <c r="AW44" s="1436"/>
    </row>
    <row r="45" ht="17.25" customHeight="1" spans="1:49">
      <c r="A45" s="1353"/>
      <c r="B45" s="1352"/>
      <c r="C45" s="1352"/>
      <c r="D45" s="1352"/>
      <c r="E45" s="1352"/>
      <c r="F45" s="1352"/>
      <c r="G45" s="1352"/>
      <c r="H45" s="1362"/>
      <c r="I45" s="1362"/>
      <c r="J45" s="1362"/>
      <c r="K45" s="1362"/>
      <c r="L45" s="1362"/>
      <c r="M45" s="1362"/>
      <c r="N45" s="1382"/>
      <c r="O45" s="1382"/>
      <c r="P45" s="1382"/>
      <c r="Q45" s="1382"/>
      <c r="R45" s="1382"/>
      <c r="S45" s="1382"/>
      <c r="T45" s="1391"/>
      <c r="U45" s="1391"/>
      <c r="V45" s="1391"/>
      <c r="W45" s="1391"/>
      <c r="X45" s="1391"/>
      <c r="Y45" s="1391"/>
      <c r="Z45" s="1413"/>
      <c r="AA45" s="1413"/>
      <c r="AB45" s="1413"/>
      <c r="AC45" s="1413"/>
      <c r="AD45" s="1413"/>
      <c r="AE45" s="1413"/>
      <c r="AF45" s="1418"/>
      <c r="AG45" s="1418"/>
      <c r="AH45" s="1418"/>
      <c r="AI45" s="1418"/>
      <c r="AJ45" s="1418"/>
      <c r="AK45" s="1418"/>
      <c r="AL45" s="1425"/>
      <c r="AM45" s="1425"/>
      <c r="AN45" s="1425"/>
      <c r="AO45" s="1425"/>
      <c r="AP45" s="1425"/>
      <c r="AQ45" s="1425"/>
      <c r="AR45" s="1436"/>
      <c r="AS45" s="1436"/>
      <c r="AT45" s="1436"/>
      <c r="AU45" s="1436"/>
      <c r="AV45" s="1436"/>
      <c r="AW45" s="1436"/>
    </row>
    <row r="46" ht="17.25" customHeight="1" spans="1:49">
      <c r="A46" s="1353"/>
      <c r="B46" s="1352"/>
      <c r="C46" s="1352"/>
      <c r="D46" s="1352"/>
      <c r="E46" s="1352"/>
      <c r="F46" s="1352"/>
      <c r="G46" s="1352"/>
      <c r="H46" s="1362"/>
      <c r="I46" s="1362"/>
      <c r="J46" s="1362"/>
      <c r="K46" s="1362"/>
      <c r="L46" s="1362"/>
      <c r="M46" s="1362"/>
      <c r="N46" s="1382"/>
      <c r="O46" s="1382"/>
      <c r="P46" s="1382"/>
      <c r="Q46" s="1382"/>
      <c r="R46" s="1382"/>
      <c r="S46" s="1382"/>
      <c r="T46" s="1391"/>
      <c r="U46" s="1391"/>
      <c r="V46" s="1391"/>
      <c r="W46" s="1391"/>
      <c r="X46" s="1391"/>
      <c r="Y46" s="1391"/>
      <c r="Z46" s="1413"/>
      <c r="AA46" s="1413"/>
      <c r="AB46" s="1413"/>
      <c r="AC46" s="1413"/>
      <c r="AD46" s="1413"/>
      <c r="AE46" s="1413"/>
      <c r="AF46" s="1418"/>
      <c r="AG46" s="1418"/>
      <c r="AH46" s="1418"/>
      <c r="AI46" s="1418"/>
      <c r="AJ46" s="1418"/>
      <c r="AK46" s="1418"/>
      <c r="AL46" s="1425"/>
      <c r="AM46" s="1425"/>
      <c r="AN46" s="1425"/>
      <c r="AO46" s="1425"/>
      <c r="AP46" s="1425"/>
      <c r="AQ46" s="1425"/>
      <c r="AR46" s="1436"/>
      <c r="AS46" s="1436"/>
      <c r="AT46" s="1436"/>
      <c r="AU46" s="1436"/>
      <c r="AV46" s="1436"/>
      <c r="AW46" s="1436"/>
    </row>
    <row r="47" ht="17.25" customHeight="1" spans="1:47">
      <c r="A47" s="1353"/>
      <c r="E47" s="1363"/>
      <c r="L47" s="1374"/>
      <c r="N47" s="1383"/>
      <c r="R47" s="1392"/>
      <c r="W47" s="1403"/>
      <c r="AH47" s="1420"/>
      <c r="AN47" s="1426"/>
      <c r="AU47" s="1442"/>
    </row>
    <row r="48" ht="17.25" customHeight="1" spans="1:47">
      <c r="A48" s="1353"/>
      <c r="E48" s="1363"/>
      <c r="L48" s="1374"/>
      <c r="N48" s="1383"/>
      <c r="R48" s="1392"/>
      <c r="W48" s="1403"/>
      <c r="AH48" s="1420"/>
      <c r="AN48" s="1426"/>
      <c r="AU48" s="1442"/>
    </row>
    <row r="49" ht="17.25" customHeight="1" spans="1:49">
      <c r="A49" s="1353"/>
      <c r="E49" s="1363"/>
      <c r="K49" s="1375" t="s">
        <v>3601</v>
      </c>
      <c r="L49" s="1376"/>
      <c r="M49" s="1376"/>
      <c r="N49" s="1376"/>
      <c r="O49" s="1376"/>
      <c r="P49" s="1376"/>
      <c r="R49" s="1392"/>
      <c r="T49" s="1391" t="s">
        <v>3602</v>
      </c>
      <c r="U49" s="1391"/>
      <c r="V49" s="1391"/>
      <c r="W49" s="1391"/>
      <c r="X49" s="1391"/>
      <c r="Y49" s="1391"/>
      <c r="AF49" s="1419" t="s">
        <v>3603</v>
      </c>
      <c r="AG49" s="1419"/>
      <c r="AH49" s="1419"/>
      <c r="AI49" s="1419"/>
      <c r="AJ49" s="1419"/>
      <c r="AK49" s="1419"/>
      <c r="AL49" s="1427" t="s">
        <v>3604</v>
      </c>
      <c r="AM49" s="1427"/>
      <c r="AN49" s="1427"/>
      <c r="AO49" s="1427"/>
      <c r="AP49" s="1427"/>
      <c r="AQ49" s="1427"/>
      <c r="AR49" s="1437" t="s">
        <v>3605</v>
      </c>
      <c r="AS49" s="1437"/>
      <c r="AT49" s="1437"/>
      <c r="AU49" s="1437"/>
      <c r="AV49" s="1437"/>
      <c r="AW49" s="1437"/>
    </row>
    <row r="50" ht="17.25" customHeight="1" spans="1:49">
      <c r="A50" s="1353"/>
      <c r="E50" s="1363"/>
      <c r="K50" s="1376"/>
      <c r="L50" s="1376"/>
      <c r="M50" s="1376"/>
      <c r="N50" s="1376"/>
      <c r="O50" s="1376"/>
      <c r="P50" s="1376"/>
      <c r="R50" s="1392"/>
      <c r="T50" s="1391"/>
      <c r="U50" s="1391"/>
      <c r="V50" s="1391"/>
      <c r="W50" s="1391"/>
      <c r="X50" s="1391"/>
      <c r="Y50" s="1391"/>
      <c r="AF50" s="1419"/>
      <c r="AG50" s="1419"/>
      <c r="AH50" s="1419"/>
      <c r="AI50" s="1419"/>
      <c r="AJ50" s="1419"/>
      <c r="AK50" s="1419"/>
      <c r="AL50" s="1427"/>
      <c r="AM50" s="1427"/>
      <c r="AN50" s="1427"/>
      <c r="AO50" s="1427"/>
      <c r="AP50" s="1427"/>
      <c r="AQ50" s="1427"/>
      <c r="AR50" s="1437"/>
      <c r="AS50" s="1437"/>
      <c r="AT50" s="1437"/>
      <c r="AU50" s="1437"/>
      <c r="AV50" s="1437"/>
      <c r="AW50" s="1437"/>
    </row>
    <row r="51" ht="17.25" customHeight="1" spans="1:49">
      <c r="A51" s="1353"/>
      <c r="E51" s="1363"/>
      <c r="K51" s="1376"/>
      <c r="L51" s="1376"/>
      <c r="M51" s="1376"/>
      <c r="N51" s="1376"/>
      <c r="O51" s="1376"/>
      <c r="P51" s="1376"/>
      <c r="R51" s="1392"/>
      <c r="T51" s="1391"/>
      <c r="U51" s="1391"/>
      <c r="V51" s="1404"/>
      <c r="W51" s="1391"/>
      <c r="X51" s="1391"/>
      <c r="Y51" s="1391"/>
      <c r="AF51" s="1419"/>
      <c r="AG51" s="1419"/>
      <c r="AH51" s="1419"/>
      <c r="AI51" s="1419"/>
      <c r="AJ51" s="1419"/>
      <c r="AK51" s="1419"/>
      <c r="AL51" s="1427"/>
      <c r="AM51" s="1427"/>
      <c r="AN51" s="1427"/>
      <c r="AO51" s="1427"/>
      <c r="AP51" s="1427"/>
      <c r="AQ51" s="1427"/>
      <c r="AR51" s="1437"/>
      <c r="AS51" s="1437"/>
      <c r="AT51" s="1437"/>
      <c r="AU51" s="1437"/>
      <c r="AV51" s="1437"/>
      <c r="AW51" s="1437"/>
    </row>
    <row r="52" ht="17.25" customHeight="1" spans="1:43">
      <c r="A52" s="1353"/>
      <c r="E52" s="1363"/>
      <c r="R52" s="1392"/>
      <c r="T52" s="1393"/>
      <c r="U52" s="1393"/>
      <c r="V52" s="1405"/>
      <c r="W52" s="1393"/>
      <c r="X52" s="1393"/>
      <c r="Y52" s="1393"/>
      <c r="AL52" s="1428"/>
      <c r="AM52" s="1428"/>
      <c r="AN52" s="1429"/>
      <c r="AO52" s="1428"/>
      <c r="AP52" s="1428"/>
      <c r="AQ52" s="1428"/>
    </row>
    <row r="53" ht="17.25" customHeight="1" spans="1:49">
      <c r="A53" s="1353"/>
      <c r="E53" s="1363"/>
      <c r="N53" s="1384"/>
      <c r="O53" s="1385"/>
      <c r="P53" s="1385"/>
      <c r="Q53" s="1385"/>
      <c r="R53" s="1394"/>
      <c r="V53" s="1406"/>
      <c r="AN53" s="1426"/>
      <c r="AO53" s="1438"/>
      <c r="AP53" s="1438"/>
      <c r="AQ53" s="1438"/>
      <c r="AR53" s="1439"/>
      <c r="AS53" s="1428"/>
      <c r="AT53" s="1428"/>
      <c r="AU53" s="1428"/>
      <c r="AV53" s="1428"/>
      <c r="AW53" s="1428"/>
    </row>
    <row r="54" ht="17.25" customHeight="1" spans="1:44">
      <c r="A54" s="1353"/>
      <c r="B54" s="1354"/>
      <c r="C54" s="1354"/>
      <c r="D54" s="1354"/>
      <c r="E54" s="1364"/>
      <c r="F54" s="1354"/>
      <c r="G54" s="1354"/>
      <c r="H54" s="1365" t="s">
        <v>3606</v>
      </c>
      <c r="I54" s="1365"/>
      <c r="J54" s="1365"/>
      <c r="K54" s="1365"/>
      <c r="L54" s="1365"/>
      <c r="M54" s="1365"/>
      <c r="N54" s="1386" t="s">
        <v>3607</v>
      </c>
      <c r="O54" s="1386"/>
      <c r="P54" s="1386"/>
      <c r="Q54" s="1395"/>
      <c r="R54" s="1396"/>
      <c r="S54" s="1395"/>
      <c r="T54" s="1395"/>
      <c r="U54" s="1395"/>
      <c r="V54" s="1400"/>
      <c r="W54" s="1354"/>
      <c r="Y54" s="1414" t="s">
        <v>3608</v>
      </c>
      <c r="Z54" s="1414"/>
      <c r="AA54" s="1414"/>
      <c r="AB54" s="1414"/>
      <c r="AC54" s="1414"/>
      <c r="AD54" s="1414"/>
      <c r="AE54" s="1414"/>
      <c r="AF54" s="1414"/>
      <c r="AL54" s="1427" t="s">
        <v>3609</v>
      </c>
      <c r="AM54" s="1427"/>
      <c r="AN54" s="1427"/>
      <c r="AO54" s="1427"/>
      <c r="AP54" s="1427"/>
      <c r="AQ54" s="1427"/>
      <c r="AR54" s="1440"/>
    </row>
    <row r="55" ht="17.25" customHeight="1" spans="1:44">
      <c r="A55" s="1353"/>
      <c r="B55" s="1354"/>
      <c r="C55" s="1354"/>
      <c r="D55" s="1354"/>
      <c r="E55" s="1366"/>
      <c r="F55" s="1366"/>
      <c r="G55" s="1367"/>
      <c r="H55" s="1365"/>
      <c r="I55" s="1365"/>
      <c r="J55" s="1365"/>
      <c r="K55" s="1365"/>
      <c r="L55" s="1365"/>
      <c r="M55" s="1365"/>
      <c r="N55" s="1386"/>
      <c r="O55" s="1386"/>
      <c r="P55" s="1386"/>
      <c r="Q55" s="1397"/>
      <c r="R55" s="1398"/>
      <c r="S55" s="1354"/>
      <c r="T55" s="1354"/>
      <c r="U55" s="1354"/>
      <c r="V55" s="1354"/>
      <c r="W55" s="1354"/>
      <c r="Y55" s="1414"/>
      <c r="Z55" s="1414"/>
      <c r="AA55" s="1414"/>
      <c r="AB55" s="1414"/>
      <c r="AC55" s="1414"/>
      <c r="AD55" s="1414"/>
      <c r="AE55" s="1414"/>
      <c r="AF55" s="1414"/>
      <c r="AG55" s="1421"/>
      <c r="AH55" s="1421"/>
      <c r="AI55" s="1421"/>
      <c r="AJ55" s="1421"/>
      <c r="AK55" s="1421"/>
      <c r="AL55" s="1427"/>
      <c r="AM55" s="1427"/>
      <c r="AN55" s="1427"/>
      <c r="AO55" s="1427"/>
      <c r="AP55" s="1427"/>
      <c r="AQ55" s="1427"/>
      <c r="AR55" s="1440"/>
    </row>
    <row r="56" ht="17.25" customHeight="1" spans="1:44">
      <c r="A56" s="1353"/>
      <c r="B56" s="1354"/>
      <c r="C56" s="1354"/>
      <c r="D56" s="1354"/>
      <c r="E56" s="1354"/>
      <c r="F56" s="1354"/>
      <c r="G56" s="1364"/>
      <c r="H56" s="1365"/>
      <c r="I56" s="1365"/>
      <c r="J56" s="1365"/>
      <c r="K56" s="1365"/>
      <c r="L56" s="1365"/>
      <c r="M56" s="1365"/>
      <c r="N56" s="1386"/>
      <c r="O56" s="1386"/>
      <c r="P56" s="1386"/>
      <c r="Q56" s="1397"/>
      <c r="R56" s="1398"/>
      <c r="S56" s="1399"/>
      <c r="T56" s="1399"/>
      <c r="U56" s="1399"/>
      <c r="V56" s="1399"/>
      <c r="W56" s="1399"/>
      <c r="X56" s="1407"/>
      <c r="Y56" s="1414"/>
      <c r="Z56" s="1414"/>
      <c r="AA56" s="1414"/>
      <c r="AB56" s="1414"/>
      <c r="AC56" s="1414"/>
      <c r="AD56" s="1414"/>
      <c r="AE56" s="1414"/>
      <c r="AF56" s="1414"/>
      <c r="AL56" s="1427"/>
      <c r="AM56" s="1427"/>
      <c r="AN56" s="1427"/>
      <c r="AO56" s="1427"/>
      <c r="AP56" s="1427"/>
      <c r="AQ56" s="1427"/>
      <c r="AR56" s="1440"/>
    </row>
    <row r="57" ht="17.25" customHeight="1" spans="1:44">
      <c r="A57" s="1353"/>
      <c r="B57" s="1354"/>
      <c r="C57" s="1354"/>
      <c r="D57" s="1354"/>
      <c r="E57" s="1354"/>
      <c r="F57" s="1354"/>
      <c r="G57" s="1364"/>
      <c r="H57" s="1365"/>
      <c r="I57" s="1365"/>
      <c r="J57" s="1365"/>
      <c r="K57" s="1365"/>
      <c r="L57" s="1365"/>
      <c r="M57" s="1365"/>
      <c r="N57" s="1386"/>
      <c r="O57" s="1386"/>
      <c r="P57" s="1386"/>
      <c r="Q57" s="1397"/>
      <c r="R57" s="1398"/>
      <c r="S57" s="1354"/>
      <c r="T57" s="1354"/>
      <c r="U57" s="1354"/>
      <c r="V57" s="1354"/>
      <c r="W57" s="1354"/>
      <c r="Y57" s="1414"/>
      <c r="Z57" s="1414"/>
      <c r="AA57" s="1414"/>
      <c r="AB57" s="1414"/>
      <c r="AC57" s="1414"/>
      <c r="AD57" s="1414"/>
      <c r="AE57" s="1414"/>
      <c r="AF57" s="1414"/>
      <c r="AO57" s="1441"/>
      <c r="AR57" s="1440"/>
    </row>
    <row r="58" ht="17.25" customHeight="1" spans="1:44">
      <c r="A58" s="1353"/>
      <c r="B58" s="1355"/>
      <c r="C58" s="1355"/>
      <c r="D58" s="1355"/>
      <c r="E58" s="1355"/>
      <c r="F58" s="1355"/>
      <c r="G58" s="1368"/>
      <c r="H58" s="1369" t="s">
        <v>3610</v>
      </c>
      <c r="I58" s="1369"/>
      <c r="J58" s="1369"/>
      <c r="K58" s="1369"/>
      <c r="L58" s="1369"/>
      <c r="M58" s="1369"/>
      <c r="N58" s="1387" t="s">
        <v>3611</v>
      </c>
      <c r="O58" s="1387"/>
      <c r="P58" s="1387"/>
      <c r="Q58" s="1397"/>
      <c r="R58" s="1398"/>
      <c r="S58" s="1354"/>
      <c r="T58" s="1354"/>
      <c r="U58" s="1354"/>
      <c r="V58" s="1354"/>
      <c r="W58" s="1354"/>
      <c r="AE58" s="1393"/>
      <c r="AN58" s="1430"/>
      <c r="AR58" s="1440"/>
    </row>
    <row r="59" ht="17.25" customHeight="1" spans="1:44">
      <c r="A59" s="1353"/>
      <c r="B59" s="1355"/>
      <c r="C59" s="1355"/>
      <c r="D59" s="1355"/>
      <c r="E59" s="1355"/>
      <c r="F59" s="1370"/>
      <c r="G59" s="1371"/>
      <c r="H59" s="1369"/>
      <c r="I59" s="1369"/>
      <c r="J59" s="1369"/>
      <c r="K59" s="1369"/>
      <c r="L59" s="1369"/>
      <c r="M59" s="1369"/>
      <c r="N59" s="1387"/>
      <c r="O59" s="1387"/>
      <c r="P59" s="1387"/>
      <c r="Q59" s="1400"/>
      <c r="R59" s="1398"/>
      <c r="S59" s="1354"/>
      <c r="T59" s="1354"/>
      <c r="U59" s="1354"/>
      <c r="V59" s="1354"/>
      <c r="W59" s="1354"/>
      <c r="AE59" s="1393"/>
      <c r="AL59" s="1431" t="s">
        <v>3612</v>
      </c>
      <c r="AM59" s="1431"/>
      <c r="AN59" s="1431"/>
      <c r="AO59" s="1431"/>
      <c r="AP59" s="1431"/>
      <c r="AQ59" s="1431"/>
      <c r="AR59" s="1440"/>
    </row>
    <row r="60" ht="17.25" customHeight="1" spans="1:44">
      <c r="A60" s="1353"/>
      <c r="B60" s="1355"/>
      <c r="C60" s="1355"/>
      <c r="D60" s="1355"/>
      <c r="E60" s="1355"/>
      <c r="F60" s="1370"/>
      <c r="G60" s="1355"/>
      <c r="H60" s="1369"/>
      <c r="I60" s="1369"/>
      <c r="J60" s="1369"/>
      <c r="K60" s="1369"/>
      <c r="L60" s="1369"/>
      <c r="M60" s="1369"/>
      <c r="N60" s="1387"/>
      <c r="O60" s="1387"/>
      <c r="P60" s="1387"/>
      <c r="Q60" s="1354"/>
      <c r="R60" s="1398"/>
      <c r="S60" s="1354"/>
      <c r="T60" s="1354"/>
      <c r="U60" s="1354"/>
      <c r="V60" s="1354"/>
      <c r="W60" s="1354"/>
      <c r="AL60" s="1431"/>
      <c r="AM60" s="1431"/>
      <c r="AN60" s="1431"/>
      <c r="AO60" s="1431"/>
      <c r="AP60" s="1431"/>
      <c r="AQ60" s="1431"/>
      <c r="AR60" s="1440"/>
    </row>
    <row r="61" ht="17.25" customHeight="1" spans="1:44">
      <c r="A61" s="1353"/>
      <c r="B61" s="1355"/>
      <c r="C61" s="1355"/>
      <c r="D61" s="1355"/>
      <c r="E61" s="1355"/>
      <c r="F61" s="1370"/>
      <c r="G61" s="1355"/>
      <c r="H61" s="1369"/>
      <c r="I61" s="1369"/>
      <c r="J61" s="1369"/>
      <c r="K61" s="1369"/>
      <c r="L61" s="1369"/>
      <c r="M61" s="1369"/>
      <c r="N61" s="1387"/>
      <c r="O61" s="1387"/>
      <c r="P61" s="1387"/>
      <c r="Q61" s="1354"/>
      <c r="R61" s="1398"/>
      <c r="S61" s="1354"/>
      <c r="T61" s="1354"/>
      <c r="U61" s="1354"/>
      <c r="V61" s="1354"/>
      <c r="W61" s="1354"/>
      <c r="AL61" s="1431"/>
      <c r="AM61" s="1431"/>
      <c r="AN61" s="1431"/>
      <c r="AO61" s="1431"/>
      <c r="AP61" s="1431"/>
      <c r="AQ61" s="1431"/>
      <c r="AR61" s="1440"/>
    </row>
    <row r="62" ht="17.25" customHeight="1" spans="1:44">
      <c r="A62" s="1353"/>
      <c r="B62" s="1355"/>
      <c r="C62" s="1355"/>
      <c r="D62" s="1355"/>
      <c r="E62" s="1355"/>
      <c r="F62" s="1370"/>
      <c r="G62" s="1372"/>
      <c r="H62" s="1372"/>
      <c r="I62" s="1377"/>
      <c r="J62" s="1377"/>
      <c r="K62" s="1377"/>
      <c r="L62" s="1377"/>
      <c r="M62" s="1377"/>
      <c r="N62" s="1377"/>
      <c r="O62" s="1377"/>
      <c r="P62" s="1377"/>
      <c r="Q62" s="1377"/>
      <c r="R62" s="1401"/>
      <c r="S62" s="1354"/>
      <c r="T62" s="1354"/>
      <c r="U62" s="1354"/>
      <c r="V62" s="1354"/>
      <c r="W62" s="1354"/>
      <c r="AL62" s="1432"/>
      <c r="AM62" s="1432"/>
      <c r="AN62" s="1432"/>
      <c r="AO62" s="1432"/>
      <c r="AP62" s="1432"/>
      <c r="AQ62" s="1432"/>
      <c r="AR62" s="1440"/>
    </row>
    <row r="63" ht="17.25" customHeight="1" spans="1:44">
      <c r="A63" s="1353"/>
      <c r="B63" s="1355"/>
      <c r="C63" s="1355"/>
      <c r="D63" s="1355"/>
      <c r="E63" s="1355"/>
      <c r="F63" s="1370"/>
      <c r="G63" s="1372"/>
      <c r="H63" s="1372"/>
      <c r="I63" s="1378"/>
      <c r="J63" s="1372"/>
      <c r="K63" s="1372"/>
      <c r="L63" s="1372"/>
      <c r="M63" s="1372"/>
      <c r="N63" s="1372"/>
      <c r="O63" s="1372"/>
      <c r="P63" s="1372"/>
      <c r="Q63" s="1372"/>
      <c r="R63" s="1372"/>
      <c r="S63" s="1354"/>
      <c r="T63" s="1354"/>
      <c r="U63" s="1354"/>
      <c r="V63" s="1354"/>
      <c r="W63" s="1354"/>
      <c r="AR63" s="1440"/>
    </row>
    <row r="64" ht="17.25" customHeight="1" spans="1:49">
      <c r="A64" s="1353"/>
      <c r="B64" s="1355"/>
      <c r="C64" s="1355"/>
      <c r="D64" s="1355"/>
      <c r="E64" s="1355"/>
      <c r="F64" s="1370"/>
      <c r="G64" s="1372"/>
      <c r="H64" s="1372"/>
      <c r="I64" s="1378"/>
      <c r="J64" s="1372"/>
      <c r="K64" s="1372"/>
      <c r="L64" s="1372"/>
      <c r="M64" s="1372"/>
      <c r="N64" s="1372"/>
      <c r="O64" s="1372"/>
      <c r="P64" s="1372"/>
      <c r="Q64" s="1372"/>
      <c r="R64" s="1372"/>
      <c r="S64" s="1354"/>
      <c r="T64" s="1354"/>
      <c r="U64" s="1408" t="s">
        <v>3613</v>
      </c>
      <c r="V64" s="1409"/>
      <c r="W64" s="1410" t="s">
        <v>3614</v>
      </c>
      <c r="X64" s="1409"/>
      <c r="Y64" s="1409"/>
      <c r="Z64" s="1409"/>
      <c r="AA64" s="1409"/>
      <c r="AB64" s="1409"/>
      <c r="AC64" s="1409"/>
      <c r="AD64" s="1409"/>
      <c r="AE64" s="1409"/>
      <c r="AF64" s="1409"/>
      <c r="AG64" s="1409"/>
      <c r="AH64" s="1409"/>
      <c r="AI64" s="1409"/>
      <c r="AJ64" s="1422"/>
      <c r="AN64" s="1433" t="s">
        <v>3615</v>
      </c>
      <c r="AO64" s="1433"/>
      <c r="AP64" s="1433"/>
      <c r="AQ64" s="1433"/>
      <c r="AR64" s="1433"/>
      <c r="AS64" s="1433"/>
      <c r="AT64" s="1433"/>
      <c r="AU64" s="1433"/>
      <c r="AV64" s="1433"/>
      <c r="AW64" s="1433"/>
    </row>
    <row r="65" ht="17.25" customHeight="1" spans="1:59">
      <c r="A65" s="1353"/>
      <c r="F65" s="1477" t="s">
        <v>3616</v>
      </c>
      <c r="G65" s="1478"/>
      <c r="H65" s="1479" t="s">
        <v>3617</v>
      </c>
      <c r="I65" s="1479"/>
      <c r="J65" s="1479"/>
      <c r="K65" s="1479" t="s">
        <v>3618</v>
      </c>
      <c r="L65" s="1479"/>
      <c r="M65" s="1479" t="s">
        <v>3619</v>
      </c>
      <c r="N65" s="1479"/>
      <c r="O65" s="1490" t="s">
        <v>3620</v>
      </c>
      <c r="P65" s="1491"/>
      <c r="Q65" s="1491"/>
      <c r="R65" s="1518"/>
      <c r="T65" s="1354"/>
      <c r="U65" s="1533"/>
      <c r="V65" s="1534"/>
      <c r="W65" s="1534"/>
      <c r="X65" s="1534"/>
      <c r="Y65" s="1534"/>
      <c r="Z65" s="1534"/>
      <c r="AA65" s="1534"/>
      <c r="AB65" s="1534"/>
      <c r="AC65" s="1534"/>
      <c r="AD65" s="1534"/>
      <c r="AE65" s="1534"/>
      <c r="AF65" s="1534"/>
      <c r="AG65" s="1534"/>
      <c r="AH65" s="1534"/>
      <c r="AI65" s="1534"/>
      <c r="AJ65" s="1574"/>
      <c r="AN65" s="1433"/>
      <c r="AO65" s="1433"/>
      <c r="AP65" s="1433"/>
      <c r="AQ65" s="1433"/>
      <c r="AR65" s="1433"/>
      <c r="AS65" s="1433"/>
      <c r="AT65" s="1433"/>
      <c r="AU65" s="1433"/>
      <c r="AV65" s="1433"/>
      <c r="AW65" s="1433"/>
      <c r="AX65" s="1588"/>
      <c r="AY65" s="1588"/>
      <c r="AZ65" s="1588"/>
      <c r="BA65" s="1588"/>
      <c r="BB65" s="1588"/>
      <c r="BC65" s="1588"/>
      <c r="BD65" s="1588"/>
      <c r="BE65" s="1588"/>
      <c r="BF65" s="1588"/>
      <c r="BG65" s="1393"/>
    </row>
    <row r="66" ht="17.25" customHeight="1" spans="1:59">
      <c r="A66" s="1353"/>
      <c r="F66" s="1480"/>
      <c r="G66" s="1481"/>
      <c r="H66" s="1482" t="s">
        <v>3621</v>
      </c>
      <c r="I66" s="1482"/>
      <c r="J66" s="1482"/>
      <c r="K66" s="1482">
        <v>-2</v>
      </c>
      <c r="L66" s="1482"/>
      <c r="M66" s="1482">
        <v>-2</v>
      </c>
      <c r="N66" s="1482"/>
      <c r="O66" s="1492" t="s">
        <v>3622</v>
      </c>
      <c r="P66" s="1493"/>
      <c r="Q66" s="1493"/>
      <c r="R66" s="1519">
        <v>-3</v>
      </c>
      <c r="T66" s="1354"/>
      <c r="U66" s="1533"/>
      <c r="V66" s="1534"/>
      <c r="W66" s="1534"/>
      <c r="X66" s="1534"/>
      <c r="Y66" s="1534"/>
      <c r="Z66" s="1534"/>
      <c r="AA66" s="1534"/>
      <c r="AB66" s="1534"/>
      <c r="AC66" s="1534"/>
      <c r="AD66" s="1534"/>
      <c r="AE66" s="1534"/>
      <c r="AF66" s="1534"/>
      <c r="AG66" s="1534"/>
      <c r="AH66" s="1534"/>
      <c r="AI66" s="1534"/>
      <c r="AJ66" s="1574"/>
      <c r="AN66" s="1341" t="s">
        <v>3623</v>
      </c>
      <c r="AX66" s="1588"/>
      <c r="AY66" s="1588"/>
      <c r="AZ66" s="1588"/>
      <c r="BA66" s="1588"/>
      <c r="BB66" s="1588"/>
      <c r="BC66" s="1588"/>
      <c r="BD66" s="1588"/>
      <c r="BE66" s="1588"/>
      <c r="BF66" s="1588"/>
      <c r="BG66" s="1393"/>
    </row>
    <row r="67" ht="17.25" customHeight="1" spans="1:59">
      <c r="A67" s="1353"/>
      <c r="F67" s="1480"/>
      <c r="G67" s="1481"/>
      <c r="H67" s="1483" t="s">
        <v>3624</v>
      </c>
      <c r="I67" s="1483"/>
      <c r="J67" s="1483"/>
      <c r="K67" s="1483">
        <v>-1</v>
      </c>
      <c r="L67" s="1483"/>
      <c r="M67" s="1483">
        <v>-1</v>
      </c>
      <c r="N67" s="1483"/>
      <c r="O67" s="1494" t="s">
        <v>3625</v>
      </c>
      <c r="P67" s="1495"/>
      <c r="Q67" s="1495"/>
      <c r="R67" s="1520">
        <v>-2</v>
      </c>
      <c r="U67" s="1535" t="s">
        <v>3626</v>
      </c>
      <c r="V67" s="1536"/>
      <c r="W67" s="1537" t="s">
        <v>3627</v>
      </c>
      <c r="X67" s="1538"/>
      <c r="Y67" s="1538"/>
      <c r="Z67" s="1538"/>
      <c r="AA67" s="1538"/>
      <c r="AB67" s="1538"/>
      <c r="AC67" s="1538"/>
      <c r="AD67" s="1538"/>
      <c r="AE67" s="1538"/>
      <c r="AF67" s="1538"/>
      <c r="AG67" s="1538"/>
      <c r="AH67" s="1538"/>
      <c r="AI67" s="1538"/>
      <c r="AJ67" s="1575"/>
      <c r="AX67" s="1588"/>
      <c r="AY67" s="1588"/>
      <c r="AZ67" s="1588"/>
      <c r="BA67" s="1588"/>
      <c r="BB67" s="1588"/>
      <c r="BC67" s="1588"/>
      <c r="BD67" s="1588"/>
      <c r="BE67" s="1588"/>
      <c r="BF67" s="1588"/>
      <c r="BG67" s="1393"/>
    </row>
    <row r="68" ht="17.25" customHeight="1" spans="1:59">
      <c r="A68" s="1353"/>
      <c r="F68" s="1480"/>
      <c r="G68" s="1481"/>
      <c r="H68" s="1484" t="s">
        <v>3628</v>
      </c>
      <c r="I68" s="1484"/>
      <c r="J68" s="1484"/>
      <c r="K68" s="1484">
        <v>0</v>
      </c>
      <c r="L68" s="1484"/>
      <c r="M68" s="1484">
        <v>0</v>
      </c>
      <c r="N68" s="1484"/>
      <c r="O68" s="1492" t="s">
        <v>3629</v>
      </c>
      <c r="P68" s="1493"/>
      <c r="Q68" s="1493"/>
      <c r="R68" s="1519">
        <v>-1</v>
      </c>
      <c r="U68" s="1535"/>
      <c r="V68" s="1536"/>
      <c r="W68" s="1538"/>
      <c r="X68" s="1538"/>
      <c r="Y68" s="1538"/>
      <c r="Z68" s="1538"/>
      <c r="AA68" s="1538"/>
      <c r="AB68" s="1538"/>
      <c r="AC68" s="1538"/>
      <c r="AD68" s="1538"/>
      <c r="AE68" s="1538"/>
      <c r="AF68" s="1538"/>
      <c r="AG68" s="1538"/>
      <c r="AH68" s="1538"/>
      <c r="AI68" s="1538"/>
      <c r="AJ68" s="1575"/>
      <c r="AX68" s="1588"/>
      <c r="AY68" s="1588"/>
      <c r="AZ68" s="1588"/>
      <c r="BA68" s="1588"/>
      <c r="BB68" s="1588"/>
      <c r="BC68" s="1588"/>
      <c r="BD68" s="1588"/>
      <c r="BE68" s="1588"/>
      <c r="BF68" s="1588"/>
      <c r="BG68" s="1393"/>
    </row>
    <row r="69" ht="17.25" customHeight="1" spans="1:59">
      <c r="A69" s="1353"/>
      <c r="F69" s="1480"/>
      <c r="G69" s="1481"/>
      <c r="H69" s="1483" t="s">
        <v>3630</v>
      </c>
      <c r="I69" s="1483"/>
      <c r="J69" s="1483"/>
      <c r="K69" s="1483" t="s">
        <v>3631</v>
      </c>
      <c r="L69" s="1483"/>
      <c r="M69" s="1483">
        <v>1</v>
      </c>
      <c r="N69" s="1483"/>
      <c r="O69" s="1496" t="s">
        <v>3632</v>
      </c>
      <c r="P69" s="1497"/>
      <c r="Q69" s="1497"/>
      <c r="R69" s="1521">
        <v>0</v>
      </c>
      <c r="U69" s="1535"/>
      <c r="V69" s="1536"/>
      <c r="W69" s="1538"/>
      <c r="X69" s="1538"/>
      <c r="Y69" s="1538"/>
      <c r="Z69" s="1538"/>
      <c r="AA69" s="1538"/>
      <c r="AB69" s="1538"/>
      <c r="AC69" s="1538"/>
      <c r="AD69" s="1538"/>
      <c r="AE69" s="1538"/>
      <c r="AF69" s="1538"/>
      <c r="AG69" s="1538"/>
      <c r="AH69" s="1538"/>
      <c r="AI69" s="1538"/>
      <c r="AJ69" s="1575"/>
      <c r="AX69" s="1588"/>
      <c r="AY69" s="1588"/>
      <c r="AZ69" s="1588"/>
      <c r="BA69" s="1588"/>
      <c r="BB69" s="1588"/>
      <c r="BC69" s="1588"/>
      <c r="BD69" s="1588"/>
      <c r="BE69" s="1588"/>
      <c r="BF69" s="1588"/>
      <c r="BG69" s="1393"/>
    </row>
    <row r="70" ht="17.25" customHeight="1" spans="1:59">
      <c r="A70" s="1353"/>
      <c r="F70" s="1480"/>
      <c r="G70" s="1481"/>
      <c r="H70" s="1482" t="s">
        <v>3633</v>
      </c>
      <c r="I70" s="1482"/>
      <c r="J70" s="1482"/>
      <c r="K70" s="1482" t="s">
        <v>3634</v>
      </c>
      <c r="L70" s="1482"/>
      <c r="M70" s="1482">
        <v>2</v>
      </c>
      <c r="N70" s="1482"/>
      <c r="O70" s="1492" t="s">
        <v>3635</v>
      </c>
      <c r="P70" s="1493"/>
      <c r="Q70" s="1493"/>
      <c r="R70" s="3460" t="s">
        <v>3636</v>
      </c>
      <c r="U70" s="1533" t="s">
        <v>3637</v>
      </c>
      <c r="V70" s="1534"/>
      <c r="W70" s="1539" t="s">
        <v>3638</v>
      </c>
      <c r="X70" s="1534"/>
      <c r="Y70" s="1534"/>
      <c r="Z70" s="1534"/>
      <c r="AA70" s="1534"/>
      <c r="AB70" s="1534"/>
      <c r="AC70" s="1534"/>
      <c r="AD70" s="1534"/>
      <c r="AE70" s="1534"/>
      <c r="AF70" s="1534"/>
      <c r="AG70" s="1534"/>
      <c r="AH70" s="1534"/>
      <c r="AI70" s="1534"/>
      <c r="AJ70" s="1574"/>
      <c r="AN70" s="1582" t="s">
        <v>3639</v>
      </c>
      <c r="AO70" s="1583"/>
      <c r="AP70" s="1583"/>
      <c r="AQ70" s="1583"/>
      <c r="AR70" s="1583"/>
      <c r="AS70" s="1583"/>
      <c r="AT70" s="1583"/>
      <c r="AU70" s="1583"/>
      <c r="AV70" s="1583"/>
      <c r="AW70" s="1583"/>
      <c r="AX70" s="1588"/>
      <c r="AY70" s="1588"/>
      <c r="AZ70" s="1588"/>
      <c r="BA70" s="1588"/>
      <c r="BB70" s="1588"/>
      <c r="BC70" s="1588"/>
      <c r="BD70" s="1588"/>
      <c r="BE70" s="1588"/>
      <c r="BF70" s="1588"/>
      <c r="BG70" s="1393"/>
    </row>
    <row r="71" ht="16.8" spans="1:49">
      <c r="A71" s="1353"/>
      <c r="F71" s="1480"/>
      <c r="G71" s="1481"/>
      <c r="H71" s="1483" t="s">
        <v>3640</v>
      </c>
      <c r="I71" s="1483"/>
      <c r="J71" s="1483"/>
      <c r="K71" s="1483" t="s">
        <v>3641</v>
      </c>
      <c r="L71" s="1483"/>
      <c r="M71" s="1483">
        <v>3</v>
      </c>
      <c r="N71" s="1483"/>
      <c r="O71" s="1494" t="s">
        <v>3642</v>
      </c>
      <c r="P71" s="1495"/>
      <c r="Q71" s="1495"/>
      <c r="R71" s="3461" t="s">
        <v>3643</v>
      </c>
      <c r="U71" s="1533"/>
      <c r="V71" s="1534"/>
      <c r="W71" s="1534"/>
      <c r="X71" s="1534"/>
      <c r="Y71" s="1534"/>
      <c r="Z71" s="1534"/>
      <c r="AA71" s="1534"/>
      <c r="AB71" s="1534"/>
      <c r="AC71" s="1534"/>
      <c r="AD71" s="1534"/>
      <c r="AE71" s="1534"/>
      <c r="AF71" s="1534"/>
      <c r="AG71" s="1534"/>
      <c r="AH71" s="1534"/>
      <c r="AI71" s="1534"/>
      <c r="AJ71" s="1574"/>
      <c r="AN71" s="1583"/>
      <c r="AO71" s="1583"/>
      <c r="AP71" s="1583"/>
      <c r="AQ71" s="1583"/>
      <c r="AR71" s="1583"/>
      <c r="AS71" s="1583"/>
      <c r="AT71" s="1583"/>
      <c r="AU71" s="1583"/>
      <c r="AV71" s="1583"/>
      <c r="AW71" s="1583"/>
    </row>
    <row r="72" ht="16.8" spans="1:49">
      <c r="A72" s="1353"/>
      <c r="F72" s="1480"/>
      <c r="G72" s="1481"/>
      <c r="H72" s="1482" t="s">
        <v>3644</v>
      </c>
      <c r="I72" s="1482"/>
      <c r="J72" s="1482"/>
      <c r="K72" s="1482" t="s">
        <v>3645</v>
      </c>
      <c r="L72" s="1482"/>
      <c r="M72" s="1482">
        <v>4</v>
      </c>
      <c r="N72" s="1482"/>
      <c r="O72" s="1492" t="s">
        <v>3646</v>
      </c>
      <c r="P72" s="1493"/>
      <c r="Q72" s="1493"/>
      <c r="R72" s="3460" t="s">
        <v>3647</v>
      </c>
      <c r="U72" s="1533"/>
      <c r="V72" s="1534"/>
      <c r="W72" s="1534"/>
      <c r="X72" s="1534"/>
      <c r="Y72" s="1534"/>
      <c r="Z72" s="1534"/>
      <c r="AA72" s="1534"/>
      <c r="AB72" s="1534"/>
      <c r="AC72" s="1534"/>
      <c r="AD72" s="1534"/>
      <c r="AE72" s="1534"/>
      <c r="AF72" s="1534"/>
      <c r="AG72" s="1534"/>
      <c r="AH72" s="1534"/>
      <c r="AI72" s="1534"/>
      <c r="AJ72" s="1574"/>
      <c r="AN72" s="1583"/>
      <c r="AO72" s="1583"/>
      <c r="AP72" s="1583"/>
      <c r="AQ72" s="1583"/>
      <c r="AR72" s="1583"/>
      <c r="AS72" s="1583"/>
      <c r="AT72" s="1583"/>
      <c r="AU72" s="1583"/>
      <c r="AV72" s="1583"/>
      <c r="AW72" s="1583"/>
    </row>
    <row r="73" ht="17.55" spans="1:49">
      <c r="A73" s="1353"/>
      <c r="F73" s="1485"/>
      <c r="G73" s="1486"/>
      <c r="H73" s="1487" t="s">
        <v>3648</v>
      </c>
      <c r="I73" s="1487"/>
      <c r="J73" s="1487"/>
      <c r="K73" s="1487" t="s">
        <v>3649</v>
      </c>
      <c r="L73" s="1487"/>
      <c r="M73" s="1487">
        <v>5</v>
      </c>
      <c r="N73" s="1487"/>
      <c r="O73" s="1498" t="s">
        <v>3650</v>
      </c>
      <c r="P73" s="1499"/>
      <c r="Q73" s="1499"/>
      <c r="R73" s="3462" t="s">
        <v>3651</v>
      </c>
      <c r="U73" s="1535" t="s">
        <v>3652</v>
      </c>
      <c r="V73" s="1536"/>
      <c r="W73" s="1540" t="s">
        <v>3653</v>
      </c>
      <c r="X73" s="1536"/>
      <c r="Y73" s="1536"/>
      <c r="Z73" s="1536"/>
      <c r="AA73" s="1536"/>
      <c r="AB73" s="1536"/>
      <c r="AC73" s="1536"/>
      <c r="AD73" s="1536"/>
      <c r="AE73" s="1536"/>
      <c r="AF73" s="1536"/>
      <c r="AG73" s="1536"/>
      <c r="AH73" s="1536"/>
      <c r="AI73" s="1536"/>
      <c r="AJ73" s="1576"/>
      <c r="AN73" s="1583"/>
      <c r="AO73" s="1583"/>
      <c r="AP73" s="1583"/>
      <c r="AQ73" s="1583"/>
      <c r="AR73" s="1583"/>
      <c r="AS73" s="1583"/>
      <c r="AT73" s="1583"/>
      <c r="AU73" s="1583"/>
      <c r="AV73" s="1583"/>
      <c r="AW73" s="1583"/>
    </row>
    <row r="74" ht="18.35" spans="1:49">
      <c r="A74" s="1353"/>
      <c r="F74" s="1488" t="s">
        <v>3654</v>
      </c>
      <c r="G74" s="1488"/>
      <c r="H74" s="1488"/>
      <c r="I74" s="1488"/>
      <c r="J74" s="1488"/>
      <c r="K74" s="1488"/>
      <c r="L74" s="1488"/>
      <c r="M74" s="1488"/>
      <c r="N74" s="1488"/>
      <c r="U74" s="1541"/>
      <c r="V74" s="1536"/>
      <c r="W74" s="1536"/>
      <c r="X74" s="1536"/>
      <c r="Y74" s="1536"/>
      <c r="Z74" s="1536"/>
      <c r="AA74" s="1536"/>
      <c r="AB74" s="1536"/>
      <c r="AC74" s="1536"/>
      <c r="AD74" s="1536"/>
      <c r="AE74" s="1536"/>
      <c r="AF74" s="1536"/>
      <c r="AG74" s="1536"/>
      <c r="AH74" s="1536"/>
      <c r="AI74" s="1536"/>
      <c r="AJ74" s="1576"/>
      <c r="AN74" s="1393"/>
      <c r="AO74" s="1393"/>
      <c r="AP74" s="1393"/>
      <c r="AQ74" s="1393"/>
      <c r="AR74" s="1393"/>
      <c r="AS74" s="1393"/>
      <c r="AT74" s="1393"/>
      <c r="AU74" s="1393"/>
      <c r="AV74" s="1393"/>
      <c r="AW74" s="1393"/>
    </row>
    <row r="75" spans="1:49">
      <c r="A75" s="1353"/>
      <c r="F75" s="1488"/>
      <c r="G75" s="1488"/>
      <c r="H75" s="1488"/>
      <c r="I75" s="1488"/>
      <c r="J75" s="1488"/>
      <c r="K75" s="1488"/>
      <c r="L75" s="1488"/>
      <c r="M75" s="1488"/>
      <c r="N75" s="1488"/>
      <c r="U75" s="1535"/>
      <c r="V75" s="1536"/>
      <c r="W75" s="1536"/>
      <c r="X75" s="1536"/>
      <c r="Y75" s="1536"/>
      <c r="Z75" s="1536"/>
      <c r="AA75" s="1536"/>
      <c r="AB75" s="1536"/>
      <c r="AC75" s="1536"/>
      <c r="AD75" s="1536"/>
      <c r="AE75" s="1536"/>
      <c r="AF75" s="1536"/>
      <c r="AG75" s="1536"/>
      <c r="AH75" s="1536"/>
      <c r="AI75" s="1536"/>
      <c r="AJ75" s="1576"/>
      <c r="AO75" s="1588"/>
      <c r="AP75" s="1588"/>
      <c r="AQ75" s="1588"/>
      <c r="AR75" s="1588"/>
      <c r="AS75" s="1588"/>
      <c r="AT75" s="1588"/>
      <c r="AU75" s="1588"/>
      <c r="AV75" s="1588"/>
      <c r="AW75" s="1588"/>
    </row>
    <row r="76" spans="1:49">
      <c r="A76" s="1353"/>
      <c r="G76" s="1393"/>
      <c r="H76" s="1393"/>
      <c r="U76" s="1533" t="s">
        <v>3655</v>
      </c>
      <c r="V76" s="1534"/>
      <c r="W76" s="1539" t="s">
        <v>3656</v>
      </c>
      <c r="X76" s="1534"/>
      <c r="Y76" s="1534"/>
      <c r="Z76" s="1534"/>
      <c r="AA76" s="1534"/>
      <c r="AB76" s="1534"/>
      <c r="AC76" s="1534"/>
      <c r="AD76" s="1534"/>
      <c r="AE76" s="1534"/>
      <c r="AF76" s="1534"/>
      <c r="AG76" s="1534"/>
      <c r="AH76" s="1534"/>
      <c r="AI76" s="1534"/>
      <c r="AJ76" s="1574"/>
      <c r="AO76" s="1588"/>
      <c r="AP76" s="1588"/>
      <c r="AQ76" s="1588"/>
      <c r="AR76" s="1588"/>
      <c r="AS76" s="1588"/>
      <c r="AT76" s="1588"/>
      <c r="AU76" s="1588"/>
      <c r="AV76" s="1588"/>
      <c r="AW76" s="1588"/>
    </row>
    <row r="77" spans="1:49">
      <c r="A77" s="1353"/>
      <c r="U77" s="1533"/>
      <c r="V77" s="1534"/>
      <c r="W77" s="1534"/>
      <c r="X77" s="1534"/>
      <c r="Y77" s="1534"/>
      <c r="Z77" s="1534"/>
      <c r="AA77" s="1534"/>
      <c r="AB77" s="1534"/>
      <c r="AC77" s="1534"/>
      <c r="AD77" s="1534"/>
      <c r="AE77" s="1534"/>
      <c r="AF77" s="1534"/>
      <c r="AG77" s="1534"/>
      <c r="AH77" s="1534"/>
      <c r="AI77" s="1534"/>
      <c r="AJ77" s="1574"/>
      <c r="AO77" s="1588"/>
      <c r="AP77" s="1588"/>
      <c r="AQ77" s="1588"/>
      <c r="AR77" s="1588"/>
      <c r="AS77" s="1588"/>
      <c r="AT77" s="1588"/>
      <c r="AU77" s="1588"/>
      <c r="AV77" s="1588"/>
      <c r="AW77" s="1588"/>
    </row>
    <row r="78" spans="1:49">
      <c r="A78" s="1353"/>
      <c r="U78" s="1533"/>
      <c r="V78" s="1534"/>
      <c r="W78" s="1534"/>
      <c r="X78" s="1534"/>
      <c r="Y78" s="1534"/>
      <c r="Z78" s="1534"/>
      <c r="AA78" s="1534"/>
      <c r="AB78" s="1534"/>
      <c r="AC78" s="1534"/>
      <c r="AD78" s="1534"/>
      <c r="AE78" s="1534"/>
      <c r="AF78" s="1534"/>
      <c r="AG78" s="1534"/>
      <c r="AH78" s="1534"/>
      <c r="AI78" s="1534"/>
      <c r="AJ78" s="1574"/>
      <c r="AO78" s="1588"/>
      <c r="AP78" s="1588"/>
      <c r="AQ78" s="1588"/>
      <c r="AR78" s="1588"/>
      <c r="AS78" s="1588"/>
      <c r="AT78" s="1588"/>
      <c r="AU78" s="1588"/>
      <c r="AV78" s="1588"/>
      <c r="AW78" s="1588"/>
    </row>
    <row r="79" ht="16.8" spans="1:36">
      <c r="A79" s="1353"/>
      <c r="U79" s="1535" t="s">
        <v>3657</v>
      </c>
      <c r="V79" s="1536"/>
      <c r="W79" s="1540" t="s">
        <v>3658</v>
      </c>
      <c r="X79" s="1536"/>
      <c r="Y79" s="1536"/>
      <c r="Z79" s="1536"/>
      <c r="AA79" s="1536"/>
      <c r="AB79" s="1536"/>
      <c r="AC79" s="1536"/>
      <c r="AD79" s="1536"/>
      <c r="AE79" s="1536"/>
      <c r="AF79" s="1536"/>
      <c r="AG79" s="1536"/>
      <c r="AH79" s="1536"/>
      <c r="AI79" s="1536"/>
      <c r="AJ79" s="1576"/>
    </row>
    <row r="80" ht="16.8" spans="1:36">
      <c r="A80" s="1353"/>
      <c r="U80" s="1535"/>
      <c r="V80" s="1536"/>
      <c r="W80" s="1536"/>
      <c r="X80" s="1536"/>
      <c r="Y80" s="1536"/>
      <c r="Z80" s="1536"/>
      <c r="AA80" s="1536"/>
      <c r="AB80" s="1536"/>
      <c r="AC80" s="1536"/>
      <c r="AD80" s="1536"/>
      <c r="AE80" s="1536"/>
      <c r="AF80" s="1536"/>
      <c r="AG80" s="1536"/>
      <c r="AH80" s="1536"/>
      <c r="AI80" s="1536"/>
      <c r="AJ80" s="1576"/>
    </row>
    <row r="81" ht="16.8" spans="1:36">
      <c r="A81" s="1353"/>
      <c r="U81" s="1535"/>
      <c r="V81" s="1536"/>
      <c r="W81" s="1536"/>
      <c r="X81" s="1536"/>
      <c r="Y81" s="1536"/>
      <c r="Z81" s="1536"/>
      <c r="AA81" s="1536"/>
      <c r="AB81" s="1536"/>
      <c r="AC81" s="1536"/>
      <c r="AD81" s="1536"/>
      <c r="AE81" s="1536"/>
      <c r="AF81" s="1536"/>
      <c r="AG81" s="1536"/>
      <c r="AH81" s="1536"/>
      <c r="AI81" s="1536"/>
      <c r="AJ81" s="1576"/>
    </row>
    <row r="82" ht="16.8" spans="1:36">
      <c r="A82" s="1353"/>
      <c r="U82" s="1533" t="s">
        <v>3659</v>
      </c>
      <c r="V82" s="1534"/>
      <c r="W82" s="1534"/>
      <c r="X82" s="1534"/>
      <c r="Y82" s="1534"/>
      <c r="Z82" s="1534"/>
      <c r="AA82" s="1534"/>
      <c r="AB82" s="1534"/>
      <c r="AC82" s="1534"/>
      <c r="AD82" s="1534"/>
      <c r="AE82" s="1534"/>
      <c r="AF82" s="1534"/>
      <c r="AG82" s="1534"/>
      <c r="AH82" s="1534"/>
      <c r="AI82" s="1534"/>
      <c r="AJ82" s="1574"/>
    </row>
    <row r="83" ht="16.8" spans="1:36">
      <c r="A83" s="1353"/>
      <c r="U83" s="1533"/>
      <c r="V83" s="1534"/>
      <c r="W83" s="1534"/>
      <c r="X83" s="1534"/>
      <c r="Y83" s="1534"/>
      <c r="Z83" s="1534"/>
      <c r="AA83" s="1534"/>
      <c r="AB83" s="1534"/>
      <c r="AC83" s="1534"/>
      <c r="AD83" s="1534"/>
      <c r="AE83" s="1534"/>
      <c r="AF83" s="1534"/>
      <c r="AG83" s="1534"/>
      <c r="AH83" s="1534"/>
      <c r="AI83" s="1534"/>
      <c r="AJ83" s="1574"/>
    </row>
    <row r="84" ht="17.55" spans="1:36">
      <c r="A84" s="1456"/>
      <c r="U84" s="1542"/>
      <c r="V84" s="1543"/>
      <c r="W84" s="1543"/>
      <c r="X84" s="1543"/>
      <c r="Y84" s="1543"/>
      <c r="Z84" s="1543"/>
      <c r="AA84" s="1543"/>
      <c r="AB84" s="1543"/>
      <c r="AC84" s="1543"/>
      <c r="AD84" s="1543"/>
      <c r="AE84" s="1543"/>
      <c r="AF84" s="1543"/>
      <c r="AG84" s="1543"/>
      <c r="AH84" s="1543"/>
      <c r="AI84" s="1543"/>
      <c r="AJ84" s="1577"/>
    </row>
    <row r="85" ht="18.3"/>
    <row r="86" spans="2:47">
      <c r="B86" s="1135" t="s">
        <v>3660</v>
      </c>
      <c r="C86" s="1136"/>
      <c r="D86" s="1136"/>
      <c r="E86" s="1136"/>
      <c r="F86" s="1136"/>
      <c r="G86" s="1136"/>
      <c r="H86" s="1136"/>
      <c r="I86" s="1136"/>
      <c r="J86" s="1136"/>
      <c r="K86" s="1136"/>
      <c r="L86" s="1136"/>
      <c r="M86" s="1136"/>
      <c r="N86" s="1136"/>
      <c r="O86" s="1136"/>
      <c r="P86" s="1136"/>
      <c r="Q86" s="1136"/>
      <c r="R86" s="1136"/>
      <c r="S86" s="1136"/>
      <c r="T86" s="1136"/>
      <c r="U86" s="1136"/>
      <c r="V86" s="1136"/>
      <c r="W86" s="1136"/>
      <c r="X86" s="1136"/>
      <c r="Y86" s="1136"/>
      <c r="Z86" s="1136"/>
      <c r="AA86" s="1136"/>
      <c r="AB86" s="1136"/>
      <c r="AC86" s="1136"/>
      <c r="AD86" s="1136"/>
      <c r="AE86" s="1136"/>
      <c r="AF86" s="1136"/>
      <c r="AG86" s="1136"/>
      <c r="AH86" s="1136"/>
      <c r="AI86" s="1136"/>
      <c r="AJ86" s="1136"/>
      <c r="AK86" s="1136"/>
      <c r="AL86" s="1136"/>
      <c r="AM86" s="1136"/>
      <c r="AN86" s="1136"/>
      <c r="AO86" s="1136"/>
      <c r="AP86" s="1136"/>
      <c r="AQ86" s="1136"/>
      <c r="AR86" s="1136"/>
      <c r="AS86" s="1136"/>
      <c r="AT86" s="1136"/>
      <c r="AU86" s="1232"/>
    </row>
    <row r="87" spans="2:47">
      <c r="B87" s="1137"/>
      <c r="C87" s="1138"/>
      <c r="D87" s="1138"/>
      <c r="E87" s="1138"/>
      <c r="F87" s="1138"/>
      <c r="G87" s="1138"/>
      <c r="H87" s="1138"/>
      <c r="I87" s="1138"/>
      <c r="J87" s="1138"/>
      <c r="K87" s="1138"/>
      <c r="L87" s="1138"/>
      <c r="M87" s="1138"/>
      <c r="N87" s="1138"/>
      <c r="O87" s="1138"/>
      <c r="P87" s="1138"/>
      <c r="Q87" s="1138"/>
      <c r="R87" s="1138"/>
      <c r="S87" s="1138"/>
      <c r="T87" s="1138"/>
      <c r="U87" s="1138"/>
      <c r="V87" s="1138"/>
      <c r="W87" s="1138"/>
      <c r="X87" s="1138"/>
      <c r="Y87" s="1138"/>
      <c r="Z87" s="1138"/>
      <c r="AA87" s="1138"/>
      <c r="AB87" s="1138"/>
      <c r="AC87" s="1138"/>
      <c r="AD87" s="1138"/>
      <c r="AE87" s="1138"/>
      <c r="AF87" s="1138"/>
      <c r="AG87" s="1138"/>
      <c r="AH87" s="1138"/>
      <c r="AI87" s="1138"/>
      <c r="AJ87" s="1138"/>
      <c r="AK87" s="1138"/>
      <c r="AL87" s="1138"/>
      <c r="AM87" s="1138"/>
      <c r="AN87" s="1138"/>
      <c r="AO87" s="1138"/>
      <c r="AP87" s="1138"/>
      <c r="AQ87" s="1138"/>
      <c r="AR87" s="1138"/>
      <c r="AS87" s="1138"/>
      <c r="AT87" s="1138"/>
      <c r="AU87" s="1234"/>
    </row>
    <row r="88" spans="2:47">
      <c r="B88" s="1140"/>
      <c r="C88" s="1141"/>
      <c r="D88" s="1141"/>
      <c r="E88" s="1141"/>
      <c r="F88" s="1141"/>
      <c r="G88" s="1141"/>
      <c r="H88" s="1141"/>
      <c r="I88" s="1141"/>
      <c r="J88" s="1141"/>
      <c r="K88" s="1141"/>
      <c r="L88" s="1141"/>
      <c r="M88" s="1141"/>
      <c r="N88" s="1141"/>
      <c r="O88" s="1141"/>
      <c r="P88" s="1141"/>
      <c r="Q88" s="1141"/>
      <c r="R88" s="1141"/>
      <c r="S88" s="1141"/>
      <c r="T88" s="1141"/>
      <c r="U88" s="1141"/>
      <c r="V88" s="1141"/>
      <c r="W88" s="1141"/>
      <c r="X88" s="1141"/>
      <c r="Y88" s="1141"/>
      <c r="Z88" s="1141"/>
      <c r="AA88" s="1141"/>
      <c r="AB88" s="1141"/>
      <c r="AC88" s="1141"/>
      <c r="AD88" s="1141"/>
      <c r="AE88" s="1141"/>
      <c r="AF88" s="1141"/>
      <c r="AG88" s="1141"/>
      <c r="AH88" s="1141"/>
      <c r="AI88" s="1141"/>
      <c r="AJ88" s="1141"/>
      <c r="AK88" s="1141"/>
      <c r="AL88" s="1141"/>
      <c r="AM88" s="1141"/>
      <c r="AN88" s="1141"/>
      <c r="AO88" s="1141"/>
      <c r="AP88" s="1141"/>
      <c r="AQ88" s="1141"/>
      <c r="AR88" s="1141"/>
      <c r="AS88" s="1141"/>
      <c r="AT88" s="1141"/>
      <c r="AU88" s="1235"/>
    </row>
    <row r="89" ht="18.35" spans="2:47">
      <c r="B89" s="1457"/>
      <c r="C89" s="1457"/>
      <c r="D89" s="1457"/>
      <c r="E89" s="1457"/>
      <c r="F89" s="1457"/>
      <c r="G89" s="1457"/>
      <c r="H89" s="1457"/>
      <c r="I89" s="1457"/>
      <c r="J89" s="1457"/>
      <c r="K89" s="1457"/>
      <c r="L89" s="1457"/>
      <c r="M89" s="1457"/>
      <c r="N89" s="1457"/>
      <c r="O89" s="1457"/>
      <c r="P89" s="1457"/>
      <c r="Q89" s="1457"/>
      <c r="R89" s="1457"/>
      <c r="S89" s="1457"/>
      <c r="T89" s="1457"/>
      <c r="U89" s="1457"/>
      <c r="V89" s="1457"/>
      <c r="W89" s="1457"/>
      <c r="X89" s="1457"/>
      <c r="Y89" s="1457"/>
      <c r="Z89" s="1457"/>
      <c r="AA89" s="1457"/>
      <c r="AB89" s="1457"/>
      <c r="AC89" s="1457"/>
      <c r="AD89" s="1457"/>
      <c r="AE89" s="1457"/>
      <c r="AF89" s="1457"/>
      <c r="AG89" s="1457"/>
      <c r="AH89" s="1457"/>
      <c r="AI89" s="1457"/>
      <c r="AJ89" s="1457"/>
      <c r="AK89" s="1457"/>
      <c r="AL89" s="1457"/>
      <c r="AM89" s="1457"/>
      <c r="AN89" s="1457"/>
      <c r="AO89" s="1457"/>
      <c r="AP89" s="1457"/>
      <c r="AQ89" s="1457"/>
      <c r="AR89" s="1457"/>
      <c r="AS89" s="1457"/>
      <c r="AT89" s="1457"/>
      <c r="AU89" s="1457"/>
    </row>
    <row r="90" ht="18" customHeight="1" spans="2:47">
      <c r="B90" s="1458" t="s">
        <v>3661</v>
      </c>
      <c r="C90" s="1459"/>
      <c r="D90" s="1459"/>
      <c r="E90" s="1459"/>
      <c r="F90" s="1459"/>
      <c r="G90" s="1459"/>
      <c r="H90" s="1459"/>
      <c r="I90" s="1459"/>
      <c r="J90" s="1459"/>
      <c r="K90" s="1459"/>
      <c r="L90" s="1459"/>
      <c r="M90" s="1459"/>
      <c r="N90" s="1459"/>
      <c r="O90" s="1459"/>
      <c r="P90" s="1459"/>
      <c r="Q90" s="1459"/>
      <c r="R90" s="1459"/>
      <c r="S90" s="1459"/>
      <c r="T90" s="1459"/>
      <c r="U90" s="1459"/>
      <c r="V90" s="1459"/>
      <c r="W90" s="1511"/>
      <c r="X90" s="1457"/>
      <c r="Y90" s="1457"/>
      <c r="Z90" s="1458" t="s">
        <v>3662</v>
      </c>
      <c r="AA90" s="1459"/>
      <c r="AB90" s="1459"/>
      <c r="AC90" s="1459"/>
      <c r="AD90" s="1459"/>
      <c r="AE90" s="1459"/>
      <c r="AF90" s="1459"/>
      <c r="AG90" s="1459"/>
      <c r="AH90" s="1459"/>
      <c r="AI90" s="1459"/>
      <c r="AJ90" s="1459"/>
      <c r="AK90" s="1459"/>
      <c r="AL90" s="1459"/>
      <c r="AM90" s="1459"/>
      <c r="AN90" s="1459"/>
      <c r="AO90" s="1459"/>
      <c r="AP90" s="1459"/>
      <c r="AQ90" s="1459"/>
      <c r="AR90" s="1459"/>
      <c r="AS90" s="1459"/>
      <c r="AT90" s="1459"/>
      <c r="AU90" s="1511"/>
    </row>
    <row r="91" ht="18" customHeight="1" spans="2:47">
      <c r="B91" s="1460"/>
      <c r="C91" s="1461"/>
      <c r="D91" s="1461"/>
      <c r="E91" s="1461"/>
      <c r="F91" s="1461"/>
      <c r="G91" s="1461"/>
      <c r="H91" s="1461"/>
      <c r="I91" s="1461"/>
      <c r="J91" s="1461"/>
      <c r="K91" s="1461"/>
      <c r="L91" s="1461"/>
      <c r="M91" s="1461"/>
      <c r="N91" s="1461"/>
      <c r="O91" s="1461"/>
      <c r="P91" s="1461"/>
      <c r="Q91" s="1461"/>
      <c r="R91" s="1461"/>
      <c r="S91" s="1461"/>
      <c r="T91" s="1461"/>
      <c r="U91" s="1461"/>
      <c r="V91" s="1461"/>
      <c r="W91" s="1512"/>
      <c r="X91" s="1457"/>
      <c r="Y91" s="1457"/>
      <c r="Z91" s="1460"/>
      <c r="AA91" s="1461"/>
      <c r="AB91" s="1461"/>
      <c r="AC91" s="1461"/>
      <c r="AD91" s="1461"/>
      <c r="AE91" s="1461"/>
      <c r="AF91" s="1461"/>
      <c r="AG91" s="1461"/>
      <c r="AH91" s="1461"/>
      <c r="AI91" s="1461"/>
      <c r="AJ91" s="1461"/>
      <c r="AK91" s="1461"/>
      <c r="AL91" s="1461"/>
      <c r="AM91" s="1461"/>
      <c r="AN91" s="1461"/>
      <c r="AO91" s="1461"/>
      <c r="AP91" s="1461"/>
      <c r="AQ91" s="1461"/>
      <c r="AR91" s="1461"/>
      <c r="AS91" s="1461"/>
      <c r="AT91" s="1461"/>
      <c r="AU91" s="1512"/>
    </row>
    <row r="92" spans="2:52">
      <c r="B92" s="1462" t="s">
        <v>3663</v>
      </c>
      <c r="C92" s="1463"/>
      <c r="D92" s="1463"/>
      <c r="E92" s="1463"/>
      <c r="F92" s="1463"/>
      <c r="G92" s="1463"/>
      <c r="H92" s="1463"/>
      <c r="I92" s="1463"/>
      <c r="J92" s="1463"/>
      <c r="K92" s="1463"/>
      <c r="L92" s="1463"/>
      <c r="M92" s="1500" t="s">
        <v>3664</v>
      </c>
      <c r="N92" s="1501"/>
      <c r="O92" s="1501"/>
      <c r="P92" s="1501"/>
      <c r="Q92" s="1501"/>
      <c r="R92" s="1501"/>
      <c r="S92" s="1501"/>
      <c r="T92" s="1501"/>
      <c r="U92" s="1501"/>
      <c r="V92" s="1501"/>
      <c r="W92" s="1544"/>
      <c r="X92" s="1457"/>
      <c r="Y92" s="1457"/>
      <c r="Z92" s="1554" t="s">
        <v>3665</v>
      </c>
      <c r="AA92" s="1555"/>
      <c r="AB92" s="1555"/>
      <c r="AC92" s="1555"/>
      <c r="AD92" s="1555"/>
      <c r="AE92" s="1555"/>
      <c r="AF92" s="1555"/>
      <c r="AG92" s="1555"/>
      <c r="AH92" s="1555"/>
      <c r="AI92" s="1555"/>
      <c r="AJ92" s="1555"/>
      <c r="AK92" s="1584"/>
      <c r="AL92" s="1584"/>
      <c r="AM92" s="1555"/>
      <c r="AN92" s="1555"/>
      <c r="AO92" s="1555"/>
      <c r="AP92" s="1589"/>
      <c r="AQ92" s="1555"/>
      <c r="AR92" s="1555"/>
      <c r="AS92" s="1555"/>
      <c r="AT92" s="1589"/>
      <c r="AU92" s="1590"/>
      <c r="AX92" s="1393"/>
      <c r="AY92" s="1393"/>
      <c r="AZ92" s="1393"/>
    </row>
    <row r="93" spans="2:52">
      <c r="B93" s="1464"/>
      <c r="C93" s="1465"/>
      <c r="D93" s="1465"/>
      <c r="E93" s="1465"/>
      <c r="F93" s="1465"/>
      <c r="G93" s="1465"/>
      <c r="H93" s="1465"/>
      <c r="I93" s="1465"/>
      <c r="J93" s="1465"/>
      <c r="K93" s="1465"/>
      <c r="L93" s="1465"/>
      <c r="M93" s="1502"/>
      <c r="N93" s="1503"/>
      <c r="O93" s="1503"/>
      <c r="P93" s="1503"/>
      <c r="Q93" s="1503"/>
      <c r="R93" s="1503"/>
      <c r="S93" s="1503"/>
      <c r="T93" s="1503"/>
      <c r="U93" s="1503"/>
      <c r="V93" s="1503"/>
      <c r="W93" s="1545"/>
      <c r="X93" s="1457"/>
      <c r="Y93" s="1457"/>
      <c r="Z93" s="1462" t="s">
        <v>3666</v>
      </c>
      <c r="AA93" s="1501"/>
      <c r="AB93" s="1501"/>
      <c r="AC93" s="1501"/>
      <c r="AD93" s="1501"/>
      <c r="AE93" s="1501"/>
      <c r="AF93" s="1501"/>
      <c r="AG93" s="1501"/>
      <c r="AH93" s="1501"/>
      <c r="AI93" s="1501"/>
      <c r="AJ93" s="1501"/>
      <c r="AK93" s="1500" t="s">
        <v>3667</v>
      </c>
      <c r="AL93" s="1501"/>
      <c r="AM93" s="1501"/>
      <c r="AN93" s="1501"/>
      <c r="AO93" s="1501"/>
      <c r="AP93" s="1501"/>
      <c r="AQ93" s="1501"/>
      <c r="AR93" s="1501"/>
      <c r="AS93" s="1501"/>
      <c r="AT93" s="1501"/>
      <c r="AU93" s="1544"/>
      <c r="AX93" s="1393"/>
      <c r="AY93" s="1393"/>
      <c r="AZ93" s="1393"/>
    </row>
    <row r="94" spans="2:52">
      <c r="B94" s="1464"/>
      <c r="C94" s="1465"/>
      <c r="D94" s="1465"/>
      <c r="E94" s="1465"/>
      <c r="F94" s="1465"/>
      <c r="G94" s="1465"/>
      <c r="H94" s="1465"/>
      <c r="I94" s="1465"/>
      <c r="J94" s="1465"/>
      <c r="K94" s="1465"/>
      <c r="L94" s="1465"/>
      <c r="M94" s="1500" t="s">
        <v>3668</v>
      </c>
      <c r="N94" s="1501"/>
      <c r="O94" s="1501"/>
      <c r="P94" s="1501"/>
      <c r="Q94" s="1501"/>
      <c r="R94" s="1501"/>
      <c r="S94" s="1501"/>
      <c r="T94" s="1501"/>
      <c r="U94" s="1501"/>
      <c r="V94" s="1501"/>
      <c r="W94" s="1544"/>
      <c r="X94" s="1457"/>
      <c r="Y94" s="1457"/>
      <c r="Z94" s="1556"/>
      <c r="AA94" s="1457"/>
      <c r="AB94" s="1457"/>
      <c r="AC94" s="1457"/>
      <c r="AD94" s="1457"/>
      <c r="AE94" s="1457"/>
      <c r="AF94" s="1457"/>
      <c r="AG94" s="1457"/>
      <c r="AH94" s="1457"/>
      <c r="AI94" s="1457"/>
      <c r="AJ94" s="1457"/>
      <c r="AK94" s="1585"/>
      <c r="AL94" s="1457"/>
      <c r="AM94" s="1457"/>
      <c r="AN94" s="1457"/>
      <c r="AO94" s="1457"/>
      <c r="AP94" s="1457"/>
      <c r="AQ94" s="1457"/>
      <c r="AR94" s="1457"/>
      <c r="AS94" s="1457"/>
      <c r="AT94" s="1457"/>
      <c r="AU94" s="1591"/>
      <c r="AX94" s="1393"/>
      <c r="AY94" s="1393"/>
      <c r="AZ94" s="1393"/>
    </row>
    <row r="95" spans="2:52">
      <c r="B95" s="1464"/>
      <c r="C95" s="1465"/>
      <c r="D95" s="1465"/>
      <c r="E95" s="1465"/>
      <c r="F95" s="1465"/>
      <c r="G95" s="1465"/>
      <c r="H95" s="1465"/>
      <c r="I95" s="1465"/>
      <c r="J95" s="1465"/>
      <c r="K95" s="1465"/>
      <c r="L95" s="1465"/>
      <c r="M95" s="1502"/>
      <c r="N95" s="1503"/>
      <c r="O95" s="1503"/>
      <c r="P95" s="1503"/>
      <c r="Q95" s="1503"/>
      <c r="R95" s="1503"/>
      <c r="S95" s="1503"/>
      <c r="T95" s="1503"/>
      <c r="U95" s="1503"/>
      <c r="V95" s="1503"/>
      <c r="W95" s="1545"/>
      <c r="X95" s="1457"/>
      <c r="Y95" s="1457"/>
      <c r="Z95" s="1556"/>
      <c r="AA95" s="1457"/>
      <c r="AB95" s="1457"/>
      <c r="AC95" s="1457"/>
      <c r="AD95" s="1457"/>
      <c r="AE95" s="1457"/>
      <c r="AF95" s="1457"/>
      <c r="AG95" s="1457"/>
      <c r="AH95" s="1457"/>
      <c r="AI95" s="1457"/>
      <c r="AJ95" s="1457"/>
      <c r="AK95" s="1585"/>
      <c r="AL95" s="1457"/>
      <c r="AM95" s="1457"/>
      <c r="AN95" s="1457"/>
      <c r="AO95" s="1457"/>
      <c r="AP95" s="1457"/>
      <c r="AQ95" s="1457"/>
      <c r="AR95" s="1457"/>
      <c r="AS95" s="1457"/>
      <c r="AT95" s="1457"/>
      <c r="AU95" s="1591"/>
      <c r="AX95" s="1393"/>
      <c r="AY95" s="1393"/>
      <c r="AZ95" s="1393"/>
    </row>
    <row r="96" ht="18.35" spans="2:52">
      <c r="B96" s="1464"/>
      <c r="C96" s="1465"/>
      <c r="D96" s="1465"/>
      <c r="E96" s="1465"/>
      <c r="F96" s="1465"/>
      <c r="G96" s="1465"/>
      <c r="H96" s="1465"/>
      <c r="I96" s="1465"/>
      <c r="J96" s="1465"/>
      <c r="K96" s="1465"/>
      <c r="L96" s="1465"/>
      <c r="M96" s="1504" t="s">
        <v>3669</v>
      </c>
      <c r="N96" s="1505"/>
      <c r="O96" s="1505"/>
      <c r="P96" s="1505"/>
      <c r="Q96" s="1505"/>
      <c r="R96" s="1505"/>
      <c r="S96" s="1505"/>
      <c r="T96" s="1505"/>
      <c r="U96" s="1505"/>
      <c r="V96" s="1505"/>
      <c r="W96" s="1546"/>
      <c r="X96" s="1457"/>
      <c r="Y96" s="1457"/>
      <c r="Z96" s="1557"/>
      <c r="AA96" s="1558"/>
      <c r="AB96" s="1558"/>
      <c r="AC96" s="1558"/>
      <c r="AD96" s="1558"/>
      <c r="AE96" s="1558"/>
      <c r="AF96" s="1558"/>
      <c r="AG96" s="1558"/>
      <c r="AH96" s="1558"/>
      <c r="AI96" s="1558"/>
      <c r="AJ96" s="1578"/>
      <c r="AK96" s="1509"/>
      <c r="AL96" s="1510"/>
      <c r="AM96" s="1510"/>
      <c r="AN96" s="1510"/>
      <c r="AO96" s="1510"/>
      <c r="AP96" s="1510"/>
      <c r="AQ96" s="1510"/>
      <c r="AR96" s="1510"/>
      <c r="AS96" s="1510"/>
      <c r="AT96" s="1510"/>
      <c r="AU96" s="1549"/>
      <c r="AX96" s="1393"/>
      <c r="AY96" s="1393"/>
      <c r="AZ96" s="1393"/>
    </row>
    <row r="97" spans="2:52">
      <c r="B97" s="1464"/>
      <c r="C97" s="1465"/>
      <c r="D97" s="1465"/>
      <c r="E97" s="1465"/>
      <c r="F97" s="1465"/>
      <c r="G97" s="1465"/>
      <c r="H97" s="1465"/>
      <c r="I97" s="1465"/>
      <c r="J97" s="1465"/>
      <c r="K97" s="1465"/>
      <c r="L97" s="1465"/>
      <c r="M97" s="1506"/>
      <c r="N97" s="1507"/>
      <c r="O97" s="1507"/>
      <c r="P97" s="1507"/>
      <c r="Q97" s="1507"/>
      <c r="R97" s="1507"/>
      <c r="S97" s="1507"/>
      <c r="T97" s="1507"/>
      <c r="U97" s="1507"/>
      <c r="V97" s="1507"/>
      <c r="W97" s="1547"/>
      <c r="X97" s="1457"/>
      <c r="Y97" s="1457"/>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X97" s="1393"/>
      <c r="AY97" s="1393"/>
      <c r="AZ97" s="1393"/>
    </row>
    <row r="98" ht="28.8" spans="2:52">
      <c r="B98" s="1464"/>
      <c r="C98" s="1465"/>
      <c r="D98" s="1465"/>
      <c r="E98" s="1465"/>
      <c r="F98" s="1465"/>
      <c r="G98" s="1465"/>
      <c r="H98" s="1465"/>
      <c r="I98" s="1465"/>
      <c r="J98" s="1465"/>
      <c r="K98" s="1465"/>
      <c r="L98" s="1465"/>
      <c r="M98" s="1500" t="s">
        <v>3670</v>
      </c>
      <c r="N98" s="1501"/>
      <c r="O98" s="1501"/>
      <c r="P98" s="1501"/>
      <c r="Q98" s="1501"/>
      <c r="R98" s="1501"/>
      <c r="S98" s="1501"/>
      <c r="T98" s="1501"/>
      <c r="U98" s="1501"/>
      <c r="V98" s="1501"/>
      <c r="W98" s="1544"/>
      <c r="X98" s="1457"/>
      <c r="Y98" s="1457"/>
      <c r="Z98" s="1559"/>
      <c r="AA98" s="1559"/>
      <c r="AB98" s="1559"/>
      <c r="AC98" s="1559"/>
      <c r="AD98" s="1559"/>
      <c r="AE98" s="1559"/>
      <c r="AF98" s="1559"/>
      <c r="AG98" s="1559"/>
      <c r="AH98" s="1579"/>
      <c r="AI98" s="1559"/>
      <c r="AJ98" s="1559"/>
      <c r="AK98" s="1559"/>
      <c r="AL98" s="1559"/>
      <c r="AM98" s="1559"/>
      <c r="AN98" s="1559"/>
      <c r="AO98" s="1559"/>
      <c r="AP98" s="1559"/>
      <c r="AQ98" s="1559"/>
      <c r="AR98" s="1559"/>
      <c r="AS98" s="1559"/>
      <c r="AT98" s="1559"/>
      <c r="AU98" s="1559"/>
      <c r="AV98" s="1453"/>
      <c r="AW98" s="1453"/>
      <c r="AX98" s="1393"/>
      <c r="AY98" s="1393"/>
      <c r="AZ98" s="1393"/>
    </row>
    <row r="99" ht="16" customHeight="1" spans="2:52">
      <c r="B99" s="1464"/>
      <c r="C99" s="1465"/>
      <c r="D99" s="1465"/>
      <c r="E99" s="1465"/>
      <c r="F99" s="1465"/>
      <c r="G99" s="1465"/>
      <c r="H99" s="1465"/>
      <c r="I99" s="1465"/>
      <c r="J99" s="1465"/>
      <c r="K99" s="1465"/>
      <c r="L99" s="1465"/>
      <c r="M99" s="1502"/>
      <c r="N99" s="1503"/>
      <c r="O99" s="1503"/>
      <c r="P99" s="1503"/>
      <c r="Q99" s="1503"/>
      <c r="R99" s="1503"/>
      <c r="S99" s="1503"/>
      <c r="T99" s="1503"/>
      <c r="U99" s="1503"/>
      <c r="V99" s="1503"/>
      <c r="W99" s="1545"/>
      <c r="X99" s="1457"/>
      <c r="Y99" s="1457"/>
      <c r="Z99" s="1559"/>
      <c r="AA99" s="1559"/>
      <c r="AB99" s="1559"/>
      <c r="AC99" s="1559"/>
      <c r="AD99" s="1559"/>
      <c r="AE99" s="1559"/>
      <c r="AF99" s="1559"/>
      <c r="AG99" s="1559"/>
      <c r="AH99" s="1579"/>
      <c r="AI99" s="1559"/>
      <c r="AJ99" s="1559"/>
      <c r="AK99" s="1559"/>
      <c r="AL99" s="1559"/>
      <c r="AM99" s="1559"/>
      <c r="AN99" s="1559"/>
      <c r="AO99" s="1559"/>
      <c r="AP99" s="1559"/>
      <c r="AQ99" s="1559"/>
      <c r="AR99" s="1559"/>
      <c r="AS99" s="1559"/>
      <c r="AT99" s="1559"/>
      <c r="AU99" s="1559"/>
      <c r="AV99" s="1453"/>
      <c r="AW99" s="1453"/>
      <c r="AX99" s="1560"/>
      <c r="AY99" s="1560"/>
      <c r="AZ99" s="1560"/>
    </row>
    <row r="100" ht="17" customHeight="1" spans="2:52">
      <c r="B100" s="1464"/>
      <c r="C100" s="1465"/>
      <c r="D100" s="1465"/>
      <c r="E100" s="1465"/>
      <c r="F100" s="1465"/>
      <c r="G100" s="1465"/>
      <c r="H100" s="1465"/>
      <c r="I100" s="1465"/>
      <c r="J100" s="1465"/>
      <c r="K100" s="1465"/>
      <c r="L100" s="1465"/>
      <c r="M100" s="1508" t="s">
        <v>3671</v>
      </c>
      <c r="N100" s="1501"/>
      <c r="O100" s="1501"/>
      <c r="P100" s="1501"/>
      <c r="Q100" s="1501"/>
      <c r="R100" s="1501"/>
      <c r="S100" s="1501"/>
      <c r="T100" s="1501"/>
      <c r="U100" s="1501"/>
      <c r="V100" s="1501"/>
      <c r="W100" s="1544"/>
      <c r="X100" s="1548"/>
      <c r="Y100" s="1548"/>
      <c r="Z100" s="1523"/>
      <c r="AA100" s="1523"/>
      <c r="AB100" s="1523"/>
      <c r="AC100" s="1523"/>
      <c r="AD100" s="1523"/>
      <c r="AE100" s="1523"/>
      <c r="AF100" s="1523"/>
      <c r="AG100" s="1523"/>
      <c r="AH100" s="1523"/>
      <c r="AI100" s="1523"/>
      <c r="AJ100" s="1523"/>
      <c r="AK100" s="1523"/>
      <c r="AL100" s="1523"/>
      <c r="AM100" s="1523"/>
      <c r="AN100" s="1523"/>
      <c r="AO100" s="1523"/>
      <c r="AP100" s="1523"/>
      <c r="AQ100" s="1523"/>
      <c r="AR100" s="1523"/>
      <c r="AS100" s="1523"/>
      <c r="AT100" s="1523"/>
      <c r="AU100" s="1523"/>
      <c r="AV100" s="1354"/>
      <c r="AW100" s="1354"/>
      <c r="AX100" s="1560"/>
      <c r="AY100" s="1560"/>
      <c r="AZ100" s="1560"/>
    </row>
    <row r="101" ht="18.35" spans="2:52">
      <c r="B101" s="1466"/>
      <c r="C101" s="1467"/>
      <c r="D101" s="1467"/>
      <c r="E101" s="1467"/>
      <c r="F101" s="1467"/>
      <c r="G101" s="1467"/>
      <c r="H101" s="1467"/>
      <c r="I101" s="1467"/>
      <c r="J101" s="1467"/>
      <c r="K101" s="1467"/>
      <c r="L101" s="1467"/>
      <c r="M101" s="1509"/>
      <c r="N101" s="1510"/>
      <c r="O101" s="1510"/>
      <c r="P101" s="1510"/>
      <c r="Q101" s="1510"/>
      <c r="R101" s="1510"/>
      <c r="S101" s="1510"/>
      <c r="T101" s="1510"/>
      <c r="U101" s="1510"/>
      <c r="V101" s="1510"/>
      <c r="W101" s="1549"/>
      <c r="X101" s="1548"/>
      <c r="Y101" s="1548"/>
      <c r="Z101" s="1523"/>
      <c r="AA101" s="1523"/>
      <c r="AB101" s="1523"/>
      <c r="AC101" s="1523"/>
      <c r="AD101" s="1523"/>
      <c r="AE101" s="1523"/>
      <c r="AF101" s="1523"/>
      <c r="AG101" s="1523"/>
      <c r="AH101" s="1523"/>
      <c r="AI101" s="1523"/>
      <c r="AJ101" s="1523"/>
      <c r="AK101" s="1523"/>
      <c r="AL101" s="1523"/>
      <c r="AM101" s="1523"/>
      <c r="AN101" s="1523"/>
      <c r="AO101" s="1523"/>
      <c r="AP101" s="1523"/>
      <c r="AQ101" s="1523"/>
      <c r="AR101" s="1523"/>
      <c r="AS101" s="1523"/>
      <c r="AT101" s="1523"/>
      <c r="AU101" s="1523"/>
      <c r="AV101" s="1354"/>
      <c r="AW101" s="1354"/>
      <c r="AX101" s="18"/>
      <c r="AY101" s="18"/>
      <c r="AZ101" s="18"/>
    </row>
    <row r="102" ht="18.35" spans="2:52">
      <c r="B102" s="1457"/>
      <c r="C102" s="1457"/>
      <c r="D102" s="1457"/>
      <c r="E102" s="1457"/>
      <c r="F102" s="1457"/>
      <c r="G102" s="1457"/>
      <c r="H102" s="1457"/>
      <c r="I102" s="1457"/>
      <c r="J102" s="1457"/>
      <c r="K102" s="1457"/>
      <c r="L102" s="1457"/>
      <c r="M102" s="1457"/>
      <c r="N102" s="1457"/>
      <c r="O102" s="1457"/>
      <c r="P102" s="1457"/>
      <c r="Q102" s="1457"/>
      <c r="R102" s="1457"/>
      <c r="S102" s="1457"/>
      <c r="T102" s="1457"/>
      <c r="U102" s="1457"/>
      <c r="V102" s="1457"/>
      <c r="W102" s="1457"/>
      <c r="X102" s="1548"/>
      <c r="Y102" s="1548"/>
      <c r="Z102" s="1523"/>
      <c r="AA102" s="1523"/>
      <c r="AB102" s="1523"/>
      <c r="AC102" s="1523"/>
      <c r="AD102" s="1523"/>
      <c r="AE102" s="1523"/>
      <c r="AF102" s="1523"/>
      <c r="AG102" s="1523"/>
      <c r="AH102" s="1523"/>
      <c r="AI102" s="1523"/>
      <c r="AJ102" s="1523"/>
      <c r="AK102" s="1523"/>
      <c r="AL102" s="1523"/>
      <c r="AM102" s="1523"/>
      <c r="AN102" s="1523"/>
      <c r="AO102" s="1523"/>
      <c r="AP102" s="1523"/>
      <c r="AQ102" s="1523"/>
      <c r="AR102" s="1523"/>
      <c r="AS102" s="1523"/>
      <c r="AT102" s="1523"/>
      <c r="AU102" s="1523"/>
      <c r="AV102" s="1354"/>
      <c r="AW102" s="1354"/>
      <c r="AX102" s="18"/>
      <c r="AY102" s="18"/>
      <c r="AZ102" s="18"/>
    </row>
    <row r="103" spans="2:52">
      <c r="B103" s="1135" t="s">
        <v>3672</v>
      </c>
      <c r="C103" s="1136"/>
      <c r="D103" s="1136"/>
      <c r="E103" s="1136"/>
      <c r="F103" s="1136"/>
      <c r="G103" s="1136"/>
      <c r="H103" s="1136"/>
      <c r="I103" s="1136"/>
      <c r="J103" s="1136"/>
      <c r="K103" s="1136"/>
      <c r="L103" s="1136"/>
      <c r="M103" s="1136"/>
      <c r="N103" s="1136"/>
      <c r="O103" s="1136"/>
      <c r="P103" s="1136"/>
      <c r="Q103" s="1136"/>
      <c r="R103" s="1136"/>
      <c r="S103" s="1136"/>
      <c r="T103" s="1136"/>
      <c r="U103" s="1136"/>
      <c r="V103" s="1136"/>
      <c r="W103" s="1136"/>
      <c r="X103" s="1136"/>
      <c r="Y103" s="1136"/>
      <c r="Z103" s="1136"/>
      <c r="AA103" s="1136"/>
      <c r="AB103" s="1136"/>
      <c r="AC103" s="1136"/>
      <c r="AD103" s="1136"/>
      <c r="AE103" s="1136"/>
      <c r="AF103" s="1136"/>
      <c r="AG103" s="1136"/>
      <c r="AH103" s="1136"/>
      <c r="AI103" s="1136"/>
      <c r="AJ103" s="1136"/>
      <c r="AK103" s="1136"/>
      <c r="AL103" s="1136"/>
      <c r="AM103" s="1136"/>
      <c r="AN103" s="1136"/>
      <c r="AO103" s="1136"/>
      <c r="AP103" s="1136"/>
      <c r="AQ103" s="1136"/>
      <c r="AR103" s="1136"/>
      <c r="AS103" s="1136"/>
      <c r="AT103" s="1136"/>
      <c r="AU103" s="1232"/>
      <c r="AV103" s="1592"/>
      <c r="AW103" s="1354"/>
      <c r="AX103" s="1393"/>
      <c r="AY103" s="1393"/>
      <c r="AZ103" s="1393"/>
    </row>
    <row r="104" spans="2:52">
      <c r="B104" s="1137"/>
      <c r="C104" s="1138"/>
      <c r="D104" s="1138"/>
      <c r="E104" s="1138"/>
      <c r="F104" s="1138"/>
      <c r="G104" s="1138"/>
      <c r="H104" s="1138"/>
      <c r="I104" s="1138"/>
      <c r="J104" s="1138"/>
      <c r="K104" s="1138"/>
      <c r="L104" s="1138"/>
      <c r="M104" s="1138"/>
      <c r="N104" s="1138"/>
      <c r="O104" s="1138"/>
      <c r="P104" s="1138"/>
      <c r="Q104" s="1138"/>
      <c r="R104" s="1138"/>
      <c r="S104" s="1138"/>
      <c r="T104" s="1138"/>
      <c r="U104" s="1138"/>
      <c r="V104" s="1138"/>
      <c r="W104" s="1138"/>
      <c r="X104" s="1138"/>
      <c r="Y104" s="1138"/>
      <c r="Z104" s="1138"/>
      <c r="AA104" s="1138"/>
      <c r="AB104" s="1138"/>
      <c r="AC104" s="1138"/>
      <c r="AD104" s="1138"/>
      <c r="AE104" s="1138"/>
      <c r="AF104" s="1138"/>
      <c r="AG104" s="1138"/>
      <c r="AH104" s="1138"/>
      <c r="AI104" s="1138"/>
      <c r="AJ104" s="1138"/>
      <c r="AK104" s="1138"/>
      <c r="AL104" s="1138"/>
      <c r="AM104" s="1138"/>
      <c r="AN104" s="1138"/>
      <c r="AO104" s="1138"/>
      <c r="AP104" s="1138"/>
      <c r="AQ104" s="1138"/>
      <c r="AR104" s="1138"/>
      <c r="AS104" s="1138"/>
      <c r="AT104" s="1138"/>
      <c r="AU104" s="1234"/>
      <c r="AV104" s="1592"/>
      <c r="AW104" s="1354"/>
      <c r="AX104" s="1393"/>
      <c r="AY104" s="1393"/>
      <c r="AZ104" s="1393"/>
    </row>
    <row r="105" ht="18.35" spans="2:52">
      <c r="B105" s="1140"/>
      <c r="C105" s="1141"/>
      <c r="D105" s="1141"/>
      <c r="E105" s="1141"/>
      <c r="F105" s="1141"/>
      <c r="G105" s="1141"/>
      <c r="H105" s="1141"/>
      <c r="I105" s="1141"/>
      <c r="J105" s="1141"/>
      <c r="K105" s="1141"/>
      <c r="L105" s="1141"/>
      <c r="M105" s="1141"/>
      <c r="N105" s="1141"/>
      <c r="O105" s="1141"/>
      <c r="P105" s="1141"/>
      <c r="Q105" s="1141"/>
      <c r="R105" s="1141"/>
      <c r="S105" s="1141"/>
      <c r="T105" s="1141"/>
      <c r="U105" s="1141"/>
      <c r="V105" s="1141"/>
      <c r="W105" s="1141"/>
      <c r="X105" s="1141"/>
      <c r="Y105" s="1141"/>
      <c r="Z105" s="1141"/>
      <c r="AA105" s="1141"/>
      <c r="AB105" s="1141"/>
      <c r="AC105" s="1141"/>
      <c r="AD105" s="1141"/>
      <c r="AE105" s="1141"/>
      <c r="AF105" s="1141"/>
      <c r="AG105" s="1141"/>
      <c r="AH105" s="1141"/>
      <c r="AI105" s="1141"/>
      <c r="AJ105" s="1141"/>
      <c r="AK105" s="1141"/>
      <c r="AL105" s="1141"/>
      <c r="AM105" s="1141"/>
      <c r="AN105" s="1141"/>
      <c r="AO105" s="1141"/>
      <c r="AP105" s="1141"/>
      <c r="AQ105" s="1141"/>
      <c r="AR105" s="1141"/>
      <c r="AS105" s="1141"/>
      <c r="AT105" s="1141"/>
      <c r="AU105" s="1235"/>
      <c r="AV105" s="1592"/>
      <c r="AW105" s="1354"/>
      <c r="AX105" s="1393"/>
      <c r="AY105" s="1393"/>
      <c r="AZ105" s="1393"/>
    </row>
    <row r="106" ht="18.35" spans="2:52">
      <c r="B106" s="34"/>
      <c r="C106" s="34"/>
      <c r="D106" s="34"/>
      <c r="E106" s="34"/>
      <c r="F106" s="34"/>
      <c r="G106" s="34"/>
      <c r="H106" s="34"/>
      <c r="I106" s="34"/>
      <c r="J106" s="34"/>
      <c r="K106" s="34"/>
      <c r="L106" s="34"/>
      <c r="M106" s="34"/>
      <c r="N106" s="34"/>
      <c r="O106" s="34"/>
      <c r="P106" s="34"/>
      <c r="Q106" s="34"/>
      <c r="R106" s="34"/>
      <c r="S106" s="34"/>
      <c r="T106" s="1523"/>
      <c r="U106" s="1523"/>
      <c r="V106" s="1523"/>
      <c r="W106" s="1523"/>
      <c r="X106" s="1393"/>
      <c r="Y106" s="1548"/>
      <c r="Z106" s="1523"/>
      <c r="AA106" s="1523"/>
      <c r="AB106" s="1523"/>
      <c r="AC106" s="1523"/>
      <c r="AD106" s="1523"/>
      <c r="AE106" s="1523"/>
      <c r="AF106" s="1523"/>
      <c r="AG106" s="1523"/>
      <c r="AH106" s="1523"/>
      <c r="AI106" s="1523"/>
      <c r="AJ106" s="1523"/>
      <c r="AK106" s="1523"/>
      <c r="AL106" s="1523"/>
      <c r="AM106" s="1523"/>
      <c r="AN106" s="1523"/>
      <c r="AO106" s="1523"/>
      <c r="AP106" s="1523"/>
      <c r="AQ106" s="1523"/>
      <c r="AR106" s="1523"/>
      <c r="AS106" s="1523"/>
      <c r="AT106" s="1523"/>
      <c r="AU106" s="1523"/>
      <c r="AV106" s="1592"/>
      <c r="AW106" s="1354"/>
      <c r="AX106" s="1393"/>
      <c r="AY106" s="1393"/>
      <c r="AZ106" s="1393"/>
    </row>
    <row r="107" ht="18" customHeight="1" spans="2:52">
      <c r="B107" s="1458" t="s">
        <v>3673</v>
      </c>
      <c r="C107" s="1459"/>
      <c r="D107" s="1459"/>
      <c r="E107" s="1459"/>
      <c r="F107" s="1459"/>
      <c r="G107" s="1459"/>
      <c r="H107" s="1459"/>
      <c r="I107" s="1459"/>
      <c r="J107" s="1459"/>
      <c r="K107" s="1459"/>
      <c r="L107" s="1459"/>
      <c r="M107" s="1459"/>
      <c r="N107" s="1459"/>
      <c r="O107" s="1459"/>
      <c r="P107" s="1511"/>
      <c r="R107" s="1458" t="s">
        <v>3674</v>
      </c>
      <c r="S107" s="1459"/>
      <c r="T107" s="1459"/>
      <c r="U107" s="1459"/>
      <c r="V107" s="1459"/>
      <c r="W107" s="1459"/>
      <c r="X107" s="1459"/>
      <c r="Y107" s="1459"/>
      <c r="Z107" s="1459"/>
      <c r="AA107" s="1511"/>
      <c r="AB107" s="1560"/>
      <c r="AC107" s="1458" t="s">
        <v>3675</v>
      </c>
      <c r="AD107" s="1459"/>
      <c r="AE107" s="1459"/>
      <c r="AF107" s="1459"/>
      <c r="AG107" s="1459"/>
      <c r="AH107" s="1459"/>
      <c r="AI107" s="1459"/>
      <c r="AJ107" s="1459"/>
      <c r="AK107" s="1459"/>
      <c r="AL107" s="1459"/>
      <c r="AM107" s="1511"/>
      <c r="AO107" s="1458" t="s">
        <v>3676</v>
      </c>
      <c r="AP107" s="1459"/>
      <c r="AQ107" s="1459"/>
      <c r="AR107" s="1459"/>
      <c r="AS107" s="1459"/>
      <c r="AT107" s="1459"/>
      <c r="AU107" s="1511"/>
      <c r="AV107" s="1560"/>
      <c r="AW107" s="1560"/>
      <c r="AX107" s="1571"/>
      <c r="AY107" s="1571"/>
      <c r="AZ107" s="1571"/>
    </row>
    <row r="108" ht="18" customHeight="1" spans="2:52">
      <c r="B108" s="1460"/>
      <c r="C108" s="1461"/>
      <c r="D108" s="1461"/>
      <c r="E108" s="1461"/>
      <c r="F108" s="1461"/>
      <c r="G108" s="1461"/>
      <c r="H108" s="1461"/>
      <c r="I108" s="1461"/>
      <c r="J108" s="1461"/>
      <c r="K108" s="1461"/>
      <c r="L108" s="1461"/>
      <c r="M108" s="1461"/>
      <c r="N108" s="1461"/>
      <c r="O108" s="1461"/>
      <c r="P108" s="1512"/>
      <c r="R108" s="1524"/>
      <c r="S108" s="1525"/>
      <c r="T108" s="1525"/>
      <c r="U108" s="1525"/>
      <c r="V108" s="1525"/>
      <c r="W108" s="1525"/>
      <c r="X108" s="1525"/>
      <c r="Y108" s="1525"/>
      <c r="Z108" s="1525"/>
      <c r="AA108" s="1561"/>
      <c r="AB108" s="1560"/>
      <c r="AC108" s="1524"/>
      <c r="AD108" s="1525"/>
      <c r="AE108" s="1525"/>
      <c r="AF108" s="1525"/>
      <c r="AG108" s="1525"/>
      <c r="AH108" s="1525"/>
      <c r="AI108" s="1525"/>
      <c r="AJ108" s="1525"/>
      <c r="AK108" s="1525"/>
      <c r="AL108" s="1525"/>
      <c r="AM108" s="1561"/>
      <c r="AO108" s="1460"/>
      <c r="AP108" s="1461"/>
      <c r="AQ108" s="1461"/>
      <c r="AR108" s="1461"/>
      <c r="AS108" s="1461"/>
      <c r="AT108" s="1461"/>
      <c r="AU108" s="1512"/>
      <c r="AV108" s="1560"/>
      <c r="AW108" s="1560"/>
      <c r="AX108" s="1571"/>
      <c r="AY108" s="1571"/>
      <c r="AZ108" s="1571"/>
    </row>
    <row r="109" ht="18" customHeight="1" spans="2:52">
      <c r="B109" s="1468" t="s">
        <v>3677</v>
      </c>
      <c r="C109" s="1469"/>
      <c r="D109" s="1469"/>
      <c r="E109" s="1469"/>
      <c r="F109" s="1469"/>
      <c r="G109" s="1469"/>
      <c r="H109" s="1469"/>
      <c r="I109" s="1469"/>
      <c r="J109" s="1469"/>
      <c r="K109" s="1469"/>
      <c r="L109" s="1469"/>
      <c r="M109" s="1469"/>
      <c r="N109" s="1015" t="s">
        <v>3678</v>
      </c>
      <c r="O109" s="1513"/>
      <c r="P109" s="1514"/>
      <c r="R109" s="1526" t="s">
        <v>3679</v>
      </c>
      <c r="S109" s="1513"/>
      <c r="T109" s="1513"/>
      <c r="U109" s="1513"/>
      <c r="V109" s="1513"/>
      <c r="W109" s="1513"/>
      <c r="X109" s="1550" t="s">
        <v>3680</v>
      </c>
      <c r="Y109" s="1562"/>
      <c r="Z109" s="1562"/>
      <c r="AA109" s="1563"/>
      <c r="AC109" s="1526" t="s">
        <v>3681</v>
      </c>
      <c r="AD109" s="1015"/>
      <c r="AE109" s="1513"/>
      <c r="AF109" s="1513"/>
      <c r="AG109" s="1513"/>
      <c r="AH109" s="1513"/>
      <c r="AI109" s="1016"/>
      <c r="AJ109" s="1562" t="s">
        <v>3680</v>
      </c>
      <c r="AK109" s="1562"/>
      <c r="AL109" s="1562"/>
      <c r="AM109" s="1563"/>
      <c r="AO109" s="1526" t="s">
        <v>3682</v>
      </c>
      <c r="AP109" s="1513"/>
      <c r="AQ109" s="1513"/>
      <c r="AR109" s="1513"/>
      <c r="AS109" s="1513"/>
      <c r="AT109" s="1513"/>
      <c r="AU109" s="1514"/>
      <c r="AV109" s="18"/>
      <c r="AW109" s="18"/>
      <c r="AX109" s="1571"/>
      <c r="AY109" s="1571"/>
      <c r="AZ109" s="1571"/>
    </row>
    <row r="110" ht="18" customHeight="1" spans="2:52">
      <c r="B110" s="1468"/>
      <c r="C110" s="1469"/>
      <c r="D110" s="1469"/>
      <c r="E110" s="1469"/>
      <c r="F110" s="1469"/>
      <c r="G110" s="1469"/>
      <c r="H110" s="1469"/>
      <c r="I110" s="1469"/>
      <c r="J110" s="1469"/>
      <c r="K110" s="1469"/>
      <c r="L110" s="1469"/>
      <c r="M110" s="1469"/>
      <c r="N110" s="1015"/>
      <c r="O110" s="1513"/>
      <c r="P110" s="1514"/>
      <c r="R110" s="1526"/>
      <c r="S110" s="1513"/>
      <c r="T110" s="1513"/>
      <c r="U110" s="1513"/>
      <c r="V110" s="1513"/>
      <c r="W110" s="1513"/>
      <c r="X110" s="1551" t="s">
        <v>3683</v>
      </c>
      <c r="Y110" s="1171"/>
      <c r="Z110" s="1171"/>
      <c r="AA110" s="1564"/>
      <c r="AC110" s="1526"/>
      <c r="AD110" s="1015"/>
      <c r="AE110" s="1513"/>
      <c r="AF110" s="1513"/>
      <c r="AG110" s="1513"/>
      <c r="AH110" s="1513"/>
      <c r="AI110" s="1016"/>
      <c r="AJ110" s="1513" t="s">
        <v>3684</v>
      </c>
      <c r="AK110" s="1513"/>
      <c r="AL110" s="1513"/>
      <c r="AM110" s="1514"/>
      <c r="AO110" s="1526"/>
      <c r="AP110" s="1513"/>
      <c r="AQ110" s="1513"/>
      <c r="AR110" s="1513"/>
      <c r="AS110" s="1513"/>
      <c r="AT110" s="1513"/>
      <c r="AU110" s="1514"/>
      <c r="AV110" s="18"/>
      <c r="AW110" s="18"/>
      <c r="AX110" s="1571"/>
      <c r="AY110" s="1571"/>
      <c r="AZ110" s="1571"/>
    </row>
    <row r="111" ht="18" customHeight="1" spans="2:52">
      <c r="B111" s="1468"/>
      <c r="C111" s="1469"/>
      <c r="D111" s="1469"/>
      <c r="E111" s="1469"/>
      <c r="F111" s="1469"/>
      <c r="G111" s="1469"/>
      <c r="H111" s="1469"/>
      <c r="I111" s="1469"/>
      <c r="J111" s="1469"/>
      <c r="K111" s="1469"/>
      <c r="L111" s="1469"/>
      <c r="M111" s="1469"/>
      <c r="N111" s="1015"/>
      <c r="O111" s="1513"/>
      <c r="P111" s="1514"/>
      <c r="R111" s="1526"/>
      <c r="S111" s="1513"/>
      <c r="T111" s="1513"/>
      <c r="U111" s="1513"/>
      <c r="V111" s="1513"/>
      <c r="W111" s="1513"/>
      <c r="X111" s="1551"/>
      <c r="Y111" s="1171"/>
      <c r="Z111" s="1171"/>
      <c r="AA111" s="1564"/>
      <c r="AC111" s="1526"/>
      <c r="AD111" s="1015"/>
      <c r="AE111" s="1513"/>
      <c r="AF111" s="1513"/>
      <c r="AG111" s="1513"/>
      <c r="AH111" s="1513"/>
      <c r="AI111" s="1016"/>
      <c r="AJ111" s="1528"/>
      <c r="AK111" s="1528"/>
      <c r="AL111" s="1528"/>
      <c r="AM111" s="1586"/>
      <c r="AO111" s="1526"/>
      <c r="AP111" s="1513"/>
      <c r="AQ111" s="1513"/>
      <c r="AR111" s="1513"/>
      <c r="AS111" s="1513"/>
      <c r="AT111" s="1513"/>
      <c r="AU111" s="1514"/>
      <c r="AV111" s="1393"/>
      <c r="AW111" s="1393"/>
      <c r="AX111" s="1571"/>
      <c r="AY111" s="1571"/>
      <c r="AZ111" s="1571"/>
    </row>
    <row r="112" ht="18" customHeight="1" spans="2:52">
      <c r="B112" s="1468"/>
      <c r="C112" s="1469"/>
      <c r="D112" s="1469"/>
      <c r="E112" s="1469"/>
      <c r="F112" s="1469"/>
      <c r="G112" s="1469"/>
      <c r="H112" s="1469"/>
      <c r="I112" s="1469"/>
      <c r="J112" s="1469"/>
      <c r="K112" s="1469"/>
      <c r="L112" s="1469"/>
      <c r="M112" s="1469"/>
      <c r="N112" s="1015"/>
      <c r="O112" s="1513"/>
      <c r="P112" s="1514"/>
      <c r="R112" s="1526"/>
      <c r="S112" s="1513"/>
      <c r="T112" s="1513"/>
      <c r="U112" s="1513"/>
      <c r="V112" s="1513"/>
      <c r="W112" s="1513"/>
      <c r="X112" s="1552" t="s">
        <v>3685</v>
      </c>
      <c r="Y112" s="1565"/>
      <c r="Z112" s="1565"/>
      <c r="AA112" s="1566"/>
      <c r="AC112" s="1526"/>
      <c r="AD112" s="1015"/>
      <c r="AE112" s="1513"/>
      <c r="AF112" s="1513"/>
      <c r="AG112" s="1513"/>
      <c r="AH112" s="1513"/>
      <c r="AI112" s="1016"/>
      <c r="AJ112" s="1562" t="s">
        <v>3685</v>
      </c>
      <c r="AK112" s="1562"/>
      <c r="AL112" s="1562"/>
      <c r="AM112" s="1563"/>
      <c r="AO112" s="1529" t="s">
        <v>3686</v>
      </c>
      <c r="AP112" s="1530"/>
      <c r="AQ112" s="1530"/>
      <c r="AR112" s="1530"/>
      <c r="AS112" s="1530"/>
      <c r="AT112" s="1530"/>
      <c r="AU112" s="1570"/>
      <c r="AV112" s="1393"/>
      <c r="AW112" s="1393"/>
      <c r="AX112" s="1571"/>
      <c r="AY112" s="1571"/>
      <c r="AZ112" s="1571"/>
    </row>
    <row r="113" ht="18" customHeight="1" spans="2:52">
      <c r="B113" s="1468"/>
      <c r="C113" s="1469"/>
      <c r="D113" s="1469"/>
      <c r="E113" s="1469"/>
      <c r="F113" s="1469"/>
      <c r="G113" s="1469"/>
      <c r="H113" s="1469"/>
      <c r="I113" s="1469"/>
      <c r="J113" s="1469"/>
      <c r="K113" s="1469"/>
      <c r="L113" s="1469"/>
      <c r="M113" s="1469"/>
      <c r="N113" s="1015"/>
      <c r="O113" s="1513"/>
      <c r="P113" s="1514"/>
      <c r="R113" s="1526"/>
      <c r="S113" s="1513"/>
      <c r="T113" s="1513"/>
      <c r="U113" s="1513"/>
      <c r="V113" s="1513"/>
      <c r="W113" s="1513"/>
      <c r="X113" s="1551" t="s">
        <v>3687</v>
      </c>
      <c r="Y113" s="1171"/>
      <c r="Z113" s="1171"/>
      <c r="AA113" s="1564"/>
      <c r="AC113" s="1526"/>
      <c r="AD113" s="1015"/>
      <c r="AE113" s="1513"/>
      <c r="AF113" s="1513"/>
      <c r="AG113" s="1513"/>
      <c r="AH113" s="1513"/>
      <c r="AI113" s="1016"/>
      <c r="AJ113" s="1171" t="s">
        <v>3688</v>
      </c>
      <c r="AK113" s="1171"/>
      <c r="AL113" s="1171"/>
      <c r="AM113" s="1564"/>
      <c r="AO113" s="1529"/>
      <c r="AP113" s="1530"/>
      <c r="AQ113" s="1530"/>
      <c r="AR113" s="1530"/>
      <c r="AS113" s="1530"/>
      <c r="AT113" s="1530"/>
      <c r="AU113" s="1570"/>
      <c r="AV113" s="1393"/>
      <c r="AW113" s="1393"/>
      <c r="AX113" s="1571"/>
      <c r="AY113" s="1571"/>
      <c r="AZ113" s="1571"/>
    </row>
    <row r="114" ht="18" customHeight="1" spans="2:49">
      <c r="B114" s="1468"/>
      <c r="C114" s="1469"/>
      <c r="D114" s="1469"/>
      <c r="E114" s="1469"/>
      <c r="F114" s="1469"/>
      <c r="G114" s="1469"/>
      <c r="H114" s="1469"/>
      <c r="I114" s="1469"/>
      <c r="J114" s="1469"/>
      <c r="K114" s="1469"/>
      <c r="L114" s="1469"/>
      <c r="M114" s="1469"/>
      <c r="N114" s="1015"/>
      <c r="O114" s="1513"/>
      <c r="P114" s="1514"/>
      <c r="R114" s="1527"/>
      <c r="S114" s="1528"/>
      <c r="T114" s="1528"/>
      <c r="U114" s="1528"/>
      <c r="V114" s="1528"/>
      <c r="W114" s="1528"/>
      <c r="X114" s="1553"/>
      <c r="Y114" s="1567"/>
      <c r="Z114" s="1568"/>
      <c r="AA114" s="1569"/>
      <c r="AC114" s="1527"/>
      <c r="AD114" s="1573"/>
      <c r="AE114" s="1528"/>
      <c r="AF114" s="1528"/>
      <c r="AG114" s="1528"/>
      <c r="AH114" s="1528"/>
      <c r="AI114" s="1580"/>
      <c r="AJ114" s="1581"/>
      <c r="AK114" s="1581"/>
      <c r="AL114" s="1581"/>
      <c r="AM114" s="1587"/>
      <c r="AO114" s="1529"/>
      <c r="AP114" s="1530"/>
      <c r="AQ114" s="1530"/>
      <c r="AR114" s="1530"/>
      <c r="AS114" s="1530"/>
      <c r="AT114" s="1530"/>
      <c r="AU114" s="1570"/>
      <c r="AV114" s="1393"/>
      <c r="AW114" s="1393"/>
    </row>
    <row r="115" ht="18" customHeight="1" spans="1:49">
      <c r="A115" s="1470"/>
      <c r="B115" s="1471"/>
      <c r="C115" s="1472"/>
      <c r="D115" s="1472"/>
      <c r="E115" s="1472"/>
      <c r="F115" s="1472"/>
      <c r="G115" s="1472"/>
      <c r="H115" s="1472"/>
      <c r="I115" s="1472"/>
      <c r="J115" s="1472"/>
      <c r="K115" s="1472"/>
      <c r="L115" s="1472"/>
      <c r="M115" s="1472"/>
      <c r="N115" s="1015"/>
      <c r="O115" s="1513"/>
      <c r="P115" s="1514"/>
      <c r="R115" s="1529" t="s">
        <v>3689</v>
      </c>
      <c r="S115" s="1530"/>
      <c r="T115" s="1530"/>
      <c r="U115" s="1530"/>
      <c r="V115" s="1530"/>
      <c r="W115" s="1530"/>
      <c r="X115" s="1530"/>
      <c r="Y115" s="1530"/>
      <c r="Z115" s="1530"/>
      <c r="AA115" s="1570"/>
      <c r="AB115" s="1571"/>
      <c r="AC115" s="1529" t="s">
        <v>3690</v>
      </c>
      <c r="AD115" s="1530"/>
      <c r="AE115" s="1530"/>
      <c r="AF115" s="1530"/>
      <c r="AG115" s="1530"/>
      <c r="AH115" s="1530"/>
      <c r="AI115" s="1530"/>
      <c r="AJ115" s="1530"/>
      <c r="AK115" s="1530"/>
      <c r="AL115" s="1530"/>
      <c r="AM115" s="1570"/>
      <c r="AO115" s="1529"/>
      <c r="AP115" s="1530"/>
      <c r="AQ115" s="1530"/>
      <c r="AR115" s="1530"/>
      <c r="AS115" s="1530"/>
      <c r="AT115" s="1530"/>
      <c r="AU115" s="1570"/>
      <c r="AV115" s="1571"/>
      <c r="AW115" s="1571"/>
    </row>
    <row r="116" ht="18" customHeight="1" spans="2:49">
      <c r="B116" s="1468" t="s">
        <v>3691</v>
      </c>
      <c r="C116" s="1469"/>
      <c r="D116" s="1469"/>
      <c r="E116" s="1469"/>
      <c r="F116" s="1469"/>
      <c r="G116" s="1469"/>
      <c r="H116" s="1469"/>
      <c r="I116" s="1469"/>
      <c r="J116" s="1469"/>
      <c r="K116" s="1469"/>
      <c r="L116" s="1469"/>
      <c r="M116" s="1469"/>
      <c r="N116" s="1015"/>
      <c r="O116" s="1513"/>
      <c r="P116" s="1514"/>
      <c r="R116" s="1529"/>
      <c r="S116" s="1530"/>
      <c r="T116" s="1530"/>
      <c r="U116" s="1530"/>
      <c r="V116" s="1530"/>
      <c r="W116" s="1530"/>
      <c r="X116" s="1530"/>
      <c r="Y116" s="1530"/>
      <c r="Z116" s="1530"/>
      <c r="AA116" s="1570"/>
      <c r="AB116" s="1571"/>
      <c r="AC116" s="1529"/>
      <c r="AD116" s="1530"/>
      <c r="AE116" s="1530"/>
      <c r="AF116" s="1530"/>
      <c r="AG116" s="1530"/>
      <c r="AH116" s="1530"/>
      <c r="AI116" s="1530"/>
      <c r="AJ116" s="1530"/>
      <c r="AK116" s="1530"/>
      <c r="AL116" s="1530"/>
      <c r="AM116" s="1570"/>
      <c r="AO116" s="1529"/>
      <c r="AP116" s="1530"/>
      <c r="AQ116" s="1530"/>
      <c r="AR116" s="1530"/>
      <c r="AS116" s="1530"/>
      <c r="AT116" s="1530"/>
      <c r="AU116" s="1570"/>
      <c r="AV116" s="1571"/>
      <c r="AW116" s="1571"/>
    </row>
    <row r="117" ht="18" customHeight="1" spans="2:49">
      <c r="B117" s="1468"/>
      <c r="C117" s="1469"/>
      <c r="D117" s="1469"/>
      <c r="E117" s="1469"/>
      <c r="F117" s="1469"/>
      <c r="G117" s="1469"/>
      <c r="H117" s="1469"/>
      <c r="I117" s="1469"/>
      <c r="J117" s="1469"/>
      <c r="K117" s="1469"/>
      <c r="L117" s="1469"/>
      <c r="M117" s="1469"/>
      <c r="N117" s="1015"/>
      <c r="O117" s="1513"/>
      <c r="P117" s="1514"/>
      <c r="R117" s="1529"/>
      <c r="S117" s="1530"/>
      <c r="T117" s="1530"/>
      <c r="U117" s="1530"/>
      <c r="V117" s="1530"/>
      <c r="W117" s="1530"/>
      <c r="X117" s="1530"/>
      <c r="Y117" s="1530"/>
      <c r="Z117" s="1530"/>
      <c r="AA117" s="1570"/>
      <c r="AB117" s="1571"/>
      <c r="AC117" s="1529"/>
      <c r="AD117" s="1530"/>
      <c r="AE117" s="1530"/>
      <c r="AF117" s="1530"/>
      <c r="AG117" s="1530"/>
      <c r="AH117" s="1530"/>
      <c r="AI117" s="1530"/>
      <c r="AJ117" s="1530"/>
      <c r="AK117" s="1530"/>
      <c r="AL117" s="1530"/>
      <c r="AM117" s="1570"/>
      <c r="AO117" s="1529"/>
      <c r="AP117" s="1530"/>
      <c r="AQ117" s="1530"/>
      <c r="AR117" s="1530"/>
      <c r="AS117" s="1530"/>
      <c r="AT117" s="1530"/>
      <c r="AU117" s="1570"/>
      <c r="AV117" s="1571"/>
      <c r="AW117" s="1571"/>
    </row>
    <row r="118" ht="18" customHeight="1" spans="2:49">
      <c r="B118" s="1468"/>
      <c r="C118" s="1469"/>
      <c r="D118" s="1469"/>
      <c r="E118" s="1469"/>
      <c r="F118" s="1469"/>
      <c r="G118" s="1469"/>
      <c r="H118" s="1469"/>
      <c r="I118" s="1469"/>
      <c r="J118" s="1469"/>
      <c r="K118" s="1469"/>
      <c r="L118" s="1469"/>
      <c r="M118" s="1469"/>
      <c r="N118" s="1015"/>
      <c r="O118" s="1513"/>
      <c r="P118" s="1514"/>
      <c r="R118" s="1529"/>
      <c r="S118" s="1530"/>
      <c r="T118" s="1530"/>
      <c r="U118" s="1530"/>
      <c r="V118" s="1530"/>
      <c r="W118" s="1530"/>
      <c r="X118" s="1530"/>
      <c r="Y118" s="1530"/>
      <c r="Z118" s="1530"/>
      <c r="AA118" s="1570"/>
      <c r="AB118" s="1571"/>
      <c r="AC118" s="1529"/>
      <c r="AD118" s="1530"/>
      <c r="AE118" s="1530"/>
      <c r="AF118" s="1530"/>
      <c r="AG118" s="1530"/>
      <c r="AH118" s="1530"/>
      <c r="AI118" s="1530"/>
      <c r="AJ118" s="1530"/>
      <c r="AK118" s="1530"/>
      <c r="AL118" s="1530"/>
      <c r="AM118" s="1570"/>
      <c r="AO118" s="1529"/>
      <c r="AP118" s="1530"/>
      <c r="AQ118" s="1530"/>
      <c r="AR118" s="1530"/>
      <c r="AS118" s="1530"/>
      <c r="AT118" s="1530"/>
      <c r="AU118" s="1570"/>
      <c r="AV118" s="1571"/>
      <c r="AW118" s="1571"/>
    </row>
    <row r="119" ht="18" customHeight="1" spans="2:49">
      <c r="B119" s="1468"/>
      <c r="C119" s="1469"/>
      <c r="D119" s="1469"/>
      <c r="E119" s="1469"/>
      <c r="F119" s="1469"/>
      <c r="G119" s="1469"/>
      <c r="H119" s="1469"/>
      <c r="I119" s="1469"/>
      <c r="J119" s="1469"/>
      <c r="K119" s="1469"/>
      <c r="L119" s="1469"/>
      <c r="M119" s="1469"/>
      <c r="N119" s="1015"/>
      <c r="O119" s="1513"/>
      <c r="P119" s="1514"/>
      <c r="R119" s="1529"/>
      <c r="S119" s="1530"/>
      <c r="T119" s="1530"/>
      <c r="U119" s="1530"/>
      <c r="V119" s="1530"/>
      <c r="W119" s="1530"/>
      <c r="X119" s="1530"/>
      <c r="Y119" s="1530"/>
      <c r="Z119" s="1530"/>
      <c r="AA119" s="1570"/>
      <c r="AB119" s="1571"/>
      <c r="AC119" s="1529"/>
      <c r="AD119" s="1530"/>
      <c r="AE119" s="1530"/>
      <c r="AF119" s="1530"/>
      <c r="AG119" s="1530"/>
      <c r="AH119" s="1530"/>
      <c r="AI119" s="1530"/>
      <c r="AJ119" s="1530"/>
      <c r="AK119" s="1530"/>
      <c r="AL119" s="1530"/>
      <c r="AM119" s="1570"/>
      <c r="AO119" s="1529"/>
      <c r="AP119" s="1530"/>
      <c r="AQ119" s="1530"/>
      <c r="AR119" s="1530"/>
      <c r="AS119" s="1530"/>
      <c r="AT119" s="1530"/>
      <c r="AU119" s="1570"/>
      <c r="AV119" s="1571"/>
      <c r="AW119" s="1571"/>
    </row>
    <row r="120" ht="18" customHeight="1" spans="2:49">
      <c r="B120" s="1468"/>
      <c r="C120" s="1469"/>
      <c r="D120" s="1469"/>
      <c r="E120" s="1469"/>
      <c r="F120" s="1469"/>
      <c r="G120" s="1469"/>
      <c r="H120" s="1469"/>
      <c r="I120" s="1469"/>
      <c r="J120" s="1469"/>
      <c r="K120" s="1469"/>
      <c r="L120" s="1469"/>
      <c r="M120" s="1469"/>
      <c r="N120" s="1015"/>
      <c r="O120" s="1513"/>
      <c r="P120" s="1514"/>
      <c r="R120" s="1529"/>
      <c r="S120" s="1530"/>
      <c r="T120" s="1530"/>
      <c r="U120" s="1530"/>
      <c r="V120" s="1530"/>
      <c r="W120" s="1530"/>
      <c r="X120" s="1530"/>
      <c r="Y120" s="1530"/>
      <c r="Z120" s="1530"/>
      <c r="AA120" s="1570"/>
      <c r="AB120" s="1"/>
      <c r="AC120" s="1529"/>
      <c r="AD120" s="1530"/>
      <c r="AE120" s="1530"/>
      <c r="AF120" s="1530"/>
      <c r="AG120" s="1530"/>
      <c r="AH120" s="1530"/>
      <c r="AI120" s="1530"/>
      <c r="AJ120" s="1530"/>
      <c r="AK120" s="1530"/>
      <c r="AL120" s="1530"/>
      <c r="AM120" s="1570"/>
      <c r="AO120" s="1529"/>
      <c r="AP120" s="1530"/>
      <c r="AQ120" s="1530"/>
      <c r="AR120" s="1530"/>
      <c r="AS120" s="1530"/>
      <c r="AT120" s="1530"/>
      <c r="AU120" s="1570"/>
      <c r="AV120" s="1571"/>
      <c r="AW120" s="1571"/>
    </row>
    <row r="121" ht="18" customHeight="1" spans="2:49">
      <c r="B121" s="1473"/>
      <c r="C121" s="1474"/>
      <c r="D121" s="1474"/>
      <c r="E121" s="1474"/>
      <c r="F121" s="1474"/>
      <c r="G121" s="1474"/>
      <c r="H121" s="1474"/>
      <c r="I121" s="1474"/>
      <c r="J121" s="1474"/>
      <c r="K121" s="1474"/>
      <c r="L121" s="1474"/>
      <c r="M121" s="1474"/>
      <c r="N121" s="1515"/>
      <c r="O121" s="1516"/>
      <c r="P121" s="1517"/>
      <c r="R121" s="1531"/>
      <c r="S121" s="1532"/>
      <c r="T121" s="1532"/>
      <c r="U121" s="1532"/>
      <c r="V121" s="1532"/>
      <c r="W121" s="1532"/>
      <c r="X121" s="1532"/>
      <c r="Y121" s="1532"/>
      <c r="Z121" s="1532"/>
      <c r="AA121" s="1572"/>
      <c r="AB121" s="1393"/>
      <c r="AC121" s="1531"/>
      <c r="AD121" s="1532"/>
      <c r="AE121" s="1532"/>
      <c r="AF121" s="1532"/>
      <c r="AG121" s="1532"/>
      <c r="AH121" s="1532"/>
      <c r="AI121" s="1532"/>
      <c r="AJ121" s="1532"/>
      <c r="AK121" s="1532"/>
      <c r="AL121" s="1532"/>
      <c r="AM121" s="1572"/>
      <c r="AO121" s="1531"/>
      <c r="AP121" s="1532"/>
      <c r="AQ121" s="1532"/>
      <c r="AR121" s="1532"/>
      <c r="AS121" s="1532"/>
      <c r="AT121" s="1532"/>
      <c r="AU121" s="1572"/>
      <c r="AV121" s="1571"/>
      <c r="AW121" s="1571"/>
    </row>
    <row r="122" ht="18" customHeight="1" spans="2:11">
      <c r="B122" s="1475"/>
      <c r="C122" s="1475"/>
      <c r="D122" s="1475"/>
      <c r="E122" s="1475"/>
      <c r="F122" s="1475"/>
      <c r="G122" s="1475"/>
      <c r="H122" s="1475"/>
      <c r="I122" s="1475"/>
      <c r="J122" s="1475"/>
      <c r="K122" s="1475"/>
    </row>
    <row r="123" ht="18" customHeight="1" spans="2:11">
      <c r="B123" s="1476"/>
      <c r="C123"/>
      <c r="D123"/>
      <c r="E123"/>
      <c r="F123"/>
      <c r="G123"/>
      <c r="H123"/>
      <c r="I123"/>
      <c r="J123"/>
      <c r="K123" s="1489"/>
    </row>
    <row r="124" ht="18" customHeight="1" spans="2:21">
      <c r="B124" s="1475"/>
      <c r="C124" s="1475"/>
      <c r="D124" s="1475"/>
      <c r="E124" s="1475"/>
      <c r="F124" s="1475"/>
      <c r="G124" s="1475"/>
      <c r="H124" s="1475"/>
      <c r="I124" s="1475"/>
      <c r="J124" s="1475"/>
      <c r="K124" s="1475"/>
      <c r="T124"/>
      <c r="U124"/>
    </row>
    <row r="125" ht="18" customHeight="1" spans="2:21">
      <c r="B125" s="1475"/>
      <c r="C125" s="1475"/>
      <c r="D125" s="1475"/>
      <c r="E125" s="1475"/>
      <c r="F125" s="1475"/>
      <c r="G125" s="1475"/>
      <c r="H125" s="1475"/>
      <c r="I125" s="1475"/>
      <c r="J125" s="1475"/>
      <c r="K125" s="1475"/>
      <c r="T125"/>
      <c r="U125"/>
    </row>
    <row r="126" ht="18" customHeight="1" spans="2:41">
      <c r="B126" s="1475"/>
      <c r="C126" s="1475"/>
      <c r="D126" s="1475"/>
      <c r="E126" s="1475"/>
      <c r="F126" s="1475"/>
      <c r="G126" s="1475"/>
      <c r="H126" s="1475"/>
      <c r="I126" s="1475"/>
      <c r="J126" s="1475"/>
      <c r="K126" s="1475"/>
      <c r="T126"/>
      <c r="U126"/>
      <c r="AL126"/>
      <c r="AM126"/>
      <c r="AN126"/>
      <c r="AO126"/>
    </row>
    <row r="127" ht="18" customHeight="1" spans="2:41">
      <c r="B127" s="1475"/>
      <c r="C127" s="1475"/>
      <c r="D127" s="1475"/>
      <c r="E127" s="1475"/>
      <c r="F127" s="1475"/>
      <c r="G127" s="1475"/>
      <c r="H127" s="1475"/>
      <c r="I127" s="1475"/>
      <c r="J127" s="1475"/>
      <c r="K127" s="1475"/>
      <c r="T127"/>
      <c r="U127"/>
      <c r="AL127"/>
      <c r="AM127"/>
      <c r="AN127"/>
      <c r="AO127"/>
    </row>
    <row r="128" ht="18" customHeight="1" spans="2:41">
      <c r="B128" s="1475"/>
      <c r="C128" s="1475"/>
      <c r="D128" s="1475"/>
      <c r="E128" s="1475"/>
      <c r="F128" s="1475"/>
      <c r="G128" s="1475"/>
      <c r="H128" s="1475"/>
      <c r="I128" s="1475"/>
      <c r="J128" s="1475"/>
      <c r="K128" s="1475"/>
      <c r="T128"/>
      <c r="U128"/>
      <c r="AL128"/>
      <c r="AM128"/>
      <c r="AN128"/>
      <c r="AO128"/>
    </row>
    <row r="129" ht="18" customHeight="1" spans="2:47">
      <c r="B129" s="1475"/>
      <c r="C129" s="1475"/>
      <c r="D129" s="1475"/>
      <c r="E129" s="1475"/>
      <c r="F129" s="1475"/>
      <c r="G129" s="1475"/>
      <c r="H129" s="1475"/>
      <c r="I129" s="1475"/>
      <c r="J129" s="1475"/>
      <c r="K129" s="1475"/>
      <c r="T129"/>
      <c r="U129"/>
      <c r="AL129"/>
      <c r="AM129"/>
      <c r="AN129"/>
      <c r="AO129"/>
      <c r="AP129"/>
      <c r="AQ129"/>
      <c r="AR129"/>
      <c r="AS129"/>
      <c r="AT129"/>
      <c r="AU129"/>
    </row>
    <row r="130" ht="18" customHeight="1" spans="2:47">
      <c r="B130" s="1475"/>
      <c r="C130" s="1475"/>
      <c r="D130" s="1475"/>
      <c r="E130" s="1475"/>
      <c r="F130" s="1475"/>
      <c r="G130" s="1475"/>
      <c r="H130" s="1475"/>
      <c r="I130" s="1475"/>
      <c r="J130" s="1475"/>
      <c r="K130" s="1475"/>
      <c r="T130"/>
      <c r="U130"/>
      <c r="AL130"/>
      <c r="AM130"/>
      <c r="AN130"/>
      <c r="AO130"/>
      <c r="AP130"/>
      <c r="AQ130"/>
      <c r="AR130"/>
      <c r="AS130"/>
      <c r="AT130"/>
      <c r="AU130"/>
    </row>
    <row r="131" ht="18" customHeight="1" spans="2:47">
      <c r="B131" s="1475"/>
      <c r="C131" s="1475"/>
      <c r="D131" s="1475"/>
      <c r="E131" s="1475"/>
      <c r="F131" s="1475"/>
      <c r="G131" s="1475"/>
      <c r="H131" s="1475"/>
      <c r="I131" s="1475"/>
      <c r="J131" s="1475"/>
      <c r="K131" s="1475"/>
      <c r="T131"/>
      <c r="U131"/>
      <c r="AL131"/>
      <c r="AM131"/>
      <c r="AN131"/>
      <c r="AO131"/>
      <c r="AP131"/>
      <c r="AQ131"/>
      <c r="AR131"/>
      <c r="AS131"/>
      <c r="AT131"/>
      <c r="AU131"/>
    </row>
    <row r="132" ht="18" customHeight="1" spans="2:47">
      <c r="B132" s="1475"/>
      <c r="C132" s="1475"/>
      <c r="D132" s="1475"/>
      <c r="E132" s="1475"/>
      <c r="F132" s="1475"/>
      <c r="G132" s="1475"/>
      <c r="H132" s="1475"/>
      <c r="I132" s="1475"/>
      <c r="J132" s="1475"/>
      <c r="K132" s="1475"/>
      <c r="T132"/>
      <c r="U132"/>
      <c r="AL132"/>
      <c r="AM132"/>
      <c r="AN132"/>
      <c r="AO132"/>
      <c r="AP132"/>
      <c r="AQ132"/>
      <c r="AR132"/>
      <c r="AS132"/>
      <c r="AT132"/>
      <c r="AU132"/>
    </row>
    <row r="133" ht="18" customHeight="1" spans="2:47">
      <c r="B133" s="1475"/>
      <c r="C133" s="1475"/>
      <c r="D133" s="1475"/>
      <c r="E133" s="1475"/>
      <c r="F133" s="1475"/>
      <c r="G133" s="1475"/>
      <c r="H133" s="1475"/>
      <c r="I133" s="1475"/>
      <c r="J133" s="1475"/>
      <c r="K133" s="1475"/>
      <c r="T133"/>
      <c r="U133"/>
      <c r="AL133"/>
      <c r="AM133"/>
      <c r="AN133"/>
      <c r="AO133"/>
      <c r="AP133"/>
      <c r="AQ133"/>
      <c r="AR133"/>
      <c r="AS133"/>
      <c r="AT133"/>
      <c r="AU133"/>
    </row>
    <row r="134" ht="18" customHeight="1" spans="2:47">
      <c r="B134" s="1475"/>
      <c r="C134" s="1475"/>
      <c r="D134" s="1475"/>
      <c r="E134" s="1475"/>
      <c r="F134" s="1475"/>
      <c r="G134" s="1475"/>
      <c r="H134" s="1475"/>
      <c r="I134" s="1475"/>
      <c r="J134" s="1475"/>
      <c r="K134" s="1475"/>
      <c r="T134"/>
      <c r="U134"/>
      <c r="AL134"/>
      <c r="AM134"/>
      <c r="AN134"/>
      <c r="AO134"/>
      <c r="AP134"/>
      <c r="AQ134"/>
      <c r="AR134"/>
      <c r="AS134"/>
      <c r="AT134"/>
      <c r="AU134"/>
    </row>
    <row r="135" ht="18" customHeight="1" spans="2:47">
      <c r="B135" s="1475"/>
      <c r="C135" s="1475"/>
      <c r="D135" s="1475"/>
      <c r="E135" s="1475"/>
      <c r="F135" s="1475"/>
      <c r="G135" s="1475"/>
      <c r="H135" s="1475"/>
      <c r="I135" s="1475"/>
      <c r="J135" s="1475"/>
      <c r="K135" s="1475"/>
      <c r="T135"/>
      <c r="U135"/>
      <c r="AD135"/>
      <c r="AE135"/>
      <c r="AF135"/>
      <c r="AG135"/>
      <c r="AH135"/>
      <c r="AI135"/>
      <c r="AJ135"/>
      <c r="AK135"/>
      <c r="AL135"/>
      <c r="AM135"/>
      <c r="AN135"/>
      <c r="AO135"/>
      <c r="AP135"/>
      <c r="AQ135"/>
      <c r="AR135"/>
      <c r="AS135"/>
      <c r="AT135"/>
      <c r="AU135"/>
    </row>
    <row r="136" ht="18" customHeight="1" spans="2:47">
      <c r="B136" s="1475"/>
      <c r="C136" s="1475"/>
      <c r="D136" s="1475"/>
      <c r="E136" s="1475"/>
      <c r="F136" s="1475"/>
      <c r="G136" s="1475"/>
      <c r="H136" s="1475"/>
      <c r="I136" s="1475"/>
      <c r="J136" s="1475"/>
      <c r="K136" s="1475"/>
      <c r="T136"/>
      <c r="U136"/>
      <c r="AD136"/>
      <c r="AE136"/>
      <c r="AF136"/>
      <c r="AG136"/>
      <c r="AH136"/>
      <c r="AI136"/>
      <c r="AJ136"/>
      <c r="AK136"/>
      <c r="AL136"/>
      <c r="AM136"/>
      <c r="AN136"/>
      <c r="AO136"/>
      <c r="AP136"/>
      <c r="AQ136"/>
      <c r="AR136"/>
      <c r="AS136"/>
      <c r="AT136"/>
      <c r="AU136"/>
    </row>
    <row r="137" ht="18" customHeight="1" spans="2:47">
      <c r="B137" s="1475"/>
      <c r="C137" s="1475"/>
      <c r="D137" s="1475"/>
      <c r="E137" s="1475"/>
      <c r="F137" s="1475"/>
      <c r="G137" s="1475"/>
      <c r="H137" s="1475"/>
      <c r="I137" s="1475"/>
      <c r="J137" s="1475"/>
      <c r="K137" s="1475"/>
      <c r="T137"/>
      <c r="U137"/>
      <c r="AD137"/>
      <c r="AE137"/>
      <c r="AF137"/>
      <c r="AG137"/>
      <c r="AH137"/>
      <c r="AI137"/>
      <c r="AJ137"/>
      <c r="AK137"/>
      <c r="AL137"/>
      <c r="AM137"/>
      <c r="AN137"/>
      <c r="AO137"/>
      <c r="AP137"/>
      <c r="AQ137"/>
      <c r="AR137"/>
      <c r="AS137"/>
      <c r="AT137"/>
      <c r="AU137"/>
    </row>
    <row r="138" ht="18" customHeight="1" spans="2:47">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row>
    <row r="139" ht="18" customHeight="1" spans="2:47">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row>
    <row r="140" spans="1:47">
      <c r="A140" s="1457"/>
      <c r="B140" s="1457"/>
      <c r="C140" s="1457"/>
      <c r="D140" s="1457"/>
      <c r="E140" s="1457"/>
      <c r="F140" s="1457"/>
      <c r="G140" s="1457"/>
      <c r="H140" s="1457"/>
      <c r="I140" s="1457"/>
      <c r="J140" s="1457"/>
      <c r="K140" s="1457"/>
      <c r="L140" s="1457"/>
      <c r="M140" s="1457"/>
      <c r="N140" s="1457"/>
      <c r="O140" s="1457"/>
      <c r="P140" s="1457"/>
      <c r="Q140" s="1457"/>
      <c r="R140" s="1457"/>
      <c r="S140" s="1457"/>
      <c r="T140" s="1457"/>
      <c r="U140" s="1457"/>
      <c r="V140" s="1457"/>
      <c r="W140" s="1457"/>
      <c r="X140" s="1457"/>
      <c r="Y140" s="1457"/>
      <c r="Z140" s="1457"/>
      <c r="AA140" s="1457"/>
      <c r="AB140" s="1457"/>
      <c r="AC140" s="1457"/>
      <c r="AD140" s="1457"/>
      <c r="AE140" s="1457"/>
      <c r="AF140" s="1457"/>
      <c r="AG140" s="1457"/>
      <c r="AH140" s="1457"/>
      <c r="AI140" s="1457"/>
      <c r="AJ140" s="1457"/>
      <c r="AK140" s="1457"/>
      <c r="AL140" s="1457"/>
      <c r="AM140" s="1457"/>
      <c r="AN140" s="1457"/>
      <c r="AO140" s="1457"/>
      <c r="AP140" s="1457"/>
      <c r="AQ140" s="1457"/>
      <c r="AR140" s="1457"/>
      <c r="AS140" s="1457"/>
      <c r="AT140" s="1457"/>
      <c r="AU140" s="1457"/>
    </row>
    <row r="141" spans="1:47">
      <c r="A141" s="1470"/>
      <c r="B141" s="1457"/>
      <c r="C141" s="1457"/>
      <c r="D141" s="1457"/>
      <c r="E141" s="1457"/>
      <c r="F141" s="1457"/>
      <c r="G141" s="1457"/>
      <c r="H141" s="1457"/>
      <c r="I141" s="1457"/>
      <c r="J141" s="1457"/>
      <c r="K141" s="1457"/>
      <c r="L141" s="1457"/>
      <c r="M141" s="1457"/>
      <c r="N141" s="1457"/>
      <c r="O141" s="1457"/>
      <c r="P141" s="1457"/>
      <c r="Q141" s="1457"/>
      <c r="R141" s="1457"/>
      <c r="S141" s="1457"/>
      <c r="T141" s="1457"/>
      <c r="U141" s="1457"/>
      <c r="V141" s="1457"/>
      <c r="W141" s="1457"/>
      <c r="X141" s="1457"/>
      <c r="Y141" s="1457"/>
      <c r="Z141" s="1457"/>
      <c r="AA141" s="1457"/>
      <c r="AB141" s="1457"/>
      <c r="AC141" s="1457"/>
      <c r="AD141" s="1457"/>
      <c r="AE141" s="1457"/>
      <c r="AF141" s="1457"/>
      <c r="AG141" s="1457"/>
      <c r="AH141" s="1457"/>
      <c r="AI141" s="1457"/>
      <c r="AJ141" s="1457"/>
      <c r="AK141" s="1457"/>
      <c r="AL141" s="1457"/>
      <c r="AM141" s="1457"/>
      <c r="AN141" s="1457"/>
      <c r="AO141" s="1457"/>
      <c r="AP141" s="1457"/>
      <c r="AQ141" s="1457"/>
      <c r="AR141" s="1457"/>
      <c r="AS141" s="1457"/>
      <c r="AT141" s="1457"/>
      <c r="AU141" s="1457"/>
    </row>
    <row r="142" spans="1:47">
      <c r="A142" s="1470"/>
      <c r="B142" s="1457"/>
      <c r="C142" s="1457"/>
      <c r="D142" s="1457"/>
      <c r="E142" s="1457"/>
      <c r="F142" s="1457"/>
      <c r="G142" s="1457"/>
      <c r="H142" s="1457"/>
      <c r="I142" s="1457"/>
      <c r="J142" s="1457"/>
      <c r="K142" s="1457"/>
      <c r="L142" s="1457"/>
      <c r="M142" s="1457"/>
      <c r="N142" s="1457"/>
      <c r="O142" s="1457"/>
      <c r="P142" s="1457"/>
      <c r="Q142" s="1457"/>
      <c r="R142" s="1457"/>
      <c r="S142" s="1457"/>
      <c r="T142" s="1457"/>
      <c r="U142" s="1457"/>
      <c r="V142" s="1457"/>
      <c r="W142" s="1457"/>
      <c r="X142" s="1457"/>
      <c r="Y142" s="1457"/>
      <c r="Z142" s="1457"/>
      <c r="AA142" s="1457"/>
      <c r="AB142" s="1457"/>
      <c r="AC142" s="1457"/>
      <c r="AD142" s="1457"/>
      <c r="AE142" s="1457"/>
      <c r="AF142" s="1457"/>
      <c r="AG142" s="1457"/>
      <c r="AH142" s="1457"/>
      <c r="AI142" s="1457"/>
      <c r="AJ142" s="1457"/>
      <c r="AK142" s="1457"/>
      <c r="AL142" s="1457"/>
      <c r="AM142" s="1457"/>
      <c r="AN142" s="1457"/>
      <c r="AO142" s="1457"/>
      <c r="AP142" s="1457"/>
      <c r="AQ142" s="1457"/>
      <c r="AR142" s="1457"/>
      <c r="AS142" s="1457"/>
      <c r="AT142" s="1457"/>
      <c r="AU142" s="1457"/>
    </row>
    <row r="143" spans="1:47">
      <c r="A143" s="1470"/>
      <c r="B143" s="1457"/>
      <c r="C143" s="1457"/>
      <c r="D143" s="1457"/>
      <c r="E143" s="1457"/>
      <c r="F143" s="1457"/>
      <c r="G143" s="1457"/>
      <c r="H143" s="1457"/>
      <c r="I143" s="1457"/>
      <c r="J143" s="1457"/>
      <c r="K143" s="1457"/>
      <c r="L143" s="1457"/>
      <c r="M143" s="1457"/>
      <c r="N143" s="1457"/>
      <c r="O143" s="1457"/>
      <c r="P143" s="1457"/>
      <c r="Q143" s="1457"/>
      <c r="R143" s="1457"/>
      <c r="S143" s="1457"/>
      <c r="T143" s="1457"/>
      <c r="U143" s="1457"/>
      <c r="V143" s="1457"/>
      <c r="W143" s="1457"/>
      <c r="X143" s="1457"/>
      <c r="Y143" s="1457"/>
      <c r="Z143" s="1457"/>
      <c r="AA143" s="1457"/>
      <c r="AB143" s="1457"/>
      <c r="AC143" s="1457"/>
      <c r="AD143" s="1457"/>
      <c r="AE143" s="1457"/>
      <c r="AF143" s="1457"/>
      <c r="AG143" s="1457"/>
      <c r="AH143" s="1457"/>
      <c r="AI143" s="1457"/>
      <c r="AJ143" s="1457"/>
      <c r="AK143" s="1457"/>
      <c r="AL143" s="1457"/>
      <c r="AM143" s="1457"/>
      <c r="AN143" s="1457"/>
      <c r="AO143" s="1457"/>
      <c r="AP143" s="1457"/>
      <c r="AQ143" s="1457"/>
      <c r="AR143" s="1457"/>
      <c r="AS143" s="1457"/>
      <c r="AT143" s="1457"/>
      <c r="AU143" s="1457"/>
    </row>
    <row r="144" spans="1:47">
      <c r="A144" s="1470"/>
      <c r="B144" s="1457"/>
      <c r="C144" s="1457"/>
      <c r="D144" s="1457"/>
      <c r="E144" s="1457"/>
      <c r="F144" s="1457"/>
      <c r="G144" s="1457"/>
      <c r="H144" s="1457"/>
      <c r="I144" s="1457"/>
      <c r="J144" s="1457"/>
      <c r="K144" s="1457"/>
      <c r="L144" s="1457"/>
      <c r="M144" s="1457"/>
      <c r="N144" s="1457"/>
      <c r="O144" s="1457"/>
      <c r="P144" s="1457"/>
      <c r="Q144" s="1457"/>
      <c r="R144" s="1457"/>
      <c r="S144" s="1457"/>
      <c r="T144" s="1457"/>
      <c r="U144" s="1457"/>
      <c r="V144" s="1457"/>
      <c r="W144" s="1457"/>
      <c r="X144" s="1457"/>
      <c r="Y144" s="1457"/>
      <c r="Z144" s="1457"/>
      <c r="AA144" s="1457"/>
      <c r="AB144" s="1457"/>
      <c r="AC144" s="1457"/>
      <c r="AD144" s="1457"/>
      <c r="AE144" s="1457"/>
      <c r="AF144" s="1457"/>
      <c r="AG144" s="1457"/>
      <c r="AH144" s="1457"/>
      <c r="AI144" s="1457"/>
      <c r="AJ144" s="1457"/>
      <c r="AK144" s="1457"/>
      <c r="AL144" s="1457"/>
      <c r="AM144" s="1457"/>
      <c r="AN144" s="1457"/>
      <c r="AO144" s="1457"/>
      <c r="AP144" s="1457"/>
      <c r="AQ144" s="1457"/>
      <c r="AR144" s="1457"/>
      <c r="AS144" s="1457"/>
      <c r="AT144" s="1457"/>
      <c r="AU144" s="1457"/>
    </row>
    <row r="145" spans="1:47">
      <c r="A145" s="1470"/>
      <c r="B145" s="1457"/>
      <c r="C145" s="1457"/>
      <c r="D145" s="1457"/>
      <c r="E145" s="1457"/>
      <c r="F145" s="1457"/>
      <c r="G145" s="1457"/>
      <c r="H145" s="1457"/>
      <c r="I145" s="1457"/>
      <c r="J145" s="1457"/>
      <c r="K145" s="1457"/>
      <c r="L145" s="1457"/>
      <c r="M145" s="1457"/>
      <c r="N145" s="1457"/>
      <c r="O145" s="1457"/>
      <c r="P145" s="1457"/>
      <c r="Q145" s="1457"/>
      <c r="R145" s="1457"/>
      <c r="S145" s="1457"/>
      <c r="T145" s="1457"/>
      <c r="U145" s="1457"/>
      <c r="V145" s="1457"/>
      <c r="W145" s="1457"/>
      <c r="X145" s="1457"/>
      <c r="Y145" s="1457"/>
      <c r="Z145" s="1457"/>
      <c r="AA145" s="1457"/>
      <c r="AB145" s="1457"/>
      <c r="AC145" s="1457"/>
      <c r="AD145" s="1457"/>
      <c r="AE145" s="1457"/>
      <c r="AF145" s="1457"/>
      <c r="AG145" s="1457"/>
      <c r="AH145" s="1457"/>
      <c r="AI145" s="1457"/>
      <c r="AJ145" s="1457"/>
      <c r="AK145" s="1457"/>
      <c r="AL145" s="1457"/>
      <c r="AM145" s="1457"/>
      <c r="AN145" s="1457"/>
      <c r="AO145" s="1457"/>
      <c r="AP145" s="1457"/>
      <c r="AQ145" s="1457"/>
      <c r="AR145" s="1457"/>
      <c r="AS145" s="1457"/>
      <c r="AT145" s="1457"/>
      <c r="AU145" s="1457"/>
    </row>
    <row r="146" spans="1:47">
      <c r="A146" s="1470"/>
      <c r="B146" s="1457"/>
      <c r="C146" s="1457"/>
      <c r="D146" s="1457"/>
      <c r="E146" s="1457"/>
      <c r="F146" s="1457"/>
      <c r="G146" s="1457"/>
      <c r="H146" s="1457"/>
      <c r="I146" s="1457"/>
      <c r="J146" s="1457"/>
      <c r="K146" s="1457"/>
      <c r="L146" s="1457"/>
      <c r="M146" s="1457"/>
      <c r="N146" s="1457"/>
      <c r="O146" s="1457"/>
      <c r="P146" s="1457"/>
      <c r="Q146" s="1457"/>
      <c r="R146" s="1457"/>
      <c r="S146" s="1457"/>
      <c r="T146" s="1457"/>
      <c r="U146" s="1457"/>
      <c r="V146" s="1457"/>
      <c r="W146" s="1457"/>
      <c r="X146" s="1457"/>
      <c r="Y146" s="1457"/>
      <c r="Z146" s="1457"/>
      <c r="AA146" s="1457"/>
      <c r="AB146" s="1457"/>
      <c r="AC146" s="1457"/>
      <c r="AD146" s="1457"/>
      <c r="AE146" s="1457"/>
      <c r="AF146" s="1457"/>
      <c r="AG146" s="1457"/>
      <c r="AH146" s="1457"/>
      <c r="AI146" s="1457"/>
      <c r="AJ146" s="1457"/>
      <c r="AK146" s="1457"/>
      <c r="AL146" s="1457"/>
      <c r="AM146" s="1457"/>
      <c r="AN146" s="1457"/>
      <c r="AO146" s="1457"/>
      <c r="AP146" s="1457"/>
      <c r="AQ146" s="1457"/>
      <c r="AR146" s="1457"/>
      <c r="AS146" s="1457"/>
      <c r="AT146" s="1457"/>
      <c r="AU146" s="1457"/>
    </row>
    <row r="147" spans="1:47">
      <c r="A147" s="1470"/>
      <c r="B147" s="1457"/>
      <c r="C147" s="1457"/>
      <c r="D147" s="1457"/>
      <c r="E147" s="1457"/>
      <c r="F147" s="1457"/>
      <c r="G147" s="1457"/>
      <c r="H147" s="1457"/>
      <c r="I147" s="1457"/>
      <c r="J147" s="1457"/>
      <c r="K147" s="1457"/>
      <c r="L147" s="1457"/>
      <c r="M147" s="1457"/>
      <c r="N147" s="1457"/>
      <c r="O147" s="1457"/>
      <c r="P147" s="1457"/>
      <c r="Q147" s="1457"/>
      <c r="R147" s="1457"/>
      <c r="S147" s="1457"/>
      <c r="T147" s="1457"/>
      <c r="U147" s="1457"/>
      <c r="V147" s="1457"/>
      <c r="W147" s="1457"/>
      <c r="X147" s="1457"/>
      <c r="Y147" s="1457"/>
      <c r="Z147" s="1457"/>
      <c r="AA147" s="1457"/>
      <c r="AB147" s="1457"/>
      <c r="AC147" s="1457"/>
      <c r="AD147" s="1457"/>
      <c r="AE147" s="1457"/>
      <c r="AF147" s="1457"/>
      <c r="AG147" s="1457"/>
      <c r="AH147" s="1457"/>
      <c r="AI147" s="1457"/>
      <c r="AJ147" s="1457"/>
      <c r="AK147" s="1457"/>
      <c r="AL147" s="1457"/>
      <c r="AM147" s="1457"/>
      <c r="AN147" s="1457"/>
      <c r="AO147" s="1457"/>
      <c r="AP147" s="1457"/>
      <c r="AQ147" s="1457"/>
      <c r="AR147" s="1457"/>
      <c r="AS147" s="1457"/>
      <c r="AT147" s="1457"/>
      <c r="AU147" s="1457"/>
    </row>
    <row r="148" spans="1:4">
      <c r="A148" s="1470"/>
      <c r="B148" s="1457"/>
      <c r="C148" s="1457"/>
      <c r="D148" s="1457"/>
    </row>
    <row r="149" spans="1:4">
      <c r="A149" s="1470"/>
      <c r="B149" s="1457"/>
      <c r="C149" s="1457"/>
      <c r="D149" s="1457"/>
    </row>
    <row r="150" spans="1:4">
      <c r="A150" s="1470"/>
      <c r="B150" s="1457"/>
      <c r="C150" s="1457"/>
      <c r="D150" s="1457"/>
    </row>
    <row r="151" spans="1:4">
      <c r="A151" s="1470"/>
      <c r="B151" s="1457"/>
      <c r="C151" s="1457"/>
      <c r="D151" s="1457"/>
    </row>
    <row r="152" spans="2:4">
      <c r="B152" s="1457"/>
      <c r="C152" s="1457"/>
      <c r="D152" s="1457"/>
    </row>
    <row r="153" spans="2:4">
      <c r="B153" s="1457"/>
      <c r="C153" s="1457"/>
      <c r="D153" s="1457"/>
    </row>
    <row r="154" spans="2:4">
      <c r="B154" s="1457"/>
      <c r="C154" s="1457"/>
      <c r="D154" s="1457"/>
    </row>
    <row r="155" spans="2:4">
      <c r="B155" s="1457"/>
      <c r="C155" s="1457"/>
      <c r="D155" s="1457"/>
    </row>
    <row r="156" spans="2:4">
      <c r="B156" s="1457"/>
      <c r="C156" s="1457"/>
      <c r="D156" s="1457"/>
    </row>
    <row r="157" spans="2:4">
      <c r="B157" s="1457"/>
      <c r="C157" s="1457"/>
      <c r="D157" s="1457"/>
    </row>
    <row r="158" spans="2:4">
      <c r="B158" s="1457"/>
      <c r="C158" s="1457"/>
      <c r="D158" s="1457"/>
    </row>
    <row r="159" spans="2:4">
      <c r="B159" s="1457"/>
      <c r="C159" s="1457"/>
      <c r="D159" s="1457"/>
    </row>
    <row r="160" spans="2:4">
      <c r="B160" s="1457"/>
      <c r="C160" s="1457"/>
      <c r="D160" s="1457"/>
    </row>
    <row r="161" spans="2:4">
      <c r="B161" s="1457"/>
      <c r="C161" s="1457"/>
      <c r="D161" s="1457"/>
    </row>
    <row r="162" spans="2:4">
      <c r="B162" s="1457"/>
      <c r="C162" s="1457"/>
      <c r="D162" s="1457"/>
    </row>
    <row r="163" spans="2:4">
      <c r="B163" s="1457"/>
      <c r="C163" s="1457"/>
      <c r="D163" s="1457"/>
    </row>
    <row r="164" spans="2:4">
      <c r="B164" s="1457"/>
      <c r="C164" s="1457"/>
      <c r="D164" s="1457"/>
    </row>
    <row r="165" spans="2:4">
      <c r="B165" s="1457"/>
      <c r="C165" s="1457"/>
      <c r="D165" s="1457"/>
    </row>
    <row r="166" spans="2:4">
      <c r="B166" s="1457"/>
      <c r="C166" s="1457"/>
      <c r="D166" s="1457"/>
    </row>
    <row r="167" spans="2:4">
      <c r="B167" s="1457"/>
      <c r="C167" s="1457"/>
      <c r="D167" s="1457"/>
    </row>
    <row r="168" spans="2:4">
      <c r="B168" s="1457"/>
      <c r="C168" s="1457"/>
      <c r="D168" s="1457"/>
    </row>
    <row r="169" spans="2:4">
      <c r="B169" s="1457"/>
      <c r="C169" s="1457"/>
      <c r="D169" s="1457"/>
    </row>
    <row r="170" spans="2:4">
      <c r="B170" s="1457"/>
      <c r="C170" s="1457"/>
      <c r="D170" s="1457"/>
    </row>
    <row r="171" spans="2:4">
      <c r="B171" s="1457"/>
      <c r="C171" s="1457"/>
      <c r="D171" s="1457"/>
    </row>
    <row r="180" spans="47:47">
      <c r="AU180" s="1457"/>
    </row>
    <row r="181" spans="47:47">
      <c r="AU181" s="1457"/>
    </row>
    <row r="182" spans="47:47">
      <c r="AU182" s="1457"/>
    </row>
    <row r="183" spans="47:47">
      <c r="AU183" s="1457"/>
    </row>
    <row r="184" spans="47:47">
      <c r="AU184" s="1457"/>
    </row>
    <row r="185" spans="47:47">
      <c r="AU185" s="1457"/>
    </row>
    <row r="186" spans="47:47">
      <c r="AU186" s="1457"/>
    </row>
    <row r="187" spans="47:47">
      <c r="AU187" s="1457"/>
    </row>
    <row r="188" spans="47:47">
      <c r="AU188" s="1457"/>
    </row>
    <row r="189" spans="47:47">
      <c r="AU189" s="1457"/>
    </row>
    <row r="190" spans="47:47">
      <c r="AU190" s="1457"/>
    </row>
    <row r="191" spans="47:47">
      <c r="AU191" s="1457"/>
    </row>
    <row r="192" spans="47:47">
      <c r="AU192" s="1457"/>
    </row>
  </sheetData>
  <sheetProtection sheet="1" selectLockedCells="1" formatCells="0" objects="1"/>
  <mergeCells count="314">
    <mergeCell ref="B2:AW2"/>
    <mergeCell ref="B3:G3"/>
    <mergeCell ref="H3:M3"/>
    <mergeCell ref="N3:S3"/>
    <mergeCell ref="T3:Y3"/>
    <mergeCell ref="Z3:AE3"/>
    <mergeCell ref="AF3:AK3"/>
    <mergeCell ref="AL3:AQ3"/>
    <mergeCell ref="AR3:AW3"/>
    <mergeCell ref="B7:AW7"/>
    <mergeCell ref="B8:G8"/>
    <mergeCell ref="H8:M8"/>
    <mergeCell ref="N8:S8"/>
    <mergeCell ref="T8:Y8"/>
    <mergeCell ref="Z8:AE8"/>
    <mergeCell ref="AF8:AK8"/>
    <mergeCell ref="AL8:AQ8"/>
    <mergeCell ref="AR8:AW8"/>
    <mergeCell ref="H65:J65"/>
    <mergeCell ref="K65:L65"/>
    <mergeCell ref="M65:N65"/>
    <mergeCell ref="O65:R65"/>
    <mergeCell ref="H66:J66"/>
    <mergeCell ref="K66:L66"/>
    <mergeCell ref="M66:N66"/>
    <mergeCell ref="O66:Q66"/>
    <mergeCell ref="H67:J67"/>
    <mergeCell ref="K67:L67"/>
    <mergeCell ref="M67:N67"/>
    <mergeCell ref="O67:Q67"/>
    <mergeCell ref="H68:J68"/>
    <mergeCell ref="K68:L68"/>
    <mergeCell ref="M68:N68"/>
    <mergeCell ref="O68:Q68"/>
    <mergeCell ref="H69:J69"/>
    <mergeCell ref="K69:L69"/>
    <mergeCell ref="M69:N69"/>
    <mergeCell ref="O69:Q69"/>
    <mergeCell ref="H70:J70"/>
    <mergeCell ref="K70:L70"/>
    <mergeCell ref="M70:N70"/>
    <mergeCell ref="O70:Q70"/>
    <mergeCell ref="H71:J71"/>
    <mergeCell ref="K71:L71"/>
    <mergeCell ref="M71:N71"/>
    <mergeCell ref="O71:Q71"/>
    <mergeCell ref="H72:J72"/>
    <mergeCell ref="K72:L72"/>
    <mergeCell ref="M72:N72"/>
    <mergeCell ref="O72:Q72"/>
    <mergeCell ref="H73:J73"/>
    <mergeCell ref="K73:L73"/>
    <mergeCell ref="M73:N73"/>
    <mergeCell ref="O73:Q73"/>
    <mergeCell ref="Z92:AU92"/>
    <mergeCell ref="X109:AA109"/>
    <mergeCell ref="AJ109:AM109"/>
    <mergeCell ref="X112:AA112"/>
    <mergeCell ref="AJ112:AM112"/>
    <mergeCell ref="A27:A31"/>
    <mergeCell ref="A32:A35"/>
    <mergeCell ref="A36:A39"/>
    <mergeCell ref="A40:A43"/>
    <mergeCell ref="A44:A84"/>
    <mergeCell ref="B9:B10"/>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AF9:AF10"/>
    <mergeCell ref="AF11:AF12"/>
    <mergeCell ref="AF13:AF14"/>
    <mergeCell ref="AF15:AF16"/>
    <mergeCell ref="AF17:AF18"/>
    <mergeCell ref="AF19:AF20"/>
    <mergeCell ref="AF21:AF22"/>
    <mergeCell ref="AF23:AF24"/>
    <mergeCell ref="AF25:AF26"/>
    <mergeCell ref="AL9:AL10"/>
    <mergeCell ref="AL13:AL14"/>
    <mergeCell ref="AL15:AL16"/>
    <mergeCell ref="AL17:AL18"/>
    <mergeCell ref="AL19:AL20"/>
    <mergeCell ref="AL21:AL22"/>
    <mergeCell ref="AL23:AL24"/>
    <mergeCell ref="AL25:AL26"/>
    <mergeCell ref="AR9:AR10"/>
    <mergeCell ref="AR11:AR12"/>
    <mergeCell ref="AR13:AR14"/>
    <mergeCell ref="AR15:AR16"/>
    <mergeCell ref="AR17:AR18"/>
    <mergeCell ref="AR19:AR20"/>
    <mergeCell ref="AR21:AR22"/>
    <mergeCell ref="AR23:AR24"/>
    <mergeCell ref="AR25:AR26"/>
    <mergeCell ref="H54:M57"/>
    <mergeCell ref="B27:G31"/>
    <mergeCell ref="H27:M31"/>
    <mergeCell ref="N27:S31"/>
    <mergeCell ref="T27:Y31"/>
    <mergeCell ref="Z27:AE31"/>
    <mergeCell ref="AF27:AK31"/>
    <mergeCell ref="AL27:AQ31"/>
    <mergeCell ref="AR27:AW31"/>
    <mergeCell ref="U25:Y26"/>
    <mergeCell ref="C9:G10"/>
    <mergeCell ref="AG9:AK10"/>
    <mergeCell ref="B44:G46"/>
    <mergeCell ref="H44:M46"/>
    <mergeCell ref="N44:S46"/>
    <mergeCell ref="T44:Y46"/>
    <mergeCell ref="Z44:AE46"/>
    <mergeCell ref="AF44:AK46"/>
    <mergeCell ref="AL44:AQ46"/>
    <mergeCell ref="AR44:AW46"/>
    <mergeCell ref="O11:S12"/>
    <mergeCell ref="AS11:AW12"/>
    <mergeCell ref="M94:W95"/>
    <mergeCell ref="C11:G12"/>
    <mergeCell ref="AG11:AK12"/>
    <mergeCell ref="AL59:AQ61"/>
    <mergeCell ref="I19:M20"/>
    <mergeCell ref="AM19:AQ20"/>
    <mergeCell ref="B4:G5"/>
    <mergeCell ref="H4:M5"/>
    <mergeCell ref="N4:S5"/>
    <mergeCell ref="T4:Y5"/>
    <mergeCell ref="Z4:AE5"/>
    <mergeCell ref="AF4:AK5"/>
    <mergeCell ref="AL4:AQ5"/>
    <mergeCell ref="AR4:AW5"/>
    <mergeCell ref="I21:M22"/>
    <mergeCell ref="AM21:AQ22"/>
    <mergeCell ref="Z98:AG99"/>
    <mergeCell ref="B36:G39"/>
    <mergeCell ref="H36:M39"/>
    <mergeCell ref="N36:S39"/>
    <mergeCell ref="T36:Y39"/>
    <mergeCell ref="Z36:AE39"/>
    <mergeCell ref="AF36:AK39"/>
    <mergeCell ref="AL36:AQ39"/>
    <mergeCell ref="AR36:AW39"/>
    <mergeCell ref="O17:S18"/>
    <mergeCell ref="AS17:AW18"/>
    <mergeCell ref="AA23:AE24"/>
    <mergeCell ref="I17:M18"/>
    <mergeCell ref="AM17:AQ18"/>
    <mergeCell ref="B40:G43"/>
    <mergeCell ref="H40:M43"/>
    <mergeCell ref="N40:S43"/>
    <mergeCell ref="T40:Y43"/>
    <mergeCell ref="Z40:AE43"/>
    <mergeCell ref="AF40:AK43"/>
    <mergeCell ref="AL40:AQ43"/>
    <mergeCell ref="AR40:AW43"/>
    <mergeCell ref="U64:V66"/>
    <mergeCell ref="AO112:AU121"/>
    <mergeCell ref="T49:Y51"/>
    <mergeCell ref="AF49:AK51"/>
    <mergeCell ref="AL49:AQ51"/>
    <mergeCell ref="AR49:AW51"/>
    <mergeCell ref="AC115:AM121"/>
    <mergeCell ref="I9:M10"/>
    <mergeCell ref="AM9:AQ10"/>
    <mergeCell ref="O21:S22"/>
    <mergeCell ref="AS21:AW22"/>
    <mergeCell ref="I11:M12"/>
    <mergeCell ref="C25:G26"/>
    <mergeCell ref="AG25:AK26"/>
    <mergeCell ref="O25:S26"/>
    <mergeCell ref="AS25:AW26"/>
    <mergeCell ref="W73:AJ75"/>
    <mergeCell ref="B92:L101"/>
    <mergeCell ref="N54:P57"/>
    <mergeCell ref="U79:V81"/>
    <mergeCell ref="R107:AA108"/>
    <mergeCell ref="B107:P108"/>
    <mergeCell ref="X110:AA111"/>
    <mergeCell ref="AJ110:AM111"/>
    <mergeCell ref="X113:AA114"/>
    <mergeCell ref="AJ113:AM114"/>
    <mergeCell ref="O13:S14"/>
    <mergeCell ref="AS13:AW14"/>
    <mergeCell ref="B109:M115"/>
    <mergeCell ref="B32:G35"/>
    <mergeCell ref="H32:M35"/>
    <mergeCell ref="N32:S35"/>
    <mergeCell ref="T32:Y35"/>
    <mergeCell ref="Z32:AE35"/>
    <mergeCell ref="AF32:AK35"/>
    <mergeCell ref="AL32:AQ35"/>
    <mergeCell ref="AR32:AW35"/>
    <mergeCell ref="AN70:AW73"/>
    <mergeCell ref="Z90:AU91"/>
    <mergeCell ref="C13:G14"/>
    <mergeCell ref="AG13:AK14"/>
    <mergeCell ref="U76:V78"/>
    <mergeCell ref="B90:W91"/>
    <mergeCell ref="AA11:AE12"/>
    <mergeCell ref="O19:S20"/>
    <mergeCell ref="AS19:AW20"/>
    <mergeCell ref="O9:S10"/>
    <mergeCell ref="AS9:AW10"/>
    <mergeCell ref="Y54:AF57"/>
    <mergeCell ref="U67:V69"/>
    <mergeCell ref="C19:G20"/>
    <mergeCell ref="AG19:AK20"/>
    <mergeCell ref="U9:Y10"/>
    <mergeCell ref="U23:Y24"/>
    <mergeCell ref="I25:M26"/>
    <mergeCell ref="AM25:AQ26"/>
    <mergeCell ref="I13:M14"/>
    <mergeCell ref="AM13:AQ14"/>
    <mergeCell ref="AO109:AU111"/>
    <mergeCell ref="O23:S24"/>
    <mergeCell ref="AS23:AW24"/>
    <mergeCell ref="B103:AU105"/>
    <mergeCell ref="AA21:AE22"/>
    <mergeCell ref="M92:W93"/>
    <mergeCell ref="C17:G18"/>
    <mergeCell ref="AG17:AK18"/>
    <mergeCell ref="AA19:AE20"/>
    <mergeCell ref="C21:G22"/>
    <mergeCell ref="AG21:AK22"/>
    <mergeCell ref="AA25:AE26"/>
    <mergeCell ref="I23:M24"/>
    <mergeCell ref="AM23:AQ24"/>
    <mergeCell ref="AG23:AK24"/>
    <mergeCell ref="F65:G73"/>
    <mergeCell ref="W79:AJ81"/>
    <mergeCell ref="AA15:AE16"/>
    <mergeCell ref="O15:S16"/>
    <mergeCell ref="AS15:AW16"/>
    <mergeCell ref="AC107:AM108"/>
    <mergeCell ref="AC109:AI114"/>
    <mergeCell ref="N58:P61"/>
    <mergeCell ref="W64:AJ66"/>
    <mergeCell ref="U73:V75"/>
    <mergeCell ref="W70:AJ72"/>
    <mergeCell ref="R109:W114"/>
    <mergeCell ref="U21:Y22"/>
    <mergeCell ref="AL54:AQ56"/>
    <mergeCell ref="AN64:AW65"/>
    <mergeCell ref="U11:Y12"/>
    <mergeCell ref="AN66:AW69"/>
    <mergeCell ref="C15:G16"/>
    <mergeCell ref="AG15:AK16"/>
    <mergeCell ref="AA17:AE18"/>
    <mergeCell ref="AA9:AE10"/>
    <mergeCell ref="AI98:AU99"/>
    <mergeCell ref="M100:W101"/>
    <mergeCell ref="R115:AA121"/>
    <mergeCell ref="N109:P121"/>
    <mergeCell ref="U70:V72"/>
    <mergeCell ref="I15:M16"/>
    <mergeCell ref="AM15:AQ16"/>
    <mergeCell ref="B86:AU88"/>
    <mergeCell ref="U13:Y14"/>
    <mergeCell ref="M98:W99"/>
    <mergeCell ref="Z93:AJ96"/>
    <mergeCell ref="AK93:AU96"/>
    <mergeCell ref="AA13:AE14"/>
    <mergeCell ref="H58:M61"/>
    <mergeCell ref="U15:Y16"/>
    <mergeCell ref="B116:M121"/>
    <mergeCell ref="W67:AJ69"/>
    <mergeCell ref="U17:Y18"/>
    <mergeCell ref="W76:AJ78"/>
    <mergeCell ref="F74:N75"/>
    <mergeCell ref="AO107:AU108"/>
    <mergeCell ref="M96:W97"/>
    <mergeCell ref="U19:Y20"/>
    <mergeCell ref="BD38:BU43"/>
    <mergeCell ref="K49:P51"/>
    <mergeCell ref="U82:AJ84"/>
  </mergeCells>
  <pageMargins left="0.75" right="0.75" top="1" bottom="1" header="0.509027777777778" footer="0.509027777777778"/>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25"/>
  <sheetViews>
    <sheetView showGridLines="0" showRowColHeaders="0" zoomScale="66" zoomScaleNormal="66" topLeftCell="C1" workbookViewId="0">
      <selection activeCell="P50" sqref="P50"/>
    </sheetView>
  </sheetViews>
  <sheetFormatPr defaultColWidth="9" defaultRowHeight="16.8"/>
  <cols>
    <col min="1" max="1" width="5.73076923076923" customWidth="1"/>
    <col min="5" max="5" width="8.08653846153846" customWidth="1"/>
    <col min="6" max="6" width="8" customWidth="1"/>
    <col min="7" max="8" width="6.63461538461539" customWidth="1"/>
    <col min="9" max="10" width="7.63461538461539" customWidth="1"/>
    <col min="14" max="14" width="8" customWidth="1"/>
    <col min="15" max="16" width="6.63461538461539" customWidth="1"/>
    <col min="17" max="18" width="7.63461538461539" customWidth="1"/>
    <col min="22" max="22" width="8" customWidth="1"/>
    <col min="23" max="23" width="8.08653846153846" customWidth="1"/>
    <col min="24" max="24" width="6.63461538461539" customWidth="1"/>
    <col min="25" max="25" width="8" customWidth="1"/>
    <col min="26" max="26" width="7.63461538461539" customWidth="1"/>
  </cols>
  <sheetData>
    <row r="1" ht="21" customHeight="1"/>
    <row r="2" s="34" customFormat="1" ht="12" customHeight="1" spans="2:28">
      <c r="B2" s="1135" t="s">
        <v>3692</v>
      </c>
      <c r="C2" s="1136"/>
      <c r="D2" s="1136"/>
      <c r="E2" s="1136"/>
      <c r="F2" s="1136"/>
      <c r="G2" s="1136"/>
      <c r="H2" s="1136"/>
      <c r="I2" s="1136"/>
      <c r="J2" s="1136"/>
      <c r="K2" s="1136"/>
      <c r="L2" s="1136"/>
      <c r="M2" s="1136"/>
      <c r="N2" s="1136"/>
      <c r="O2" s="1136"/>
      <c r="P2" s="1136"/>
      <c r="Q2" s="1136"/>
      <c r="R2" s="1136"/>
      <c r="S2" s="1136"/>
      <c r="T2" s="1136"/>
      <c r="U2" s="1136"/>
      <c r="V2" s="1136"/>
      <c r="W2" s="1136"/>
      <c r="X2" s="1136"/>
      <c r="Y2" s="1136"/>
      <c r="Z2" s="1136"/>
      <c r="AA2" s="1232"/>
      <c r="AB2" s="1233"/>
    </row>
    <row r="3" s="34" customFormat="1" ht="13" customHeight="1" spans="2:28">
      <c r="B3" s="1137"/>
      <c r="C3" s="1138"/>
      <c r="D3" s="1138"/>
      <c r="E3" s="1138"/>
      <c r="F3" s="1138"/>
      <c r="G3" s="1138"/>
      <c r="H3" s="1138"/>
      <c r="I3" s="1138"/>
      <c r="J3" s="1138"/>
      <c r="K3" s="1138"/>
      <c r="L3" s="1138"/>
      <c r="M3" s="1138"/>
      <c r="N3" s="1138"/>
      <c r="O3" s="1138"/>
      <c r="P3" s="1138"/>
      <c r="Q3" s="1138"/>
      <c r="R3" s="1138"/>
      <c r="S3" s="1138"/>
      <c r="T3" s="1138"/>
      <c r="U3" s="1138"/>
      <c r="V3" s="1138"/>
      <c r="W3" s="1138"/>
      <c r="X3" s="1138"/>
      <c r="Y3" s="1138"/>
      <c r="Z3" s="1138"/>
      <c r="AA3" s="1234"/>
      <c r="AB3" s="1233"/>
    </row>
    <row r="4" s="34" customFormat="1" ht="18" customHeight="1" spans="1:28">
      <c r="A4" s="1139"/>
      <c r="B4" s="1140"/>
      <c r="C4" s="1141"/>
      <c r="D4" s="1141"/>
      <c r="E4" s="1141"/>
      <c r="F4" s="1141"/>
      <c r="G4" s="1141"/>
      <c r="H4" s="1141"/>
      <c r="I4" s="1141"/>
      <c r="J4" s="1141"/>
      <c r="K4" s="1141"/>
      <c r="L4" s="1141"/>
      <c r="M4" s="1141"/>
      <c r="N4" s="1141"/>
      <c r="O4" s="1141"/>
      <c r="P4" s="1141"/>
      <c r="Q4" s="1141"/>
      <c r="R4" s="1141"/>
      <c r="S4" s="1141"/>
      <c r="T4" s="1141"/>
      <c r="U4" s="1141"/>
      <c r="V4" s="1141"/>
      <c r="W4" s="1141"/>
      <c r="X4" s="1141"/>
      <c r="Y4" s="1141"/>
      <c r="Z4" s="1141"/>
      <c r="AA4" s="1235"/>
      <c r="AB4" s="1233"/>
    </row>
    <row r="5" s="34" customFormat="1" ht="17.55" spans="2:28">
      <c r="B5" s="1142"/>
      <c r="C5" s="1142"/>
      <c r="D5" s="1142"/>
      <c r="E5" s="1142"/>
      <c r="F5" s="1142"/>
      <c r="G5" s="1142"/>
      <c r="H5" s="1142"/>
      <c r="I5" s="1142"/>
      <c r="J5" s="1142"/>
      <c r="K5" s="1142"/>
      <c r="L5" s="1142"/>
      <c r="M5" s="1142"/>
      <c r="N5" s="1142"/>
      <c r="O5" s="1142"/>
      <c r="P5" s="1142"/>
      <c r="Q5" s="1142"/>
      <c r="R5" s="1142"/>
      <c r="S5" s="1142"/>
      <c r="T5" s="1142"/>
      <c r="V5" s="1221"/>
      <c r="W5" s="1221"/>
      <c r="X5" s="1221"/>
      <c r="Y5" s="1221"/>
      <c r="Z5" s="1221"/>
      <c r="AA5" s="1221"/>
      <c r="AB5" s="1221"/>
    </row>
    <row r="6" s="34" customFormat="1" spans="1:27">
      <c r="A6" s="1143" t="s">
        <v>3693</v>
      </c>
      <c r="B6" s="1143"/>
      <c r="C6" s="1143"/>
      <c r="D6" s="1143"/>
      <c r="E6" s="1162" t="s">
        <v>3694</v>
      </c>
      <c r="F6" s="1163"/>
      <c r="G6" s="1163"/>
      <c r="H6" s="1163"/>
      <c r="I6" s="1163"/>
      <c r="J6" s="1163"/>
      <c r="K6" s="1186"/>
      <c r="L6" s="1167"/>
      <c r="M6" s="1162" t="s">
        <v>3695</v>
      </c>
      <c r="N6" s="1163"/>
      <c r="O6" s="1163"/>
      <c r="P6" s="1163"/>
      <c r="Q6" s="1163"/>
      <c r="R6" s="1163"/>
      <c r="S6" s="1186"/>
      <c r="T6"/>
      <c r="U6"/>
      <c r="V6"/>
      <c r="W6"/>
      <c r="X6"/>
      <c r="Y6"/>
      <c r="Z6"/>
      <c r="AA6"/>
    </row>
    <row r="7" s="34" customFormat="1" spans="1:27">
      <c r="A7" s="1143"/>
      <c r="B7" s="1143"/>
      <c r="C7" s="1143"/>
      <c r="D7" s="1143"/>
      <c r="E7" s="1164" t="s">
        <v>188</v>
      </c>
      <c r="F7" s="1165" t="s">
        <v>102</v>
      </c>
      <c r="G7" s="1165" t="s">
        <v>3696</v>
      </c>
      <c r="H7" s="1165"/>
      <c r="I7" s="1165" t="s">
        <v>190</v>
      </c>
      <c r="J7" s="1165"/>
      <c r="K7" s="1187" t="s">
        <v>189</v>
      </c>
      <c r="L7" s="1167"/>
      <c r="M7" s="1164" t="s">
        <v>188</v>
      </c>
      <c r="N7" s="1165" t="s">
        <v>102</v>
      </c>
      <c r="O7" s="1165" t="s">
        <v>3696</v>
      </c>
      <c r="P7" s="1165"/>
      <c r="Q7" s="1165" t="s">
        <v>190</v>
      </c>
      <c r="R7" s="1165"/>
      <c r="S7" s="1187" t="s">
        <v>189</v>
      </c>
      <c r="T7"/>
      <c r="U7"/>
      <c r="V7"/>
      <c r="W7"/>
      <c r="X7"/>
      <c r="Y7"/>
      <c r="Z7"/>
      <c r="AA7"/>
    </row>
    <row r="8" s="34" customFormat="1" ht="40" customHeight="1" spans="1:27">
      <c r="A8" s="1143"/>
      <c r="B8" s="1143"/>
      <c r="C8" s="1143"/>
      <c r="D8" s="1143"/>
      <c r="E8" s="1166" t="s">
        <v>3697</v>
      </c>
      <c r="F8" s="1167">
        <v>0</v>
      </c>
      <c r="G8" s="1167">
        <v>0.5</v>
      </c>
      <c r="H8" s="1167"/>
      <c r="I8" s="1167" t="s">
        <v>3216</v>
      </c>
      <c r="J8" s="1167"/>
      <c r="K8" s="1188">
        <v>0.5</v>
      </c>
      <c r="L8" s="1167"/>
      <c r="M8" s="1166" t="s">
        <v>3697</v>
      </c>
      <c r="N8" s="1167">
        <v>0</v>
      </c>
      <c r="O8" s="1167">
        <v>10</v>
      </c>
      <c r="P8" s="1167"/>
      <c r="Q8" s="1167" t="s">
        <v>3216</v>
      </c>
      <c r="R8" s="1167"/>
      <c r="S8" s="1188">
        <v>10</v>
      </c>
      <c r="T8"/>
      <c r="U8"/>
      <c r="V8"/>
      <c r="W8"/>
      <c r="X8"/>
      <c r="Y8"/>
      <c r="Z8"/>
      <c r="AA8"/>
    </row>
    <row r="9" s="34" customFormat="1" ht="40" customHeight="1" spans="1:27">
      <c r="A9" s="1144" t="s">
        <v>3698</v>
      </c>
      <c r="B9" s="1144"/>
      <c r="C9" s="1144"/>
      <c r="D9" s="1144"/>
      <c r="E9" s="1168" t="s">
        <v>3699</v>
      </c>
      <c r="F9" s="1169" t="s">
        <v>3700</v>
      </c>
      <c r="G9" s="1170" t="s">
        <v>3701</v>
      </c>
      <c r="H9" s="1170"/>
      <c r="I9" s="1170" t="s">
        <v>3702</v>
      </c>
      <c r="J9" s="1170"/>
      <c r="K9" s="1189">
        <v>2</v>
      </c>
      <c r="L9" s="1167"/>
      <c r="M9" s="1168" t="s">
        <v>3699</v>
      </c>
      <c r="N9" s="1169" t="s">
        <v>3700</v>
      </c>
      <c r="O9" s="1170" t="s">
        <v>3703</v>
      </c>
      <c r="P9" s="1170"/>
      <c r="Q9" s="1170" t="s">
        <v>3704</v>
      </c>
      <c r="R9" s="1170"/>
      <c r="S9" s="1189">
        <v>40</v>
      </c>
      <c r="T9"/>
      <c r="U9"/>
      <c r="V9"/>
      <c r="W9"/>
      <c r="X9"/>
      <c r="Y9"/>
      <c r="Z9"/>
      <c r="AA9"/>
    </row>
    <row r="10" s="34" customFormat="1" ht="40" customHeight="1" spans="1:27">
      <c r="A10" s="1144"/>
      <c r="B10" s="1144"/>
      <c r="C10" s="1144"/>
      <c r="D10" s="1144"/>
      <c r="E10" s="1166" t="s">
        <v>3705</v>
      </c>
      <c r="F10" s="1167" t="s">
        <v>3706</v>
      </c>
      <c r="G10" s="1171" t="s">
        <v>3707</v>
      </c>
      <c r="H10" s="1171"/>
      <c r="I10" s="1171" t="s">
        <v>3708</v>
      </c>
      <c r="J10" s="1171"/>
      <c r="K10" s="1188">
        <v>10</v>
      </c>
      <c r="L10" s="1167"/>
      <c r="M10" s="1166" t="s">
        <v>3705</v>
      </c>
      <c r="N10" s="1167" t="s">
        <v>3706</v>
      </c>
      <c r="O10" s="1171" t="s">
        <v>3709</v>
      </c>
      <c r="P10" s="1171"/>
      <c r="Q10" s="1171" t="s">
        <v>3710</v>
      </c>
      <c r="R10" s="1171"/>
      <c r="S10" s="1188">
        <v>200</v>
      </c>
      <c r="T10"/>
      <c r="U10"/>
      <c r="V10"/>
      <c r="W10"/>
      <c r="X10"/>
      <c r="Y10"/>
      <c r="Z10"/>
      <c r="AA10"/>
    </row>
    <row r="11" s="34" customFormat="1" ht="40" customHeight="1" spans="1:27">
      <c r="A11" s="1145"/>
      <c r="B11" s="1145"/>
      <c r="C11" s="1145"/>
      <c r="D11" s="1145"/>
      <c r="E11" s="1168" t="s">
        <v>3711</v>
      </c>
      <c r="F11" s="1169" t="s">
        <v>3712</v>
      </c>
      <c r="G11" s="1170" t="s">
        <v>3713</v>
      </c>
      <c r="H11" s="1170"/>
      <c r="I11" s="1170" t="s">
        <v>3714</v>
      </c>
      <c r="J11" s="1170"/>
      <c r="K11" s="1189">
        <v>50</v>
      </c>
      <c r="L11" s="1167"/>
      <c r="M11" s="1168" t="s">
        <v>3711</v>
      </c>
      <c r="N11" s="1169" t="s">
        <v>3712</v>
      </c>
      <c r="O11" s="1170" t="s">
        <v>3715</v>
      </c>
      <c r="P11" s="1170"/>
      <c r="Q11" s="1170" t="s">
        <v>3716</v>
      </c>
      <c r="R11" s="1170"/>
      <c r="S11" s="1189">
        <v>1000</v>
      </c>
      <c r="T11"/>
      <c r="U11"/>
      <c r="V11"/>
      <c r="W11"/>
      <c r="X11"/>
      <c r="Y11"/>
      <c r="Z11"/>
      <c r="AA11"/>
    </row>
    <row r="12" s="34" customFormat="1" ht="40" customHeight="1" spans="1:27">
      <c r="A12" s="23" t="s">
        <v>3717</v>
      </c>
      <c r="B12" s="23"/>
      <c r="C12" s="23"/>
      <c r="D12" s="23"/>
      <c r="E12" s="1166" t="s">
        <v>3718</v>
      </c>
      <c r="F12" s="1167" t="s">
        <v>3719</v>
      </c>
      <c r="G12" s="1171" t="s">
        <v>3720</v>
      </c>
      <c r="H12" s="1171"/>
      <c r="I12" s="1171" t="s">
        <v>3721</v>
      </c>
      <c r="J12" s="1171"/>
      <c r="K12" s="1188">
        <v>250</v>
      </c>
      <c r="L12" s="1167"/>
      <c r="M12" s="1166" t="s">
        <v>3718</v>
      </c>
      <c r="N12" s="1167" t="s">
        <v>3719</v>
      </c>
      <c r="O12" s="1171" t="s">
        <v>3722</v>
      </c>
      <c r="P12" s="1171"/>
      <c r="Q12" s="1171" t="s">
        <v>3723</v>
      </c>
      <c r="R12" s="1171"/>
      <c r="S12" s="1188">
        <v>5000</v>
      </c>
      <c r="T12"/>
      <c r="U12"/>
      <c r="V12"/>
      <c r="W12"/>
      <c r="X12"/>
      <c r="Y12"/>
      <c r="Z12"/>
      <c r="AA12"/>
    </row>
    <row r="13" s="34" customFormat="1" ht="40" customHeight="1" spans="1:24">
      <c r="A13" s="23"/>
      <c r="B13" s="23"/>
      <c r="C13" s="23"/>
      <c r="D13" s="23"/>
      <c r="E13" s="1172" t="s">
        <v>3724</v>
      </c>
      <c r="F13" s="1173">
        <v>99</v>
      </c>
      <c r="G13" s="1173" t="s">
        <v>3725</v>
      </c>
      <c r="H13" s="1173"/>
      <c r="I13" s="1173" t="s">
        <v>3726</v>
      </c>
      <c r="J13" s="1173"/>
      <c r="K13" s="1190">
        <v>5000</v>
      </c>
      <c r="L13" s="1167"/>
      <c r="M13" s="1172" t="s">
        <v>3724</v>
      </c>
      <c r="N13" s="1173">
        <v>99</v>
      </c>
      <c r="O13" s="1173" t="s">
        <v>3727</v>
      </c>
      <c r="P13" s="1173"/>
      <c r="Q13" s="1173" t="s">
        <v>3728</v>
      </c>
      <c r="R13" s="1173"/>
      <c r="S13" s="1190" t="s">
        <v>3729</v>
      </c>
      <c r="T13"/>
      <c r="U13"/>
      <c r="V13"/>
      <c r="W13"/>
      <c r="X13"/>
    </row>
    <row r="14" s="34" customFormat="1" ht="14" customHeight="1" spans="2:24">
      <c r="B14" s="1"/>
      <c r="C14" s="18"/>
      <c r="D14" s="1146"/>
      <c r="E14" s="1167"/>
      <c r="F14" s="1167"/>
      <c r="G14" s="1167"/>
      <c r="H14" s="1167"/>
      <c r="I14" s="1167"/>
      <c r="J14" s="1167"/>
      <c r="K14" s="1167"/>
      <c r="L14" s="1167"/>
      <c r="M14"/>
      <c r="N14"/>
      <c r="O14"/>
      <c r="P14"/>
      <c r="Q14"/>
      <c r="R14"/>
      <c r="S14"/>
      <c r="T14"/>
      <c r="U14"/>
      <c r="V14"/>
      <c r="W14"/>
      <c r="X14"/>
    </row>
    <row r="15" s="34" customFormat="1" spans="6:18">
      <c r="F15" s="1174" t="s">
        <v>3697</v>
      </c>
      <c r="G15" s="1175"/>
      <c r="H15" s="1175"/>
      <c r="I15" s="1175"/>
      <c r="J15" s="1191"/>
      <c r="N15" s="1198" t="s">
        <v>3730</v>
      </c>
      <c r="O15" s="1199"/>
      <c r="P15" s="1199"/>
      <c r="Q15" s="1199"/>
      <c r="R15" s="1206"/>
    </row>
    <row r="16" s="34" customFormat="1" ht="63" customHeight="1" spans="6:18">
      <c r="F16" s="1176" t="s">
        <v>3731</v>
      </c>
      <c r="G16" s="1144"/>
      <c r="H16" s="1144"/>
      <c r="I16" s="1144"/>
      <c r="J16" s="1192"/>
      <c r="N16" s="1176" t="s">
        <v>3732</v>
      </c>
      <c r="O16" s="1144"/>
      <c r="P16" s="1144"/>
      <c r="Q16" s="1144"/>
      <c r="R16" s="1192"/>
    </row>
    <row r="17" s="34" customFormat="1" spans="2:18">
      <c r="B17" s="1147"/>
      <c r="F17" s="1164" t="s">
        <v>3733</v>
      </c>
      <c r="G17" s="1165"/>
      <c r="H17" s="1165"/>
      <c r="I17" s="1165"/>
      <c r="J17" s="1187"/>
      <c r="N17" s="1164" t="s">
        <v>3734</v>
      </c>
      <c r="O17" s="1165"/>
      <c r="P17" s="1165"/>
      <c r="Q17" s="1165"/>
      <c r="R17" s="1187"/>
    </row>
    <row r="18" s="34" customFormat="1" ht="87" customHeight="1" spans="6:18">
      <c r="F18" s="1176" t="s">
        <v>3735</v>
      </c>
      <c r="G18" s="1144"/>
      <c r="H18" s="1144"/>
      <c r="I18" s="1144"/>
      <c r="J18" s="1192"/>
      <c r="N18" s="1176" t="s">
        <v>3736</v>
      </c>
      <c r="O18" s="1144"/>
      <c r="P18" s="1144"/>
      <c r="Q18" s="1144"/>
      <c r="R18" s="1192"/>
    </row>
    <row r="19" s="34" customFormat="1" spans="6:18">
      <c r="F19" s="1164" t="s">
        <v>3705</v>
      </c>
      <c r="G19" s="1165"/>
      <c r="H19" s="1165"/>
      <c r="I19" s="1165"/>
      <c r="J19" s="1187"/>
      <c r="N19" s="1164" t="s">
        <v>3737</v>
      </c>
      <c r="O19" s="1165"/>
      <c r="P19" s="1165"/>
      <c r="Q19" s="1165"/>
      <c r="R19" s="1187"/>
    </row>
    <row r="20" s="34" customFormat="1" ht="50" customHeight="1" spans="6:18">
      <c r="F20" s="1176" t="s">
        <v>3738</v>
      </c>
      <c r="G20" s="1144"/>
      <c r="H20" s="1144"/>
      <c r="I20" s="1144"/>
      <c r="J20" s="1192"/>
      <c r="N20" s="1176" t="s">
        <v>3739</v>
      </c>
      <c r="O20" s="1144"/>
      <c r="P20" s="1144"/>
      <c r="Q20" s="1144"/>
      <c r="R20" s="1192"/>
    </row>
    <row r="21" s="34" customFormat="1" spans="6:18">
      <c r="F21" s="1164" t="s">
        <v>3711</v>
      </c>
      <c r="G21" s="1165"/>
      <c r="H21" s="1165"/>
      <c r="I21" s="1165"/>
      <c r="J21" s="1187"/>
      <c r="N21" s="1164" t="s">
        <v>3740</v>
      </c>
      <c r="O21" s="1165"/>
      <c r="P21" s="1165"/>
      <c r="Q21" s="1165"/>
      <c r="R21" s="1187"/>
    </row>
    <row r="22" s="34" customFormat="1" ht="50" customHeight="1" spans="6:18">
      <c r="F22" s="1176" t="s">
        <v>3741</v>
      </c>
      <c r="G22" s="1144"/>
      <c r="H22" s="1144"/>
      <c r="I22" s="1144"/>
      <c r="J22" s="1192"/>
      <c r="N22" s="1176" t="s">
        <v>3742</v>
      </c>
      <c r="O22" s="1144"/>
      <c r="P22" s="1144"/>
      <c r="Q22" s="1144"/>
      <c r="R22" s="1192"/>
    </row>
    <row r="23" s="34" customFormat="1" spans="6:18">
      <c r="F23" s="1164" t="s">
        <v>3718</v>
      </c>
      <c r="G23" s="1165"/>
      <c r="H23" s="1165"/>
      <c r="I23" s="1165"/>
      <c r="J23" s="1187"/>
      <c r="N23" s="1176"/>
      <c r="O23" s="1144"/>
      <c r="P23" s="1144"/>
      <c r="Q23" s="1144"/>
      <c r="R23" s="1192"/>
    </row>
    <row r="24" s="34" customFormat="1" ht="50" customHeight="1" spans="6:18">
      <c r="F24" s="1176" t="s">
        <v>3743</v>
      </c>
      <c r="G24" s="1144"/>
      <c r="H24" s="1144"/>
      <c r="I24" s="1144"/>
      <c r="J24" s="1192"/>
      <c r="N24" s="1176"/>
      <c r="O24" s="1144"/>
      <c r="P24" s="1144"/>
      <c r="Q24" s="1144"/>
      <c r="R24" s="1192"/>
    </row>
    <row r="25" s="34" customFormat="1" spans="2:18">
      <c r="B25" s="1147"/>
      <c r="F25" s="1164" t="s">
        <v>3744</v>
      </c>
      <c r="G25" s="1165"/>
      <c r="H25" s="1165"/>
      <c r="I25" s="1165"/>
      <c r="J25" s="1187"/>
      <c r="N25" s="1164" t="s">
        <v>3745</v>
      </c>
      <c r="O25" s="1165"/>
      <c r="P25" s="1165"/>
      <c r="Q25" s="1165"/>
      <c r="R25" s="1187"/>
    </row>
    <row r="26" s="34" customFormat="1" ht="50" customHeight="1" spans="6:18">
      <c r="F26" s="1177" t="s">
        <v>3746</v>
      </c>
      <c r="G26" s="1178"/>
      <c r="H26" s="1178"/>
      <c r="I26" s="1178"/>
      <c r="J26" s="1193"/>
      <c r="N26" s="1200" t="s">
        <v>3747</v>
      </c>
      <c r="O26" s="1201"/>
      <c r="P26" s="1201"/>
      <c r="Q26" s="1201"/>
      <c r="R26" s="1207"/>
    </row>
    <row r="28" ht="17.55"/>
    <row r="29" ht="15" customHeight="1" spans="2:28">
      <c r="B29" s="1135" t="s">
        <v>3748</v>
      </c>
      <c r="C29" s="1136"/>
      <c r="D29" s="1136"/>
      <c r="E29" s="1136"/>
      <c r="F29" s="1136"/>
      <c r="G29" s="1136"/>
      <c r="H29" s="1136"/>
      <c r="I29" s="1136"/>
      <c r="J29" s="1136"/>
      <c r="K29" s="1136"/>
      <c r="L29" s="1136"/>
      <c r="M29" s="1136"/>
      <c r="N29" s="1136"/>
      <c r="O29" s="1136"/>
      <c r="P29" s="1136"/>
      <c r="Q29" s="1136"/>
      <c r="R29" s="1136"/>
      <c r="S29" s="1136"/>
      <c r="T29" s="1136"/>
      <c r="U29" s="1136"/>
      <c r="V29" s="1136"/>
      <c r="W29" s="1136"/>
      <c r="X29" s="1136"/>
      <c r="Y29" s="1136"/>
      <c r="Z29" s="1136"/>
      <c r="AA29" s="1232"/>
      <c r="AB29" s="1236"/>
    </row>
    <row r="30" ht="15" customHeight="1" spans="2:28">
      <c r="B30" s="1137"/>
      <c r="C30" s="1138"/>
      <c r="D30" s="1138"/>
      <c r="E30" s="1138"/>
      <c r="F30" s="1138"/>
      <c r="G30" s="1138"/>
      <c r="H30" s="1138"/>
      <c r="I30" s="1138"/>
      <c r="J30" s="1138"/>
      <c r="K30" s="1138"/>
      <c r="L30" s="1138"/>
      <c r="M30" s="1138"/>
      <c r="N30" s="1138"/>
      <c r="O30" s="1138"/>
      <c r="P30" s="1138"/>
      <c r="Q30" s="1138"/>
      <c r="R30" s="1138"/>
      <c r="S30" s="1138"/>
      <c r="T30" s="1138"/>
      <c r="U30" s="1138"/>
      <c r="V30" s="1138"/>
      <c r="W30" s="1138"/>
      <c r="X30" s="1138"/>
      <c r="Y30" s="1138"/>
      <c r="Z30" s="1138"/>
      <c r="AA30" s="1234"/>
      <c r="AB30" s="1236"/>
    </row>
    <row r="31" ht="15" customHeight="1" spans="2:28">
      <c r="B31" s="1140"/>
      <c r="C31" s="1141"/>
      <c r="D31" s="1141"/>
      <c r="E31" s="1141"/>
      <c r="F31" s="1141"/>
      <c r="G31" s="1141"/>
      <c r="H31" s="1141"/>
      <c r="I31" s="1141"/>
      <c r="J31" s="1141"/>
      <c r="K31" s="1141"/>
      <c r="L31" s="1141"/>
      <c r="M31" s="1141"/>
      <c r="N31" s="1141"/>
      <c r="O31" s="1141"/>
      <c r="P31" s="1141"/>
      <c r="Q31" s="1141"/>
      <c r="R31" s="1141"/>
      <c r="S31" s="1141"/>
      <c r="T31" s="1141"/>
      <c r="U31" s="1141"/>
      <c r="V31" s="1141"/>
      <c r="W31" s="1141"/>
      <c r="X31" s="1141"/>
      <c r="Y31" s="1141"/>
      <c r="Z31" s="1141"/>
      <c r="AA31" s="1235"/>
      <c r="AB31" s="1236"/>
    </row>
    <row r="32" ht="17.55" spans="2:27">
      <c r="B32" s="1148" t="s">
        <v>3749</v>
      </c>
      <c r="C32" s="1149"/>
      <c r="D32" s="1149"/>
      <c r="E32" s="1149"/>
      <c r="F32" s="1149"/>
      <c r="G32" s="1149"/>
      <c r="H32" s="1149"/>
      <c r="I32" s="1149"/>
      <c r="J32" s="1149"/>
      <c r="K32" s="1149"/>
      <c r="L32" s="1149"/>
      <c r="M32" s="1149"/>
      <c r="N32" s="1149"/>
      <c r="O32" s="1149"/>
      <c r="P32" s="1149"/>
      <c r="Q32" s="1149"/>
      <c r="R32" s="1149"/>
      <c r="S32" s="1149"/>
      <c r="T32" s="1149"/>
      <c r="U32" s="1149"/>
      <c r="V32" s="1149"/>
      <c r="W32" s="1149"/>
      <c r="X32" s="1149"/>
      <c r="Y32" s="1149"/>
      <c r="Z32" s="1149"/>
      <c r="AA32" s="1149"/>
    </row>
    <row r="33" ht="16" customHeight="1" spans="2:29">
      <c r="B33" s="1150" t="s">
        <v>3750</v>
      </c>
      <c r="C33" s="1151"/>
      <c r="D33" s="1151"/>
      <c r="E33" s="1179"/>
      <c r="F33" s="130"/>
      <c r="G33" s="1150" t="s">
        <v>3751</v>
      </c>
      <c r="H33" s="1151"/>
      <c r="I33" s="1151"/>
      <c r="J33" s="1151"/>
      <c r="K33" s="1179"/>
      <c r="L33" s="130"/>
      <c r="M33" s="1150" t="s">
        <v>3752</v>
      </c>
      <c r="N33" s="1151"/>
      <c r="O33" s="1151"/>
      <c r="P33" s="1179"/>
      <c r="Q33" s="130"/>
      <c r="R33" s="1150" t="s">
        <v>3753</v>
      </c>
      <c r="S33" s="1151"/>
      <c r="T33" s="1179"/>
      <c r="U33" s="1160"/>
      <c r="V33" s="1150" t="s">
        <v>3754</v>
      </c>
      <c r="W33" s="1151"/>
      <c r="X33" s="1151"/>
      <c r="Y33" s="1151"/>
      <c r="Z33" s="1151"/>
      <c r="AA33" s="1179"/>
      <c r="AC33" s="1243"/>
    </row>
    <row r="34" ht="16" customHeight="1" spans="2:29">
      <c r="B34" s="1152" t="s">
        <v>1330</v>
      </c>
      <c r="C34" s="1153"/>
      <c r="D34" s="1153"/>
      <c r="E34" s="1180" t="s">
        <v>3755</v>
      </c>
      <c r="F34" s="130"/>
      <c r="G34" s="1152" t="s">
        <v>1330</v>
      </c>
      <c r="H34" s="1153"/>
      <c r="I34" s="1153"/>
      <c r="J34" s="1153"/>
      <c r="K34" s="1180" t="s">
        <v>3755</v>
      </c>
      <c r="L34" s="130"/>
      <c r="M34" s="1152" t="s">
        <v>1330</v>
      </c>
      <c r="N34" s="1153"/>
      <c r="O34" s="1153"/>
      <c r="P34" s="1180" t="s">
        <v>3755</v>
      </c>
      <c r="Q34" s="130"/>
      <c r="R34" s="1152" t="s">
        <v>1330</v>
      </c>
      <c r="S34" s="1153"/>
      <c r="T34" s="1180" t="s">
        <v>3755</v>
      </c>
      <c r="U34" s="130"/>
      <c r="V34" s="1152" t="s">
        <v>1330</v>
      </c>
      <c r="W34" s="1153"/>
      <c r="X34" s="1153"/>
      <c r="Y34" s="1153"/>
      <c r="Z34" s="1153" t="s">
        <v>3756</v>
      </c>
      <c r="AA34" s="1180" t="s">
        <v>3755</v>
      </c>
      <c r="AC34" s="1243"/>
    </row>
    <row r="35" ht="16" customHeight="1" spans="2:29">
      <c r="B35" s="1154" t="s">
        <v>3757</v>
      </c>
      <c r="C35" s="1155"/>
      <c r="D35" s="1155"/>
      <c r="E35" s="1181" t="s">
        <v>3758</v>
      </c>
      <c r="F35" s="130"/>
      <c r="G35" s="1154" t="s">
        <v>3759</v>
      </c>
      <c r="H35" s="1155"/>
      <c r="I35" s="1155"/>
      <c r="J35" s="1155"/>
      <c r="K35" s="1181" t="s">
        <v>3760</v>
      </c>
      <c r="L35" s="130"/>
      <c r="M35" s="1154" t="s">
        <v>3761</v>
      </c>
      <c r="N35" s="1155"/>
      <c r="O35" s="1155"/>
      <c r="P35" s="1181">
        <v>25</v>
      </c>
      <c r="Q35" s="130"/>
      <c r="R35" s="1154" t="s">
        <v>3762</v>
      </c>
      <c r="S35" s="1155"/>
      <c r="T35" s="1208">
        <v>20</v>
      </c>
      <c r="U35" s="130"/>
      <c r="V35" s="1222" t="s">
        <v>3763</v>
      </c>
      <c r="W35" s="1223"/>
      <c r="X35" s="1223"/>
      <c r="Y35" s="1223"/>
      <c r="Z35" s="1161">
        <v>500</v>
      </c>
      <c r="AA35" s="1208">
        <v>21</v>
      </c>
      <c r="AC35" s="1243"/>
    </row>
    <row r="36" ht="16" customHeight="1" spans="2:29">
      <c r="B36" s="1156" t="s">
        <v>3764</v>
      </c>
      <c r="C36" s="1157"/>
      <c r="D36" s="1157"/>
      <c r="E36" s="1182">
        <v>350</v>
      </c>
      <c r="F36" s="130"/>
      <c r="G36" s="1156" t="s">
        <v>3765</v>
      </c>
      <c r="H36" s="1157"/>
      <c r="I36" s="1157"/>
      <c r="J36" s="1157"/>
      <c r="K36" s="1182" t="s">
        <v>3766</v>
      </c>
      <c r="L36" s="130"/>
      <c r="M36" s="1156" t="s">
        <v>3767</v>
      </c>
      <c r="N36" s="1157"/>
      <c r="O36" s="1157"/>
      <c r="P36" s="1182">
        <v>60</v>
      </c>
      <c r="Q36" s="130"/>
      <c r="R36" s="1156" t="s">
        <v>3768</v>
      </c>
      <c r="S36" s="1157"/>
      <c r="T36" s="1209">
        <v>50</v>
      </c>
      <c r="U36" s="130"/>
      <c r="V36" s="1224" t="s">
        <v>3769</v>
      </c>
      <c r="W36" s="1225"/>
      <c r="X36" s="1225"/>
      <c r="Y36" s="1225"/>
      <c r="Z36" s="1237">
        <v>50</v>
      </c>
      <c r="AA36" s="1209">
        <v>24</v>
      </c>
      <c r="AC36" s="1243"/>
    </row>
    <row r="37" ht="16" customHeight="1" spans="2:29">
      <c r="B37" s="1154" t="s">
        <v>3770</v>
      </c>
      <c r="C37" s="1155"/>
      <c r="D37" s="1155"/>
      <c r="E37" s="1181">
        <v>200</v>
      </c>
      <c r="F37" s="130"/>
      <c r="G37" s="1152" t="s">
        <v>3771</v>
      </c>
      <c r="H37" s="1153"/>
      <c r="I37" s="1153"/>
      <c r="J37" s="1153"/>
      <c r="K37" s="1180" t="s">
        <v>3755</v>
      </c>
      <c r="L37" s="130"/>
      <c r="M37" s="1154" t="s">
        <v>3772</v>
      </c>
      <c r="N37" s="1155"/>
      <c r="O37" s="1155"/>
      <c r="P37" s="1181">
        <v>110</v>
      </c>
      <c r="Q37" s="130"/>
      <c r="R37" s="1183" t="s">
        <v>3773</v>
      </c>
      <c r="S37" s="1184"/>
      <c r="T37" s="1210">
        <v>50</v>
      </c>
      <c r="U37" s="130"/>
      <c r="V37" s="1226" t="s">
        <v>3774</v>
      </c>
      <c r="W37" s="1227"/>
      <c r="X37" s="1227"/>
      <c r="Y37" s="1227"/>
      <c r="Z37" s="1238">
        <v>50</v>
      </c>
      <c r="AA37" s="1208">
        <v>15</v>
      </c>
      <c r="AC37" s="1243"/>
    </row>
    <row r="38" ht="16" customHeight="1" spans="2:29">
      <c r="B38" s="1156" t="s">
        <v>3775</v>
      </c>
      <c r="C38" s="1157"/>
      <c r="D38" s="1157"/>
      <c r="E38" s="1182">
        <v>50</v>
      </c>
      <c r="F38" s="130"/>
      <c r="G38" s="1154" t="s">
        <v>3776</v>
      </c>
      <c r="H38" s="1155"/>
      <c r="I38" s="1155"/>
      <c r="J38" s="1155"/>
      <c r="K38" s="1181" t="s">
        <v>3777</v>
      </c>
      <c r="L38" s="130"/>
      <c r="M38" s="1156" t="s">
        <v>3778</v>
      </c>
      <c r="N38" s="1157"/>
      <c r="O38" s="1157"/>
      <c r="P38" s="1182">
        <v>30</v>
      </c>
      <c r="Q38" s="130"/>
      <c r="R38" s="1211"/>
      <c r="S38" s="1211"/>
      <c r="T38" s="1161"/>
      <c r="U38" s="130"/>
      <c r="V38" s="1228" t="s">
        <v>3779</v>
      </c>
      <c r="W38" s="1229"/>
      <c r="X38" s="1229"/>
      <c r="Y38" s="1229"/>
      <c r="Z38" s="1239">
        <v>50</v>
      </c>
      <c r="AA38" s="1209">
        <v>15</v>
      </c>
      <c r="AC38" s="1243"/>
    </row>
    <row r="39" ht="16" customHeight="1" spans="2:29">
      <c r="B39" s="1154" t="s">
        <v>3780</v>
      </c>
      <c r="C39" s="1155"/>
      <c r="D39" s="1155"/>
      <c r="E39" s="1181">
        <v>200</v>
      </c>
      <c r="F39" s="130"/>
      <c r="G39" s="1156" t="s">
        <v>3781</v>
      </c>
      <c r="H39" s="1157"/>
      <c r="I39" s="1157"/>
      <c r="J39" s="1157"/>
      <c r="K39" s="1182" t="s">
        <v>3782</v>
      </c>
      <c r="L39" s="130"/>
      <c r="M39" s="1154" t="s">
        <v>3783</v>
      </c>
      <c r="N39" s="1155"/>
      <c r="O39" s="1155"/>
      <c r="P39" s="1181">
        <v>200</v>
      </c>
      <c r="Q39" s="130"/>
      <c r="R39" s="1150" t="s">
        <v>405</v>
      </c>
      <c r="S39" s="1151"/>
      <c r="T39" s="1179"/>
      <c r="U39" s="130"/>
      <c r="V39" s="1222" t="s">
        <v>3784</v>
      </c>
      <c r="W39" s="1223"/>
      <c r="X39" s="1223"/>
      <c r="Y39" s="1223"/>
      <c r="Z39" s="1238">
        <v>50</v>
      </c>
      <c r="AA39" s="1208">
        <v>15</v>
      </c>
      <c r="AC39" s="1243"/>
    </row>
    <row r="40" ht="16" customHeight="1" spans="2:29">
      <c r="B40" s="1156" t="s">
        <v>3785</v>
      </c>
      <c r="C40" s="1157"/>
      <c r="D40" s="1157"/>
      <c r="E40" s="1182">
        <v>250</v>
      </c>
      <c r="F40" s="130"/>
      <c r="G40" s="1154" t="s">
        <v>3786</v>
      </c>
      <c r="H40" s="1155"/>
      <c r="I40" s="1155"/>
      <c r="J40" s="1155"/>
      <c r="K40" s="1181">
        <v>62.5</v>
      </c>
      <c r="L40" s="130"/>
      <c r="M40" s="1156" t="s">
        <v>3787</v>
      </c>
      <c r="N40" s="1157"/>
      <c r="O40" s="1157"/>
      <c r="P40" s="1182">
        <v>30</v>
      </c>
      <c r="Q40" s="130"/>
      <c r="R40" s="1152" t="s">
        <v>1330</v>
      </c>
      <c r="S40" s="1153"/>
      <c r="T40" s="1180" t="s">
        <v>3755</v>
      </c>
      <c r="U40" s="130"/>
      <c r="V40" s="1228" t="s">
        <v>3788</v>
      </c>
      <c r="W40" s="1229"/>
      <c r="X40" s="1229"/>
      <c r="Y40" s="1229"/>
      <c r="Z40" s="1239">
        <v>50</v>
      </c>
      <c r="AA40" s="1209">
        <v>22</v>
      </c>
      <c r="AC40" s="1243"/>
    </row>
    <row r="41" ht="16" customHeight="1" spans="2:29">
      <c r="B41" s="1154" t="s">
        <v>3789</v>
      </c>
      <c r="C41" s="1155"/>
      <c r="D41" s="1155"/>
      <c r="E41" s="1181">
        <v>35</v>
      </c>
      <c r="F41" s="130"/>
      <c r="G41" s="1152" t="s">
        <v>3790</v>
      </c>
      <c r="H41" s="1153"/>
      <c r="I41" s="1153"/>
      <c r="J41" s="1153"/>
      <c r="K41" s="1180" t="s">
        <v>3755</v>
      </c>
      <c r="L41" s="130"/>
      <c r="M41" s="1154" t="s">
        <v>3791</v>
      </c>
      <c r="N41" s="1155"/>
      <c r="O41" s="1155"/>
      <c r="P41" s="1181">
        <v>1300</v>
      </c>
      <c r="Q41" s="130"/>
      <c r="R41" s="1154" t="s">
        <v>3792</v>
      </c>
      <c r="S41" s="1155"/>
      <c r="T41" s="1208" t="s">
        <v>3758</v>
      </c>
      <c r="U41" s="130"/>
      <c r="V41" s="1222" t="s">
        <v>3793</v>
      </c>
      <c r="W41" s="1223"/>
      <c r="X41" s="1223"/>
      <c r="Y41" s="1223"/>
      <c r="Z41" s="1238">
        <v>50</v>
      </c>
      <c r="AA41" s="1208">
        <v>17</v>
      </c>
      <c r="AC41" s="1243"/>
    </row>
    <row r="42" ht="16" customHeight="1" spans="2:27">
      <c r="B42" s="1156" t="s">
        <v>3794</v>
      </c>
      <c r="C42" s="1157"/>
      <c r="D42" s="1157"/>
      <c r="E42" s="1182">
        <v>36</v>
      </c>
      <c r="F42" s="130"/>
      <c r="G42" s="1154" t="s">
        <v>3795</v>
      </c>
      <c r="H42" s="1155"/>
      <c r="I42" s="1155"/>
      <c r="J42" s="1155"/>
      <c r="K42" s="1181" t="s">
        <v>3796</v>
      </c>
      <c r="L42" s="130"/>
      <c r="M42" s="1156" t="s">
        <v>3797</v>
      </c>
      <c r="N42" s="1157"/>
      <c r="O42" s="1157"/>
      <c r="P42" s="1182">
        <v>65</v>
      </c>
      <c r="Q42" s="130"/>
      <c r="R42" s="1156" t="s">
        <v>3798</v>
      </c>
      <c r="S42" s="1157"/>
      <c r="T42" s="1209" t="s">
        <v>3799</v>
      </c>
      <c r="U42" s="130"/>
      <c r="V42" s="1228" t="s">
        <v>3800</v>
      </c>
      <c r="W42" s="1229"/>
      <c r="X42" s="1229"/>
      <c r="Y42" s="1229"/>
      <c r="Z42" s="1239">
        <v>50</v>
      </c>
      <c r="AA42" s="1209">
        <v>24</v>
      </c>
    </row>
    <row r="43" ht="16" customHeight="1" spans="2:27">
      <c r="B43" s="1154" t="s">
        <v>3801</v>
      </c>
      <c r="C43" s="1155"/>
      <c r="D43" s="1155"/>
      <c r="E43" s="1181">
        <v>35</v>
      </c>
      <c r="F43" s="130"/>
      <c r="G43" s="1156" t="s">
        <v>3802</v>
      </c>
      <c r="H43" s="1157"/>
      <c r="I43" s="1157"/>
      <c r="J43" s="1157"/>
      <c r="K43" s="1182" t="s">
        <v>3803</v>
      </c>
      <c r="L43" s="130"/>
      <c r="M43" s="1154" t="s">
        <v>3804</v>
      </c>
      <c r="N43" s="1155"/>
      <c r="O43" s="1155"/>
      <c r="P43" s="1181">
        <v>30</v>
      </c>
      <c r="Q43" s="130"/>
      <c r="R43" s="1154" t="s">
        <v>3805</v>
      </c>
      <c r="S43" s="1155"/>
      <c r="T43" s="1208" t="s">
        <v>3806</v>
      </c>
      <c r="U43" s="130"/>
      <c r="V43" s="1222" t="s">
        <v>3807</v>
      </c>
      <c r="W43" s="1223"/>
      <c r="X43" s="1223"/>
      <c r="Y43" s="1223"/>
      <c r="Z43" s="1238">
        <v>50</v>
      </c>
      <c r="AA43" s="1208">
        <v>12</v>
      </c>
    </row>
    <row r="44" ht="16" customHeight="1" spans="2:27">
      <c r="B44" s="1156" t="s">
        <v>3808</v>
      </c>
      <c r="C44" s="1157"/>
      <c r="D44" s="1157"/>
      <c r="E44" s="1182">
        <v>40</v>
      </c>
      <c r="F44" s="130"/>
      <c r="G44" s="1183" t="s">
        <v>3809</v>
      </c>
      <c r="H44" s="1184"/>
      <c r="I44" s="1184"/>
      <c r="J44" s="1184"/>
      <c r="K44" s="1194" t="s">
        <v>3810</v>
      </c>
      <c r="L44" s="130"/>
      <c r="M44" s="1156" t="s">
        <v>3811</v>
      </c>
      <c r="N44" s="1157"/>
      <c r="O44" s="1157"/>
      <c r="P44" s="1182">
        <v>20</v>
      </c>
      <c r="Q44" s="130"/>
      <c r="R44" s="1156" t="s">
        <v>3812</v>
      </c>
      <c r="S44" s="1157"/>
      <c r="T44" s="1209" t="s">
        <v>3813</v>
      </c>
      <c r="U44" s="130"/>
      <c r="V44" s="1228" t="s">
        <v>3814</v>
      </c>
      <c r="W44" s="1229"/>
      <c r="X44" s="1229"/>
      <c r="Y44" s="1229"/>
      <c r="Z44" s="1239">
        <v>50</v>
      </c>
      <c r="AA44" s="1209">
        <v>39</v>
      </c>
    </row>
    <row r="45" ht="16" customHeight="1" spans="2:27">
      <c r="B45" s="1154" t="s">
        <v>3815</v>
      </c>
      <c r="C45" s="1155"/>
      <c r="D45" s="1155"/>
      <c r="E45" s="1181">
        <v>50</v>
      </c>
      <c r="F45" s="130"/>
      <c r="G45" s="1160"/>
      <c r="H45" s="1160"/>
      <c r="I45" s="1160"/>
      <c r="J45" s="130"/>
      <c r="K45" s="130"/>
      <c r="L45" s="130"/>
      <c r="M45" s="1154" t="s">
        <v>3816</v>
      </c>
      <c r="N45" s="1155"/>
      <c r="O45" s="1155"/>
      <c r="P45" s="1181">
        <v>250</v>
      </c>
      <c r="Q45" s="130"/>
      <c r="R45" s="1154" t="s">
        <v>3817</v>
      </c>
      <c r="S45" s="1155"/>
      <c r="T45" s="1208">
        <v>400</v>
      </c>
      <c r="U45" s="130"/>
      <c r="V45" s="1222" t="s">
        <v>3818</v>
      </c>
      <c r="W45" s="1223"/>
      <c r="X45" s="1223"/>
      <c r="Y45" s="1223"/>
      <c r="Z45" s="1238">
        <v>100</v>
      </c>
      <c r="AA45" s="1208">
        <v>23</v>
      </c>
    </row>
    <row r="46" ht="16" customHeight="1" spans="2:27">
      <c r="B46" s="1156" t="s">
        <v>3819</v>
      </c>
      <c r="C46" s="1157"/>
      <c r="D46" s="1157"/>
      <c r="E46" s="1182">
        <v>100</v>
      </c>
      <c r="F46" s="130"/>
      <c r="G46" s="1150" t="s">
        <v>3820</v>
      </c>
      <c r="H46" s="1151"/>
      <c r="I46" s="1151"/>
      <c r="J46" s="1151"/>
      <c r="K46" s="1179"/>
      <c r="L46" s="130"/>
      <c r="M46" s="1156" t="s">
        <v>3821</v>
      </c>
      <c r="N46" s="1157"/>
      <c r="O46" s="1157"/>
      <c r="P46" s="1182">
        <v>260</v>
      </c>
      <c r="Q46" s="130"/>
      <c r="R46" s="1158" t="s">
        <v>3822</v>
      </c>
      <c r="S46" s="1159"/>
      <c r="T46" s="1212">
        <v>200</v>
      </c>
      <c r="U46" s="130"/>
      <c r="V46" s="1228" t="s">
        <v>3823</v>
      </c>
      <c r="W46" s="1229"/>
      <c r="X46" s="1229"/>
      <c r="Y46" s="1229"/>
      <c r="Z46" s="1239">
        <v>25</v>
      </c>
      <c r="AA46" s="1209">
        <v>40</v>
      </c>
    </row>
    <row r="47" ht="16" customHeight="1" spans="2:29">
      <c r="B47" s="1154" t="s">
        <v>3824</v>
      </c>
      <c r="C47" s="1155"/>
      <c r="D47" s="1155"/>
      <c r="E47" s="1181">
        <v>35</v>
      </c>
      <c r="F47" s="130"/>
      <c r="G47" s="1152" t="s">
        <v>1330</v>
      </c>
      <c r="H47" s="1153"/>
      <c r="I47" s="1153"/>
      <c r="J47" s="1153"/>
      <c r="K47" s="1180" t="s">
        <v>3755</v>
      </c>
      <c r="L47" s="130"/>
      <c r="M47" s="1154" t="s">
        <v>3825</v>
      </c>
      <c r="N47" s="1155"/>
      <c r="O47" s="1155"/>
      <c r="P47" s="1181">
        <v>2000</v>
      </c>
      <c r="Q47" s="130"/>
      <c r="R47" s="130"/>
      <c r="S47" s="130"/>
      <c r="T47" s="130"/>
      <c r="U47" s="130"/>
      <c r="V47" s="1222" t="s">
        <v>3826</v>
      </c>
      <c r="W47" s="1223"/>
      <c r="X47" s="1223"/>
      <c r="Y47" s="1223"/>
      <c r="Z47" s="1161">
        <v>25</v>
      </c>
      <c r="AA47" s="1208">
        <v>30</v>
      </c>
      <c r="AC47" s="1243"/>
    </row>
    <row r="48" ht="16" customHeight="1" spans="2:27">
      <c r="B48" s="1156" t="s">
        <v>3827</v>
      </c>
      <c r="C48" s="1157"/>
      <c r="D48" s="1157"/>
      <c r="E48" s="1182">
        <v>15</v>
      </c>
      <c r="F48" s="130"/>
      <c r="G48" s="1154" t="s">
        <v>3828</v>
      </c>
      <c r="H48" s="1155"/>
      <c r="I48" s="1155"/>
      <c r="J48" s="1155"/>
      <c r="K48" s="1181">
        <v>23000</v>
      </c>
      <c r="L48" s="130"/>
      <c r="M48" s="1156" t="s">
        <v>3829</v>
      </c>
      <c r="N48" s="1157"/>
      <c r="O48" s="1157"/>
      <c r="P48" s="1182">
        <v>1000</v>
      </c>
      <c r="Q48" s="130"/>
      <c r="R48" s="1150" t="s">
        <v>3830</v>
      </c>
      <c r="S48" s="1151"/>
      <c r="T48" s="1179"/>
      <c r="U48" s="130"/>
      <c r="V48" s="1228" t="s">
        <v>3831</v>
      </c>
      <c r="W48" s="1229"/>
      <c r="X48" s="1229"/>
      <c r="Y48" s="1229"/>
      <c r="Z48" s="1220">
        <v>25</v>
      </c>
      <c r="AA48" s="1209">
        <v>26</v>
      </c>
    </row>
    <row r="49" ht="16" customHeight="1" spans="2:27">
      <c r="B49" s="1154" t="s">
        <v>3832</v>
      </c>
      <c r="C49" s="1155"/>
      <c r="D49" s="1155"/>
      <c r="E49" s="1181">
        <v>15</v>
      </c>
      <c r="F49" s="130"/>
      <c r="G49" s="1156" t="s">
        <v>3833</v>
      </c>
      <c r="H49" s="1157"/>
      <c r="I49" s="1157"/>
      <c r="J49" s="1157"/>
      <c r="K49" s="1182">
        <v>13000</v>
      </c>
      <c r="L49" s="130"/>
      <c r="M49" s="1154" t="s">
        <v>3834</v>
      </c>
      <c r="N49" s="1155"/>
      <c r="O49" s="1155"/>
      <c r="P49" s="1181" t="s">
        <v>3835</v>
      </c>
      <c r="Q49" s="130"/>
      <c r="R49" s="1152" t="s">
        <v>1330</v>
      </c>
      <c r="S49" s="1153"/>
      <c r="T49" s="1180" t="s">
        <v>3755</v>
      </c>
      <c r="U49" s="130"/>
      <c r="V49" s="1230" t="s">
        <v>3836</v>
      </c>
      <c r="W49" s="1231"/>
      <c r="X49" s="1231"/>
      <c r="Y49" s="1231"/>
      <c r="Z49" s="1240">
        <v>25</v>
      </c>
      <c r="AA49" s="1210">
        <v>28</v>
      </c>
    </row>
    <row r="50" ht="16" customHeight="1" spans="2:27">
      <c r="B50" s="1156" t="s">
        <v>3837</v>
      </c>
      <c r="C50" s="1157"/>
      <c r="D50" s="1157"/>
      <c r="E50" s="1182">
        <v>60</v>
      </c>
      <c r="F50" s="130"/>
      <c r="G50" s="1154" t="s">
        <v>3838</v>
      </c>
      <c r="H50" s="1155"/>
      <c r="I50" s="1155"/>
      <c r="J50" s="1155"/>
      <c r="K50" s="1181">
        <v>260000</v>
      </c>
      <c r="L50" s="130"/>
      <c r="M50" s="1158" t="s">
        <v>3839</v>
      </c>
      <c r="N50" s="1159"/>
      <c r="O50" s="1159"/>
      <c r="P50" s="1202">
        <v>100</v>
      </c>
      <c r="Q50" s="130"/>
      <c r="R50" s="1213" t="s">
        <v>3840</v>
      </c>
      <c r="S50" s="1161"/>
      <c r="T50" s="1208">
        <v>600</v>
      </c>
      <c r="U50" s="130"/>
      <c r="V50" s="130"/>
      <c r="W50" s="130"/>
      <c r="X50" s="130"/>
      <c r="Y50" s="130"/>
      <c r="Z50" s="130"/>
      <c r="AA50" s="130"/>
    </row>
    <row r="51" ht="16" customHeight="1" spans="2:27">
      <c r="B51" s="1154" t="s">
        <v>3841</v>
      </c>
      <c r="C51" s="1155"/>
      <c r="D51" s="1155"/>
      <c r="E51" s="1181">
        <v>200</v>
      </c>
      <c r="F51" s="130"/>
      <c r="G51" s="1156" t="s">
        <v>3842</v>
      </c>
      <c r="H51" s="1157"/>
      <c r="I51" s="1157"/>
      <c r="J51" s="1157"/>
      <c r="K51" s="1182">
        <v>200500</v>
      </c>
      <c r="L51" s="130"/>
      <c r="M51" s="130"/>
      <c r="N51" s="1160"/>
      <c r="O51" s="1160"/>
      <c r="P51" s="1160"/>
      <c r="Q51" s="130"/>
      <c r="R51" s="164" t="s">
        <v>3843</v>
      </c>
      <c r="S51" s="1214"/>
      <c r="T51" s="1209">
        <v>500</v>
      </c>
      <c r="U51" s="130"/>
      <c r="V51" s="1150" t="s">
        <v>3844</v>
      </c>
      <c r="W51" s="1151"/>
      <c r="X51" s="1151"/>
      <c r="Y51" s="1151"/>
      <c r="Z51" s="1151"/>
      <c r="AA51" s="1179"/>
    </row>
    <row r="52" ht="16" customHeight="1" spans="2:27">
      <c r="B52" s="1158" t="s">
        <v>3845</v>
      </c>
      <c r="C52" s="1159"/>
      <c r="D52" s="1159"/>
      <c r="E52" s="1185">
        <v>600</v>
      </c>
      <c r="F52" s="130"/>
      <c r="G52" s="1154" t="s">
        <v>3846</v>
      </c>
      <c r="H52" s="1155"/>
      <c r="I52" s="1155"/>
      <c r="J52" s="1155"/>
      <c r="K52" s="1181">
        <v>62000</v>
      </c>
      <c r="L52" s="130"/>
      <c r="M52" s="1203" t="s">
        <v>3847</v>
      </c>
      <c r="N52" s="1204"/>
      <c r="O52" s="1204"/>
      <c r="P52" s="1205"/>
      <c r="Q52" s="130"/>
      <c r="R52" s="1213" t="s">
        <v>3848</v>
      </c>
      <c r="S52" s="1161"/>
      <c r="T52" s="1208">
        <v>1400</v>
      </c>
      <c r="U52" s="130"/>
      <c r="V52" s="1152" t="s">
        <v>1330</v>
      </c>
      <c r="W52" s="1153"/>
      <c r="X52" s="1153"/>
      <c r="Y52" s="1153"/>
      <c r="Z52" s="1153" t="s">
        <v>3755</v>
      </c>
      <c r="AA52" s="1180"/>
    </row>
    <row r="53" ht="16" customHeight="1" spans="2:27">
      <c r="B53" s="1160"/>
      <c r="C53" s="1160"/>
      <c r="D53" s="1161"/>
      <c r="E53" s="1160"/>
      <c r="F53" s="130"/>
      <c r="G53" s="1156" t="s">
        <v>3849</v>
      </c>
      <c r="H53" s="1157"/>
      <c r="I53" s="1157"/>
      <c r="J53" s="1157"/>
      <c r="K53" s="1182">
        <v>38000</v>
      </c>
      <c r="L53" s="130"/>
      <c r="M53" s="1152" t="s">
        <v>1330</v>
      </c>
      <c r="N53" s="1153"/>
      <c r="O53" s="1153"/>
      <c r="P53" s="1180" t="s">
        <v>3755</v>
      </c>
      <c r="Q53" s="130"/>
      <c r="R53" s="1215" t="s">
        <v>3850</v>
      </c>
      <c r="S53" s="1216"/>
      <c r="T53" s="1212">
        <v>90</v>
      </c>
      <c r="U53" s="130"/>
      <c r="V53" s="1156" t="s">
        <v>3851</v>
      </c>
      <c r="W53" s="1157"/>
      <c r="X53" s="1157"/>
      <c r="Y53" s="1157"/>
      <c r="Z53" s="1157" t="s">
        <v>3758</v>
      </c>
      <c r="AA53" s="1209"/>
    </row>
    <row r="54" ht="16" customHeight="1" spans="2:27">
      <c r="B54" s="1150" t="s">
        <v>3852</v>
      </c>
      <c r="C54" s="1151"/>
      <c r="D54" s="1151"/>
      <c r="E54" s="1179"/>
      <c r="F54" s="130"/>
      <c r="G54" s="1154" t="s">
        <v>3853</v>
      </c>
      <c r="H54" s="1155"/>
      <c r="I54" s="1155"/>
      <c r="J54" s="1155"/>
      <c r="K54" s="1181">
        <v>54000</v>
      </c>
      <c r="L54" s="130"/>
      <c r="M54" s="1154" t="s">
        <v>3854</v>
      </c>
      <c r="N54" s="1155"/>
      <c r="O54" s="1155"/>
      <c r="P54" s="1181">
        <v>60</v>
      </c>
      <c r="Q54" s="130"/>
      <c r="R54" s="130"/>
      <c r="S54" s="130"/>
      <c r="T54" s="130"/>
      <c r="U54" s="130"/>
      <c r="V54" s="1154" t="s">
        <v>3855</v>
      </c>
      <c r="W54" s="1155"/>
      <c r="X54" s="1155"/>
      <c r="Y54" s="1155"/>
      <c r="Z54" s="1155" t="s">
        <v>3856</v>
      </c>
      <c r="AA54" s="1208"/>
    </row>
    <row r="55" ht="16" customHeight="1" spans="2:27">
      <c r="B55" s="1152" t="s">
        <v>1330</v>
      </c>
      <c r="C55" s="1153"/>
      <c r="D55" s="1153"/>
      <c r="E55" s="1180" t="s">
        <v>3755</v>
      </c>
      <c r="F55" s="130"/>
      <c r="G55" s="1156" t="s">
        <v>3857</v>
      </c>
      <c r="H55" s="1157"/>
      <c r="I55" s="1157"/>
      <c r="J55" s="1157"/>
      <c r="K55" s="1182">
        <v>33000</v>
      </c>
      <c r="L55" s="130"/>
      <c r="M55" s="1156" t="s">
        <v>3858</v>
      </c>
      <c r="N55" s="1157"/>
      <c r="O55" s="1157"/>
      <c r="P55" s="1182">
        <v>90</v>
      </c>
      <c r="Q55" s="130"/>
      <c r="R55" s="1150" t="s">
        <v>3859</v>
      </c>
      <c r="S55" s="1151"/>
      <c r="T55" s="1179"/>
      <c r="U55" s="130"/>
      <c r="V55" s="1156" t="s">
        <v>3860</v>
      </c>
      <c r="W55" s="1157"/>
      <c r="X55" s="1157"/>
      <c r="Y55" s="1157"/>
      <c r="Z55" s="1157" t="s">
        <v>3564</v>
      </c>
      <c r="AA55" s="1209"/>
    </row>
    <row r="56" ht="16" customHeight="1" spans="2:27">
      <c r="B56" s="1154" t="s">
        <v>3861</v>
      </c>
      <c r="C56" s="1155"/>
      <c r="D56" s="1155"/>
      <c r="E56" s="1181" t="s">
        <v>3862</v>
      </c>
      <c r="F56" s="130"/>
      <c r="G56" s="1154" t="s">
        <v>3863</v>
      </c>
      <c r="H56" s="1155"/>
      <c r="I56" s="1155"/>
      <c r="J56" s="1155"/>
      <c r="K56" s="1181">
        <v>27000</v>
      </c>
      <c r="L56" s="130"/>
      <c r="M56" s="1183" t="s">
        <v>3864</v>
      </c>
      <c r="N56" s="1184"/>
      <c r="O56" s="1184"/>
      <c r="P56" s="1194">
        <v>30</v>
      </c>
      <c r="Q56" s="130"/>
      <c r="R56" s="1152" t="s">
        <v>1330</v>
      </c>
      <c r="S56" s="1153"/>
      <c r="T56" s="1180" t="s">
        <v>3755</v>
      </c>
      <c r="U56" s="130"/>
      <c r="V56" s="1154" t="s">
        <v>3865</v>
      </c>
      <c r="W56" s="1155"/>
      <c r="X56" s="1155"/>
      <c r="Y56" s="1155"/>
      <c r="Z56" s="1241" t="s">
        <v>3652</v>
      </c>
      <c r="AA56" s="1242"/>
    </row>
    <row r="57" ht="16" customHeight="1" spans="2:29">
      <c r="B57" s="1156" t="s">
        <v>3866</v>
      </c>
      <c r="C57" s="1157"/>
      <c r="D57" s="1157"/>
      <c r="E57" s="1182">
        <v>400</v>
      </c>
      <c r="F57" s="130"/>
      <c r="G57" s="1158" t="s">
        <v>3867</v>
      </c>
      <c r="H57" s="1159"/>
      <c r="I57" s="1159"/>
      <c r="J57" s="1159"/>
      <c r="K57" s="1185">
        <v>16500</v>
      </c>
      <c r="L57" s="130"/>
      <c r="M57" s="130"/>
      <c r="N57" s="130"/>
      <c r="O57" s="130"/>
      <c r="P57" s="130"/>
      <c r="Q57" s="130"/>
      <c r="R57" s="1217" t="s">
        <v>3868</v>
      </c>
      <c r="S57" s="1218"/>
      <c r="T57" s="1208">
        <v>90</v>
      </c>
      <c r="U57" s="130"/>
      <c r="V57" s="1156" t="s">
        <v>3869</v>
      </c>
      <c r="W57" s="1157"/>
      <c r="X57" s="1157"/>
      <c r="Y57" s="1157"/>
      <c r="Z57" s="1157">
        <v>65</v>
      </c>
      <c r="AA57" s="1209"/>
      <c r="AB57" s="1243"/>
      <c r="AC57" s="1243"/>
    </row>
    <row r="58" ht="16" customHeight="1" spans="2:29">
      <c r="B58" s="1154" t="s">
        <v>3870</v>
      </c>
      <c r="C58" s="1155"/>
      <c r="D58" s="1155"/>
      <c r="E58" s="1181">
        <v>150</v>
      </c>
      <c r="F58" s="130"/>
      <c r="G58" s="130"/>
      <c r="H58" s="130"/>
      <c r="I58" s="130"/>
      <c r="J58" s="130"/>
      <c r="K58" s="130"/>
      <c r="L58" s="130"/>
      <c r="M58" s="1203" t="s">
        <v>3871</v>
      </c>
      <c r="N58" s="1204"/>
      <c r="O58" s="1204"/>
      <c r="P58" s="1205"/>
      <c r="Q58" s="130"/>
      <c r="R58" s="1219" t="s">
        <v>3872</v>
      </c>
      <c r="S58" s="1220"/>
      <c r="T58" s="1209">
        <v>35</v>
      </c>
      <c r="U58" s="130"/>
      <c r="V58" s="1154" t="s">
        <v>3873</v>
      </c>
      <c r="W58" s="1155"/>
      <c r="X58" s="1155"/>
      <c r="Y58" s="1155"/>
      <c r="Z58" s="1155">
        <v>16</v>
      </c>
      <c r="AA58" s="1208"/>
      <c r="AC58" s="1243"/>
    </row>
    <row r="59" ht="16" customHeight="1" spans="2:29">
      <c r="B59" s="1156" t="s">
        <v>3874</v>
      </c>
      <c r="C59" s="1157"/>
      <c r="D59" s="1157"/>
      <c r="E59" s="1182">
        <v>90</v>
      </c>
      <c r="F59" s="130"/>
      <c r="G59" s="1150" t="s">
        <v>3875</v>
      </c>
      <c r="H59" s="1151"/>
      <c r="I59" s="1151"/>
      <c r="J59" s="1151"/>
      <c r="K59" s="1179"/>
      <c r="L59" s="130"/>
      <c r="M59" s="1152" t="s">
        <v>1330</v>
      </c>
      <c r="N59" s="1153"/>
      <c r="O59" s="1153"/>
      <c r="P59" s="1180" t="s">
        <v>3755</v>
      </c>
      <c r="Q59" s="130"/>
      <c r="R59" s="1213" t="s">
        <v>3876</v>
      </c>
      <c r="S59" s="1161"/>
      <c r="T59" s="1208">
        <v>40</v>
      </c>
      <c r="U59" s="130"/>
      <c r="V59" s="1156" t="s">
        <v>3877</v>
      </c>
      <c r="W59" s="1157"/>
      <c r="X59" s="1157"/>
      <c r="Y59" s="1157"/>
      <c r="Z59" s="1157">
        <v>20</v>
      </c>
      <c r="AA59" s="1209"/>
      <c r="AC59" s="1243"/>
    </row>
    <row r="60" ht="16" customHeight="1" spans="2:29">
      <c r="B60" s="1154" t="s">
        <v>3878</v>
      </c>
      <c r="C60" s="1155"/>
      <c r="D60" s="1155"/>
      <c r="E60" s="1181">
        <v>25</v>
      </c>
      <c r="F60" s="130"/>
      <c r="G60" s="1152" t="s">
        <v>1330</v>
      </c>
      <c r="H60" s="1153"/>
      <c r="I60" s="1153"/>
      <c r="J60" s="1153"/>
      <c r="K60" s="1180" t="s">
        <v>3755</v>
      </c>
      <c r="L60" s="130"/>
      <c r="M60" s="1154" t="s">
        <v>3879</v>
      </c>
      <c r="N60" s="1155"/>
      <c r="O60" s="1155"/>
      <c r="P60" s="1181">
        <v>40</v>
      </c>
      <c r="Q60" s="130"/>
      <c r="R60" s="1219" t="s">
        <v>3880</v>
      </c>
      <c r="S60" s="1220"/>
      <c r="T60" s="1209">
        <v>450</v>
      </c>
      <c r="U60" s="130"/>
      <c r="V60" s="1154" t="s">
        <v>3881</v>
      </c>
      <c r="W60" s="1155"/>
      <c r="X60" s="1155"/>
      <c r="Y60" s="1155"/>
      <c r="Z60" s="1155" t="s">
        <v>3882</v>
      </c>
      <c r="AA60" s="1208"/>
      <c r="AC60" s="1243"/>
    </row>
    <row r="61" ht="16" customHeight="1" spans="2:29">
      <c r="B61" s="1156" t="s">
        <v>3883</v>
      </c>
      <c r="C61" s="1157"/>
      <c r="D61" s="1157"/>
      <c r="E61" s="1182">
        <v>35</v>
      </c>
      <c r="F61" s="130"/>
      <c r="G61" s="1154" t="s">
        <v>3884</v>
      </c>
      <c r="H61" s="1155"/>
      <c r="I61" s="1155"/>
      <c r="J61" s="1155"/>
      <c r="K61" s="1195">
        <v>70</v>
      </c>
      <c r="L61" s="130"/>
      <c r="M61" s="1156" t="s">
        <v>3885</v>
      </c>
      <c r="N61" s="1157"/>
      <c r="O61" s="1157"/>
      <c r="P61" s="1182" t="s">
        <v>3886</v>
      </c>
      <c r="Q61" s="130"/>
      <c r="R61" s="1213" t="s">
        <v>3887</v>
      </c>
      <c r="S61" s="1161"/>
      <c r="T61" s="1208">
        <v>10</v>
      </c>
      <c r="U61" s="130"/>
      <c r="V61" s="1156" t="s">
        <v>3888</v>
      </c>
      <c r="W61" s="1157"/>
      <c r="X61" s="1157"/>
      <c r="Y61" s="1157"/>
      <c r="Z61" s="1157">
        <v>38</v>
      </c>
      <c r="AA61" s="1209"/>
      <c r="AC61" s="1243"/>
    </row>
    <row r="62" ht="16" customHeight="1" spans="2:29">
      <c r="B62" s="1154" t="s">
        <v>3889</v>
      </c>
      <c r="C62" s="1155"/>
      <c r="D62" s="1155"/>
      <c r="E62" s="1181">
        <v>260</v>
      </c>
      <c r="F62" s="130"/>
      <c r="G62" s="1156" t="s">
        <v>3890</v>
      </c>
      <c r="H62" s="1157"/>
      <c r="I62" s="1157"/>
      <c r="J62" s="1157"/>
      <c r="K62" s="1196">
        <v>300</v>
      </c>
      <c r="L62" s="130"/>
      <c r="M62" s="1154" t="s">
        <v>3891</v>
      </c>
      <c r="N62" s="1155"/>
      <c r="O62" s="1155"/>
      <c r="P62" s="1181">
        <v>500</v>
      </c>
      <c r="Q62" s="130"/>
      <c r="R62" s="1219" t="s">
        <v>3892</v>
      </c>
      <c r="S62" s="1220"/>
      <c r="T62" s="1209">
        <v>240</v>
      </c>
      <c r="U62" s="130"/>
      <c r="V62" s="1154" t="s">
        <v>3893</v>
      </c>
      <c r="W62" s="1155"/>
      <c r="X62" s="1155"/>
      <c r="Y62" s="1155"/>
      <c r="Z62" s="1155">
        <v>35</v>
      </c>
      <c r="AA62" s="1208"/>
      <c r="AC62" s="1243"/>
    </row>
    <row r="63" ht="16" customHeight="1" spans="2:29">
      <c r="B63" s="1156" t="s">
        <v>3894</v>
      </c>
      <c r="C63" s="1157"/>
      <c r="D63" s="1157"/>
      <c r="E63" s="1182">
        <v>190</v>
      </c>
      <c r="F63" s="130"/>
      <c r="G63" s="1154" t="s">
        <v>3895</v>
      </c>
      <c r="H63" s="1155"/>
      <c r="I63" s="1155"/>
      <c r="J63" s="1155"/>
      <c r="K63" s="1195" t="s">
        <v>3896</v>
      </c>
      <c r="L63" s="130"/>
      <c r="M63" s="1156" t="s">
        <v>3897</v>
      </c>
      <c r="N63" s="1157"/>
      <c r="O63" s="1157"/>
      <c r="P63" s="1182" t="s">
        <v>3564</v>
      </c>
      <c r="Q63" s="130"/>
      <c r="R63" s="1213" t="s">
        <v>3898</v>
      </c>
      <c r="S63" s="1161"/>
      <c r="T63" s="1208">
        <v>400</v>
      </c>
      <c r="U63" s="130"/>
      <c r="V63" s="1156" t="s">
        <v>3899</v>
      </c>
      <c r="W63" s="1157"/>
      <c r="X63" s="1157"/>
      <c r="Y63" s="1157"/>
      <c r="Z63" s="1157">
        <v>60</v>
      </c>
      <c r="AA63" s="1209"/>
      <c r="AC63" s="1243"/>
    </row>
    <row r="64" ht="16" customHeight="1" spans="2:29">
      <c r="B64" s="1154" t="s">
        <v>3900</v>
      </c>
      <c r="C64" s="1155"/>
      <c r="D64" s="1155"/>
      <c r="E64" s="1181">
        <v>35</v>
      </c>
      <c r="F64" s="130"/>
      <c r="G64" s="1158" t="s">
        <v>3901</v>
      </c>
      <c r="H64" s="1159"/>
      <c r="I64" s="1159"/>
      <c r="J64" s="1159"/>
      <c r="K64" s="1197">
        <v>200</v>
      </c>
      <c r="L64" s="130"/>
      <c r="M64" s="1154" t="s">
        <v>3902</v>
      </c>
      <c r="N64" s="1155"/>
      <c r="O64" s="1155"/>
      <c r="P64" s="1181" t="s">
        <v>3882</v>
      </c>
      <c r="Q64" s="130"/>
      <c r="R64" s="1219" t="s">
        <v>3903</v>
      </c>
      <c r="S64" s="1220"/>
      <c r="T64" s="1209">
        <v>200</v>
      </c>
      <c r="U64" s="130"/>
      <c r="V64" s="1183" t="s">
        <v>3904</v>
      </c>
      <c r="W64" s="1184"/>
      <c r="X64" s="1184"/>
      <c r="Y64" s="1184"/>
      <c r="Z64" s="1184">
        <v>25</v>
      </c>
      <c r="AA64" s="1210"/>
      <c r="AC64" s="1243"/>
    </row>
    <row r="65" ht="16" customHeight="1" spans="2:29">
      <c r="B65" s="1156" t="s">
        <v>3905</v>
      </c>
      <c r="C65" s="1157"/>
      <c r="D65" s="1157"/>
      <c r="E65" s="1182">
        <v>50</v>
      </c>
      <c r="F65" s="130"/>
      <c r="G65" s="130"/>
      <c r="H65" s="130"/>
      <c r="I65" s="130"/>
      <c r="J65" s="130"/>
      <c r="K65" s="130"/>
      <c r="L65" s="130"/>
      <c r="M65" s="1156" t="s">
        <v>3906</v>
      </c>
      <c r="N65" s="1157"/>
      <c r="O65" s="1157"/>
      <c r="P65" s="1182" t="s">
        <v>3907</v>
      </c>
      <c r="Q65" s="130"/>
      <c r="R65" s="1213" t="s">
        <v>3908</v>
      </c>
      <c r="S65" s="1161"/>
      <c r="T65" s="1208">
        <v>260</v>
      </c>
      <c r="U65" s="130"/>
      <c r="V65" s="1244"/>
      <c r="W65" s="1244"/>
      <c r="X65" s="1244"/>
      <c r="Y65" s="1244"/>
      <c r="Z65" s="1244"/>
      <c r="AA65" s="1244"/>
      <c r="AC65" s="1243"/>
    </row>
    <row r="66" ht="16" customHeight="1" spans="2:29">
      <c r="B66" s="1154" t="s">
        <v>3909</v>
      </c>
      <c r="C66" s="1155"/>
      <c r="D66" s="1155"/>
      <c r="E66" s="1181">
        <v>100</v>
      </c>
      <c r="F66" s="130"/>
      <c r="G66" s="1150" t="s">
        <v>3910</v>
      </c>
      <c r="H66" s="1151"/>
      <c r="I66" s="1151"/>
      <c r="J66" s="1151"/>
      <c r="K66" s="1179"/>
      <c r="L66" s="130"/>
      <c r="M66" s="1183" t="s">
        <v>3911</v>
      </c>
      <c r="N66" s="1184"/>
      <c r="O66" s="1184"/>
      <c r="P66" s="1194" t="s">
        <v>3912</v>
      </c>
      <c r="Q66" s="130"/>
      <c r="R66" s="1219" t="s">
        <v>3913</v>
      </c>
      <c r="S66" s="1220"/>
      <c r="T66" s="1209">
        <v>60</v>
      </c>
      <c r="U66" s="130"/>
      <c r="V66" s="1244"/>
      <c r="W66" s="1244"/>
      <c r="X66" s="1244"/>
      <c r="Y66" s="1244"/>
      <c r="Z66" s="1244"/>
      <c r="AA66" s="1244"/>
      <c r="AC66" s="1243"/>
    </row>
    <row r="67" ht="16" customHeight="1" spans="2:29">
      <c r="B67" s="1156" t="s">
        <v>3914</v>
      </c>
      <c r="C67" s="1157"/>
      <c r="D67" s="1157"/>
      <c r="E67" s="1182">
        <v>160</v>
      </c>
      <c r="F67" s="130"/>
      <c r="G67" s="1152" t="s">
        <v>1330</v>
      </c>
      <c r="H67" s="1153"/>
      <c r="I67" s="1153"/>
      <c r="J67" s="1153"/>
      <c r="K67" s="1180" t="s">
        <v>3755</v>
      </c>
      <c r="L67" s="130"/>
      <c r="M67" s="130"/>
      <c r="N67" s="130"/>
      <c r="O67" s="130"/>
      <c r="P67" s="130"/>
      <c r="Q67" s="130"/>
      <c r="R67" s="1213" t="s">
        <v>3915</v>
      </c>
      <c r="S67" s="1161"/>
      <c r="T67" s="1208">
        <v>250</v>
      </c>
      <c r="U67" s="130"/>
      <c r="V67" s="1244"/>
      <c r="W67" s="1244"/>
      <c r="X67" s="1244"/>
      <c r="Y67" s="1244"/>
      <c r="Z67" s="1244"/>
      <c r="AA67" s="1244"/>
      <c r="AC67" s="1243"/>
    </row>
    <row r="68" ht="16" customHeight="1" spans="2:29">
      <c r="B68" s="1154" t="s">
        <v>3841</v>
      </c>
      <c r="C68" s="1155"/>
      <c r="D68" s="1155"/>
      <c r="E68" s="1181">
        <v>200</v>
      </c>
      <c r="F68" s="130"/>
      <c r="G68" s="1156" t="s">
        <v>3916</v>
      </c>
      <c r="H68" s="1157"/>
      <c r="I68" s="1157"/>
      <c r="J68" s="1157"/>
      <c r="K68" s="1196">
        <v>100</v>
      </c>
      <c r="L68" s="130"/>
      <c r="M68" s="1150" t="s">
        <v>3917</v>
      </c>
      <c r="N68" s="1151"/>
      <c r="O68" s="1151"/>
      <c r="P68" s="1179"/>
      <c r="Q68" s="130"/>
      <c r="R68" s="1219" t="s">
        <v>3918</v>
      </c>
      <c r="S68" s="1220"/>
      <c r="T68" s="1209">
        <v>400</v>
      </c>
      <c r="U68" s="130"/>
      <c r="V68" s="1244"/>
      <c r="W68" s="1244"/>
      <c r="X68" s="1244"/>
      <c r="Y68" s="1244"/>
      <c r="Z68" s="1244"/>
      <c r="AA68" s="1244"/>
      <c r="AC68" s="1243"/>
    </row>
    <row r="69" ht="16" customHeight="1" spans="2:29">
      <c r="B69" s="1156" t="s">
        <v>3919</v>
      </c>
      <c r="C69" s="1157"/>
      <c r="D69" s="1157"/>
      <c r="E69" s="1182">
        <v>350</v>
      </c>
      <c r="F69" s="130"/>
      <c r="G69" s="1154" t="s">
        <v>3920</v>
      </c>
      <c r="H69" s="1155"/>
      <c r="I69" s="1155"/>
      <c r="J69" s="1155"/>
      <c r="K69" s="1195">
        <v>30</v>
      </c>
      <c r="L69" s="130"/>
      <c r="M69" s="1152" t="s">
        <v>1330</v>
      </c>
      <c r="N69" s="1153"/>
      <c r="O69" s="1153"/>
      <c r="P69" s="1180" t="s">
        <v>3755</v>
      </c>
      <c r="Q69" s="1160"/>
      <c r="R69" s="1213" t="s">
        <v>3921</v>
      </c>
      <c r="S69" s="1161"/>
      <c r="T69" s="1208">
        <v>900</v>
      </c>
      <c r="U69" s="130"/>
      <c r="V69" s="1244"/>
      <c r="W69" s="1244"/>
      <c r="X69" s="1244"/>
      <c r="Y69" s="1244"/>
      <c r="Z69" s="1244"/>
      <c r="AA69" s="1244"/>
      <c r="AC69" s="1243"/>
    </row>
    <row r="70" ht="16" customHeight="1" spans="2:29">
      <c r="B70" s="1154" t="s">
        <v>3922</v>
      </c>
      <c r="C70" s="1155"/>
      <c r="D70" s="1155"/>
      <c r="E70" s="1181">
        <v>20</v>
      </c>
      <c r="F70" s="130"/>
      <c r="G70" s="1156" t="s">
        <v>3923</v>
      </c>
      <c r="H70" s="1157"/>
      <c r="I70" s="1157"/>
      <c r="J70" s="1157"/>
      <c r="K70" s="1196">
        <v>60</v>
      </c>
      <c r="L70" s="130"/>
      <c r="M70" s="1154" t="s">
        <v>3924</v>
      </c>
      <c r="N70" s="1155"/>
      <c r="O70" s="1155"/>
      <c r="P70" s="1181" t="s">
        <v>3758</v>
      </c>
      <c r="Q70" s="1160"/>
      <c r="R70" s="1219" t="s">
        <v>3925</v>
      </c>
      <c r="S70" s="1220"/>
      <c r="T70" s="1209">
        <v>200</v>
      </c>
      <c r="U70" s="1160"/>
      <c r="V70" s="1244"/>
      <c r="W70" s="1244"/>
      <c r="X70" s="1244"/>
      <c r="Y70" s="1244"/>
      <c r="Z70" s="1244"/>
      <c r="AA70" s="1244"/>
      <c r="AC70" s="1243"/>
    </row>
    <row r="71" ht="16" customHeight="1" spans="2:27">
      <c r="B71" s="1156" t="s">
        <v>3837</v>
      </c>
      <c r="C71" s="1157"/>
      <c r="D71" s="1157"/>
      <c r="E71" s="1182">
        <v>60</v>
      </c>
      <c r="F71" s="130"/>
      <c r="G71" s="1154" t="s">
        <v>3926</v>
      </c>
      <c r="H71" s="1155"/>
      <c r="I71" s="1155"/>
      <c r="J71" s="1155"/>
      <c r="K71" s="1195">
        <v>160</v>
      </c>
      <c r="L71" s="1160"/>
      <c r="M71" s="1156" t="s">
        <v>3927</v>
      </c>
      <c r="N71" s="1157"/>
      <c r="O71" s="1157"/>
      <c r="P71" s="1182" t="s">
        <v>3928</v>
      </c>
      <c r="Q71" s="1160"/>
      <c r="R71" s="1213" t="s">
        <v>3929</v>
      </c>
      <c r="S71" s="1161"/>
      <c r="T71" s="1208" t="s">
        <v>3856</v>
      </c>
      <c r="U71" s="130"/>
      <c r="V71" s="1244"/>
      <c r="W71" s="1244"/>
      <c r="X71" s="1244"/>
      <c r="Y71" s="1244"/>
      <c r="Z71" s="1244"/>
      <c r="AA71" s="1244"/>
    </row>
    <row r="72" ht="16" customHeight="1" spans="2:27">
      <c r="B72" s="1183" t="s">
        <v>3845</v>
      </c>
      <c r="C72" s="1184"/>
      <c r="D72" s="1184"/>
      <c r="E72" s="1194" t="s">
        <v>3882</v>
      </c>
      <c r="F72" s="130"/>
      <c r="G72" s="1158" t="s">
        <v>3930</v>
      </c>
      <c r="H72" s="1159"/>
      <c r="I72" s="1159"/>
      <c r="J72" s="1159"/>
      <c r="K72" s="1197">
        <v>70</v>
      </c>
      <c r="L72" s="130"/>
      <c r="M72" s="1154" t="s">
        <v>3931</v>
      </c>
      <c r="N72" s="1155"/>
      <c r="O72" s="1155"/>
      <c r="P72" s="1181">
        <v>10</v>
      </c>
      <c r="Q72" s="1160"/>
      <c r="R72" s="1219" t="s">
        <v>3932</v>
      </c>
      <c r="S72" s="1220"/>
      <c r="T72" s="1209" t="s">
        <v>3564</v>
      </c>
      <c r="U72" s="130"/>
      <c r="V72" s="1244"/>
      <c r="W72" s="1244"/>
      <c r="X72" s="1244"/>
      <c r="Y72" s="1244"/>
      <c r="Z72" s="1244"/>
      <c r="AA72" s="1244"/>
    </row>
    <row r="73" ht="16" customHeight="1" spans="2:27">
      <c r="B73" s="1244"/>
      <c r="C73" s="1244"/>
      <c r="D73" s="1244"/>
      <c r="E73" s="1160"/>
      <c r="F73" s="130"/>
      <c r="G73" s="130"/>
      <c r="H73" s="130"/>
      <c r="I73" s="130"/>
      <c r="J73" s="130"/>
      <c r="K73" s="130"/>
      <c r="L73" s="130"/>
      <c r="M73" s="1156" t="s">
        <v>3933</v>
      </c>
      <c r="N73" s="1157"/>
      <c r="O73" s="1157"/>
      <c r="P73" s="1182" t="s">
        <v>3652</v>
      </c>
      <c r="Q73" s="1160"/>
      <c r="R73" s="1264" t="s">
        <v>3934</v>
      </c>
      <c r="S73" s="1240"/>
      <c r="T73" s="1210" t="s">
        <v>3882</v>
      </c>
      <c r="U73" s="130"/>
      <c r="V73" s="1270"/>
      <c r="W73" s="1270"/>
      <c r="X73" s="1270"/>
      <c r="Y73" s="130"/>
      <c r="Z73" s="130"/>
      <c r="AA73" s="130"/>
    </row>
    <row r="74" ht="16" customHeight="1" spans="2:27">
      <c r="B74" s="1160"/>
      <c r="C74" s="1160"/>
      <c r="D74" s="1160"/>
      <c r="E74" s="1160"/>
      <c r="F74" s="130"/>
      <c r="G74" s="130"/>
      <c r="H74" s="130"/>
      <c r="I74" s="1160"/>
      <c r="J74" s="130"/>
      <c r="K74" s="130"/>
      <c r="L74" s="130"/>
      <c r="M74" s="1154" t="s">
        <v>3935</v>
      </c>
      <c r="N74" s="1155"/>
      <c r="O74" s="1155"/>
      <c r="P74" s="1181">
        <v>55</v>
      </c>
      <c r="Q74" s="1160"/>
      <c r="R74" s="130"/>
      <c r="S74" s="130"/>
      <c r="T74" s="130"/>
      <c r="U74" s="130"/>
      <c r="V74" s="130"/>
      <c r="W74" s="130"/>
      <c r="X74" s="130"/>
      <c r="Y74" s="130"/>
      <c r="Z74" s="130"/>
      <c r="AA74" s="130"/>
    </row>
    <row r="75" ht="16" customHeight="1" spans="2:27">
      <c r="B75" s="1160"/>
      <c r="C75" s="1160"/>
      <c r="D75" s="1160"/>
      <c r="E75" s="1160"/>
      <c r="F75" s="130"/>
      <c r="G75" s="130"/>
      <c r="H75" s="130"/>
      <c r="I75" s="1160"/>
      <c r="J75" s="130"/>
      <c r="K75" s="130"/>
      <c r="L75" s="130"/>
      <c r="M75" s="1158" t="s">
        <v>3936</v>
      </c>
      <c r="N75" s="1159"/>
      <c r="O75" s="1159"/>
      <c r="P75" s="1185">
        <v>65</v>
      </c>
      <c r="Q75" s="1160"/>
      <c r="R75" s="130"/>
      <c r="S75" s="130"/>
      <c r="T75" s="130"/>
      <c r="U75" s="130"/>
      <c r="V75" s="130"/>
      <c r="W75" s="130"/>
      <c r="X75" s="130"/>
      <c r="Y75" s="130"/>
      <c r="Z75" s="130"/>
      <c r="AA75" s="130"/>
    </row>
    <row r="76" ht="16" customHeight="1" spans="2:17">
      <c r="B76" s="1243"/>
      <c r="C76" s="1243"/>
      <c r="D76" s="1243"/>
      <c r="E76" s="1243"/>
      <c r="I76" s="1243"/>
      <c r="Q76" s="1243"/>
    </row>
    <row r="77" ht="16" customHeight="1" spans="2:27">
      <c r="B77" s="1135" t="s">
        <v>3937</v>
      </c>
      <c r="C77" s="1136"/>
      <c r="D77" s="1136"/>
      <c r="E77" s="1136"/>
      <c r="F77" s="1136"/>
      <c r="G77" s="1136"/>
      <c r="H77" s="1136"/>
      <c r="I77" s="1136"/>
      <c r="J77" s="1136"/>
      <c r="K77" s="1136"/>
      <c r="L77" s="1136"/>
      <c r="M77" s="1136"/>
      <c r="N77" s="1136"/>
      <c r="O77" s="1136"/>
      <c r="P77" s="1136"/>
      <c r="Q77" s="1136"/>
      <c r="R77" s="1136"/>
      <c r="S77" s="1136"/>
      <c r="T77" s="1136"/>
      <c r="U77" s="1136"/>
      <c r="V77" s="1136"/>
      <c r="W77" s="1136"/>
      <c r="X77" s="1136"/>
      <c r="Y77" s="1136"/>
      <c r="Z77" s="1136"/>
      <c r="AA77" s="1232"/>
    </row>
    <row r="78" ht="16" customHeight="1" spans="2:27">
      <c r="B78" s="1137"/>
      <c r="C78" s="1138"/>
      <c r="D78" s="1138"/>
      <c r="E78" s="1138"/>
      <c r="F78" s="1138"/>
      <c r="G78" s="1138"/>
      <c r="H78" s="1138"/>
      <c r="I78" s="1138"/>
      <c r="J78" s="1138"/>
      <c r="K78" s="1138"/>
      <c r="L78" s="1138"/>
      <c r="M78" s="1138"/>
      <c r="N78" s="1138"/>
      <c r="O78" s="1138"/>
      <c r="P78" s="1138"/>
      <c r="Q78" s="1138"/>
      <c r="R78" s="1138"/>
      <c r="S78" s="1138"/>
      <c r="T78" s="1138"/>
      <c r="U78" s="1138"/>
      <c r="V78" s="1138"/>
      <c r="W78" s="1138"/>
      <c r="X78" s="1138"/>
      <c r="Y78" s="1138"/>
      <c r="Z78" s="1138"/>
      <c r="AA78" s="1234"/>
    </row>
    <row r="79" ht="16" customHeight="1" spans="2:27">
      <c r="B79" s="1140"/>
      <c r="C79" s="1141"/>
      <c r="D79" s="1141"/>
      <c r="E79" s="1141"/>
      <c r="F79" s="1141"/>
      <c r="G79" s="1141"/>
      <c r="H79" s="1141"/>
      <c r="I79" s="1141"/>
      <c r="J79" s="1141"/>
      <c r="K79" s="1141"/>
      <c r="L79" s="1141"/>
      <c r="M79" s="1141"/>
      <c r="N79" s="1141"/>
      <c r="O79" s="1141"/>
      <c r="P79" s="1141"/>
      <c r="Q79" s="1141"/>
      <c r="R79" s="1141"/>
      <c r="S79" s="1141"/>
      <c r="T79" s="1141"/>
      <c r="U79" s="1141"/>
      <c r="V79" s="1141"/>
      <c r="W79" s="1141"/>
      <c r="X79" s="1141"/>
      <c r="Y79" s="1141"/>
      <c r="Z79" s="1141"/>
      <c r="AA79" s="1235"/>
    </row>
    <row r="80" ht="16" customHeight="1" spans="2:27">
      <c r="B80" s="1245" t="s">
        <v>3938</v>
      </c>
      <c r="C80" s="1245"/>
      <c r="D80" s="1245"/>
      <c r="E80" s="1245"/>
      <c r="F80" s="1245"/>
      <c r="G80" s="1245"/>
      <c r="H80" s="1245"/>
      <c r="I80" s="1245"/>
      <c r="J80" s="1245"/>
      <c r="K80" s="1245"/>
      <c r="L80" s="1245"/>
      <c r="M80" s="1245"/>
      <c r="N80" s="1245"/>
      <c r="O80" s="1245"/>
      <c r="P80" s="1245"/>
      <c r="Q80" s="1245"/>
      <c r="R80" s="1245"/>
      <c r="S80" s="1245"/>
      <c r="T80" s="1245"/>
      <c r="U80" s="1245"/>
      <c r="V80" s="1245"/>
      <c r="W80" s="1245"/>
      <c r="X80" s="1245"/>
      <c r="Y80" s="1245"/>
      <c r="Z80" s="1245"/>
      <c r="AA80" s="1245"/>
    </row>
    <row r="81" ht="16" customHeight="1" spans="2:27">
      <c r="B81" s="1150" t="s">
        <v>3750</v>
      </c>
      <c r="C81" s="1151"/>
      <c r="D81" s="1151"/>
      <c r="E81" s="1179"/>
      <c r="G81" s="1150" t="s">
        <v>3752</v>
      </c>
      <c r="H81" s="1151"/>
      <c r="I81" s="1151"/>
      <c r="J81" s="1151"/>
      <c r="K81" s="1179"/>
      <c r="L81" s="1261"/>
      <c r="M81" s="1150" t="s">
        <v>3939</v>
      </c>
      <c r="N81" s="1151"/>
      <c r="O81" s="1151"/>
      <c r="P81" s="1151"/>
      <c r="Q81" s="1179"/>
      <c r="R81" s="1265"/>
      <c r="S81" s="1150" t="s">
        <v>3940</v>
      </c>
      <c r="T81" s="1151"/>
      <c r="U81" s="1151"/>
      <c r="V81" s="1179"/>
      <c r="W81" s="1271"/>
      <c r="X81" s="1150" t="s">
        <v>3941</v>
      </c>
      <c r="Y81" s="1151"/>
      <c r="Z81" s="1151"/>
      <c r="AA81" s="1179"/>
    </row>
    <row r="82" ht="16" customHeight="1" spans="2:27">
      <c r="B82" s="1152" t="s">
        <v>1330</v>
      </c>
      <c r="C82" s="1153"/>
      <c r="D82" s="1153" t="s">
        <v>3755</v>
      </c>
      <c r="E82" s="1180" t="s">
        <v>3942</v>
      </c>
      <c r="G82" s="1152" t="s">
        <v>1330</v>
      </c>
      <c r="H82" s="1153"/>
      <c r="I82" s="1153"/>
      <c r="J82" s="1153" t="s">
        <v>3755</v>
      </c>
      <c r="K82" s="1180" t="s">
        <v>3942</v>
      </c>
      <c r="L82" s="1261"/>
      <c r="M82" s="1152" t="s">
        <v>1330</v>
      </c>
      <c r="N82" s="1153"/>
      <c r="O82" s="1153"/>
      <c r="P82" s="1153" t="s">
        <v>3755</v>
      </c>
      <c r="Q82" s="1266" t="s">
        <v>3942</v>
      </c>
      <c r="R82" s="1250"/>
      <c r="S82" s="1152" t="s">
        <v>1330</v>
      </c>
      <c r="T82" s="1153"/>
      <c r="U82" s="1153" t="s">
        <v>3755</v>
      </c>
      <c r="V82" s="1266" t="s">
        <v>3942</v>
      </c>
      <c r="X82" s="1152" t="s">
        <v>1330</v>
      </c>
      <c r="Y82" s="1153"/>
      <c r="Z82" s="1153" t="s">
        <v>3756</v>
      </c>
      <c r="AA82" s="1266" t="s">
        <v>3755</v>
      </c>
    </row>
    <row r="83" ht="16" customHeight="1" spans="2:27">
      <c r="B83" s="1154" t="s">
        <v>3943</v>
      </c>
      <c r="C83" s="1155"/>
      <c r="D83" s="1161">
        <v>17.95</v>
      </c>
      <c r="E83" s="1181">
        <f>D83*20</f>
        <v>359</v>
      </c>
      <c r="G83" s="1154" t="s">
        <v>3944</v>
      </c>
      <c r="H83" s="1155"/>
      <c r="I83" s="1155"/>
      <c r="J83" s="1161">
        <v>8.98</v>
      </c>
      <c r="K83" s="1181">
        <f t="shared" ref="K83:K109" si="0">J83*20</f>
        <v>179.6</v>
      </c>
      <c r="L83" s="1261"/>
      <c r="M83" s="1154" t="s">
        <v>3945</v>
      </c>
      <c r="N83" s="1155"/>
      <c r="O83" s="1155"/>
      <c r="P83" s="1161">
        <v>1.79</v>
      </c>
      <c r="Q83" s="1181">
        <f t="shared" ref="Q83:Q89" si="1">P83*20</f>
        <v>35.8</v>
      </c>
      <c r="R83" s="1250"/>
      <c r="S83" s="1257" t="s">
        <v>3946</v>
      </c>
      <c r="T83" s="1258"/>
      <c r="U83" s="1161">
        <v>2.5</v>
      </c>
      <c r="V83" s="1181">
        <f t="shared" ref="V83:V88" si="2">U83*20</f>
        <v>50</v>
      </c>
      <c r="X83" s="1272" t="s">
        <v>3763</v>
      </c>
      <c r="Y83" s="1285"/>
      <c r="Z83" s="1161">
        <v>100</v>
      </c>
      <c r="AA83" s="1181">
        <v>0.54</v>
      </c>
    </row>
    <row r="84" ht="16" customHeight="1" spans="2:27">
      <c r="B84" s="1156" t="s">
        <v>3947</v>
      </c>
      <c r="C84" s="1157"/>
      <c r="D84" s="1220">
        <v>18.5</v>
      </c>
      <c r="E84" s="1182">
        <f t="shared" ref="E84:E102" si="3">D84*20</f>
        <v>370</v>
      </c>
      <c r="G84" s="1156" t="s">
        <v>3948</v>
      </c>
      <c r="H84" s="1157"/>
      <c r="I84" s="1157"/>
      <c r="J84" s="1220">
        <v>6.1</v>
      </c>
      <c r="K84" s="1182">
        <f t="shared" si="0"/>
        <v>122</v>
      </c>
      <c r="L84" s="1261"/>
      <c r="M84" s="1156" t="s">
        <v>3949</v>
      </c>
      <c r="N84" s="1157"/>
      <c r="O84" s="1157"/>
      <c r="P84" s="1220">
        <v>2.98</v>
      </c>
      <c r="Q84" s="1182">
        <f t="shared" si="1"/>
        <v>59.6</v>
      </c>
      <c r="R84" s="1250"/>
      <c r="S84" s="1156" t="s">
        <v>3950</v>
      </c>
      <c r="T84" s="1157"/>
      <c r="U84" s="1220">
        <v>0.45</v>
      </c>
      <c r="V84" s="1182">
        <f t="shared" si="2"/>
        <v>9</v>
      </c>
      <c r="X84" s="1273" t="s">
        <v>3951</v>
      </c>
      <c r="Y84" s="1286"/>
      <c r="Z84" s="1220">
        <v>100</v>
      </c>
      <c r="AA84" s="1182">
        <v>0.53</v>
      </c>
    </row>
    <row r="85" ht="16" customHeight="1" spans="2:27">
      <c r="B85" s="1154" t="s">
        <v>3952</v>
      </c>
      <c r="C85" s="1155"/>
      <c r="D85" s="1161">
        <v>13.85</v>
      </c>
      <c r="E85" s="1181">
        <f t="shared" si="3"/>
        <v>277</v>
      </c>
      <c r="G85" s="1154" t="s">
        <v>3953</v>
      </c>
      <c r="H85" s="1155"/>
      <c r="I85" s="1155"/>
      <c r="J85" s="1161">
        <v>0.89</v>
      </c>
      <c r="K85" s="1181">
        <f t="shared" si="0"/>
        <v>17.8</v>
      </c>
      <c r="L85" s="1261"/>
      <c r="M85" s="1154" t="s">
        <v>3954</v>
      </c>
      <c r="N85" s="1155"/>
      <c r="O85" s="1155"/>
      <c r="P85" s="1161">
        <v>2.98</v>
      </c>
      <c r="Q85" s="1181">
        <f t="shared" si="1"/>
        <v>59.6</v>
      </c>
      <c r="R85" s="1250"/>
      <c r="S85" s="1154" t="s">
        <v>3955</v>
      </c>
      <c r="T85" s="1155"/>
      <c r="U85" s="1161">
        <v>0.65</v>
      </c>
      <c r="V85" s="1181">
        <f t="shared" si="2"/>
        <v>13</v>
      </c>
      <c r="X85" s="1274" t="s">
        <v>3956</v>
      </c>
      <c r="Y85" s="1287"/>
      <c r="Z85" s="1161">
        <v>100</v>
      </c>
      <c r="AA85" s="1181">
        <v>1.34</v>
      </c>
    </row>
    <row r="86" ht="16" customHeight="1" spans="2:27">
      <c r="B86" s="1156" t="s">
        <v>3957</v>
      </c>
      <c r="C86" s="1157"/>
      <c r="D86" s="1220">
        <v>9.95</v>
      </c>
      <c r="E86" s="1182">
        <f t="shared" si="3"/>
        <v>199</v>
      </c>
      <c r="G86" s="1156" t="s">
        <v>3958</v>
      </c>
      <c r="H86" s="1157"/>
      <c r="I86" s="1157"/>
      <c r="J86" s="1220">
        <v>6.79</v>
      </c>
      <c r="K86" s="1182">
        <f t="shared" si="0"/>
        <v>135.8</v>
      </c>
      <c r="L86" s="1261"/>
      <c r="M86" s="1156" t="s">
        <v>3959</v>
      </c>
      <c r="N86" s="1157"/>
      <c r="O86" s="1157"/>
      <c r="P86" s="1220">
        <v>0.98</v>
      </c>
      <c r="Q86" s="1182">
        <f t="shared" si="1"/>
        <v>19.6</v>
      </c>
      <c r="R86" s="1261"/>
      <c r="S86" s="1156" t="s">
        <v>3960</v>
      </c>
      <c r="T86" s="1157"/>
      <c r="U86" s="1220">
        <v>1.25</v>
      </c>
      <c r="V86" s="1182">
        <f t="shared" si="2"/>
        <v>25</v>
      </c>
      <c r="X86" s="1275" t="s">
        <v>3961</v>
      </c>
      <c r="Y86" s="1288"/>
      <c r="Z86" s="1220">
        <v>100</v>
      </c>
      <c r="AA86" s="1182">
        <v>7.63</v>
      </c>
    </row>
    <row r="87" ht="16" customHeight="1" spans="2:27">
      <c r="B87" s="1154" t="s">
        <v>3962</v>
      </c>
      <c r="C87" s="1155"/>
      <c r="D87" s="1161">
        <v>0.69</v>
      </c>
      <c r="E87" s="1181">
        <f t="shared" si="3"/>
        <v>13.8</v>
      </c>
      <c r="G87" s="1251" t="s">
        <v>3963</v>
      </c>
      <c r="H87" s="1252"/>
      <c r="I87" s="1252"/>
      <c r="J87" s="1161">
        <v>5.06</v>
      </c>
      <c r="K87" s="1181">
        <f t="shared" si="0"/>
        <v>101.2</v>
      </c>
      <c r="L87" s="1261"/>
      <c r="M87" s="1154" t="s">
        <v>3964</v>
      </c>
      <c r="N87" s="1155"/>
      <c r="O87" s="1155"/>
      <c r="P87" s="1161">
        <v>2.59</v>
      </c>
      <c r="Q87" s="1181">
        <f t="shared" si="1"/>
        <v>51.8</v>
      </c>
      <c r="R87" s="1265"/>
      <c r="S87" s="1154" t="s">
        <v>3965</v>
      </c>
      <c r="T87" s="1155"/>
      <c r="U87" s="1161">
        <v>2.5</v>
      </c>
      <c r="V87" s="1181">
        <f t="shared" si="2"/>
        <v>50</v>
      </c>
      <c r="X87" s="1274" t="s">
        <v>3966</v>
      </c>
      <c r="Y87" s="1287"/>
      <c r="Z87" s="1161">
        <v>100</v>
      </c>
      <c r="AA87" s="1181">
        <v>5.95</v>
      </c>
    </row>
    <row r="88" ht="16" customHeight="1" spans="2:27">
      <c r="B88" s="1156" t="s">
        <v>3967</v>
      </c>
      <c r="C88" s="1157"/>
      <c r="D88" s="1220" t="s">
        <v>3968</v>
      </c>
      <c r="E88" s="1182" t="s">
        <v>3969</v>
      </c>
      <c r="G88" s="1156" t="s">
        <v>3970</v>
      </c>
      <c r="H88" s="1157"/>
      <c r="I88" s="1157"/>
      <c r="J88" s="1220">
        <v>3.65</v>
      </c>
      <c r="K88" s="1182">
        <f t="shared" si="0"/>
        <v>73</v>
      </c>
      <c r="L88" s="1261"/>
      <c r="M88" s="1156" t="s">
        <v>3971</v>
      </c>
      <c r="N88" s="1157"/>
      <c r="O88" s="1157"/>
      <c r="P88" s="1220">
        <v>4.95</v>
      </c>
      <c r="Q88" s="1182">
        <f t="shared" si="1"/>
        <v>99</v>
      </c>
      <c r="R88" s="1250"/>
      <c r="S88" s="1158" t="s">
        <v>3972</v>
      </c>
      <c r="T88" s="1159"/>
      <c r="U88" s="1216">
        <v>0.45</v>
      </c>
      <c r="V88" s="1185">
        <f t="shared" si="2"/>
        <v>9</v>
      </c>
      <c r="X88" s="1273" t="s">
        <v>3973</v>
      </c>
      <c r="Y88" s="1286"/>
      <c r="Z88" s="1220">
        <v>100</v>
      </c>
      <c r="AA88" s="1182">
        <v>2.97</v>
      </c>
    </row>
    <row r="89" ht="16" customHeight="1" spans="2:27">
      <c r="B89" s="1154" t="s">
        <v>3974</v>
      </c>
      <c r="C89" s="1155"/>
      <c r="D89" s="1161">
        <v>37.5</v>
      </c>
      <c r="E89" s="1181">
        <f t="shared" si="3"/>
        <v>750</v>
      </c>
      <c r="G89" s="1154" t="s">
        <v>3975</v>
      </c>
      <c r="H89" s="1155"/>
      <c r="I89" s="1155"/>
      <c r="J89" s="1161">
        <v>2.59</v>
      </c>
      <c r="K89" s="1181">
        <f t="shared" si="0"/>
        <v>51.8</v>
      </c>
      <c r="L89" s="1261"/>
      <c r="M89" s="1154" t="s">
        <v>3976</v>
      </c>
      <c r="N89" s="1155"/>
      <c r="O89" s="1155"/>
      <c r="P89" s="1161">
        <v>0.4</v>
      </c>
      <c r="Q89" s="1181">
        <f t="shared" si="1"/>
        <v>8</v>
      </c>
      <c r="R89" s="1250"/>
      <c r="X89" s="1276" t="s">
        <v>3977</v>
      </c>
      <c r="Y89" s="1160"/>
      <c r="Z89" s="1161">
        <v>100</v>
      </c>
      <c r="AA89" s="1181">
        <v>1.75</v>
      </c>
    </row>
    <row r="90" ht="16" customHeight="1" spans="2:27">
      <c r="B90" s="1246" t="s">
        <v>3978</v>
      </c>
      <c r="C90" s="1247"/>
      <c r="D90" s="1220">
        <v>19.95</v>
      </c>
      <c r="E90" s="1182">
        <f t="shared" si="3"/>
        <v>399</v>
      </c>
      <c r="G90" s="1156" t="s">
        <v>3979</v>
      </c>
      <c r="H90" s="1157"/>
      <c r="I90" s="1157"/>
      <c r="J90" s="1220">
        <v>0.25</v>
      </c>
      <c r="K90" s="1182">
        <f t="shared" si="0"/>
        <v>5</v>
      </c>
      <c r="L90" s="1261"/>
      <c r="M90" s="1150" t="s">
        <v>3980</v>
      </c>
      <c r="N90" s="1151"/>
      <c r="O90" s="1151"/>
      <c r="P90" s="1151"/>
      <c r="Q90" s="1179"/>
      <c r="R90" s="1250"/>
      <c r="S90" s="1150" t="s">
        <v>3981</v>
      </c>
      <c r="T90" s="1151"/>
      <c r="U90" s="1151"/>
      <c r="V90" s="1179"/>
      <c r="W90" s="1271"/>
      <c r="X90" s="1273" t="s">
        <v>3982</v>
      </c>
      <c r="Y90" s="1286"/>
      <c r="Z90" s="1220">
        <v>100</v>
      </c>
      <c r="AA90" s="1182">
        <v>6.6</v>
      </c>
    </row>
    <row r="91" ht="16" customHeight="1" spans="2:27">
      <c r="B91" s="1154" t="s">
        <v>3983</v>
      </c>
      <c r="C91" s="1155"/>
      <c r="D91" s="1161">
        <v>6.95</v>
      </c>
      <c r="E91" s="1181">
        <f t="shared" si="3"/>
        <v>139</v>
      </c>
      <c r="G91" s="1154" t="s">
        <v>3984</v>
      </c>
      <c r="H91" s="1155"/>
      <c r="I91" s="1155"/>
      <c r="J91" s="1161">
        <v>5.95</v>
      </c>
      <c r="K91" s="1181">
        <f t="shared" si="0"/>
        <v>119</v>
      </c>
      <c r="L91" s="1261"/>
      <c r="M91" s="1154" t="s">
        <v>3985</v>
      </c>
      <c r="N91" s="1155"/>
      <c r="O91" s="1155"/>
      <c r="P91" s="1161">
        <v>1.69</v>
      </c>
      <c r="Q91" s="1181">
        <f t="shared" ref="Q91:Q95" si="4">P91*20</f>
        <v>33.8</v>
      </c>
      <c r="R91" s="1250"/>
      <c r="S91" s="1152" t="s">
        <v>3986</v>
      </c>
      <c r="T91" s="1153"/>
      <c r="U91" s="1153" t="s">
        <v>3755</v>
      </c>
      <c r="V91" s="1266" t="s">
        <v>3942</v>
      </c>
      <c r="X91" s="1272" t="s">
        <v>3987</v>
      </c>
      <c r="Y91" s="1285"/>
      <c r="Z91" s="1161">
        <v>100</v>
      </c>
      <c r="AA91" s="1181">
        <v>4.49</v>
      </c>
    </row>
    <row r="92" ht="16" customHeight="1" spans="2:27">
      <c r="B92" s="1156" t="s">
        <v>3988</v>
      </c>
      <c r="C92" s="1157"/>
      <c r="D92" s="1220">
        <v>4.95</v>
      </c>
      <c r="E92" s="1182">
        <f t="shared" si="3"/>
        <v>99</v>
      </c>
      <c r="G92" s="1156" t="s">
        <v>3989</v>
      </c>
      <c r="H92" s="1157"/>
      <c r="I92" s="1157"/>
      <c r="J92" s="1220">
        <v>6.59</v>
      </c>
      <c r="K92" s="1182">
        <f t="shared" si="0"/>
        <v>131.8</v>
      </c>
      <c r="L92" s="1261"/>
      <c r="M92" s="1156" t="s">
        <v>3990</v>
      </c>
      <c r="N92" s="1157"/>
      <c r="O92" s="1157"/>
      <c r="P92" s="1220">
        <v>3.98</v>
      </c>
      <c r="Q92" s="1182">
        <f t="shared" si="4"/>
        <v>79.6</v>
      </c>
      <c r="R92" s="1250"/>
      <c r="S92" s="1154" t="s">
        <v>3991</v>
      </c>
      <c r="T92" s="1155"/>
      <c r="U92" s="1161">
        <v>0.25</v>
      </c>
      <c r="V92" s="1181">
        <f t="shared" ref="V92:V111" si="5">U92*20</f>
        <v>5</v>
      </c>
      <c r="X92" s="1273" t="s">
        <v>3992</v>
      </c>
      <c r="Y92" s="1286"/>
      <c r="Z92" s="1220">
        <v>100</v>
      </c>
      <c r="AA92" s="1182">
        <v>4.43</v>
      </c>
    </row>
    <row r="93" ht="16" customHeight="1" spans="2:27">
      <c r="B93" s="1213" t="s">
        <v>3993</v>
      </c>
      <c r="C93" s="1161"/>
      <c r="D93" s="1161">
        <v>8</v>
      </c>
      <c r="E93" s="1181">
        <f t="shared" si="3"/>
        <v>160</v>
      </c>
      <c r="G93" s="1154" t="s">
        <v>3994</v>
      </c>
      <c r="H93" s="1155"/>
      <c r="I93" s="1155"/>
      <c r="J93" s="1161">
        <v>1.39</v>
      </c>
      <c r="K93" s="1181">
        <f t="shared" si="0"/>
        <v>27.8</v>
      </c>
      <c r="L93" s="1261"/>
      <c r="M93" s="1154" t="s">
        <v>3995</v>
      </c>
      <c r="N93" s="1155"/>
      <c r="O93" s="1155"/>
      <c r="P93" s="1161">
        <v>0.8</v>
      </c>
      <c r="Q93" s="1181">
        <f t="shared" si="4"/>
        <v>16</v>
      </c>
      <c r="R93" s="1250"/>
      <c r="S93" s="1156" t="s">
        <v>3996</v>
      </c>
      <c r="T93" s="1157"/>
      <c r="U93" s="1220">
        <v>0.1</v>
      </c>
      <c r="V93" s="1182">
        <f t="shared" si="5"/>
        <v>2</v>
      </c>
      <c r="X93" s="1276" t="s">
        <v>3823</v>
      </c>
      <c r="Y93" s="1160"/>
      <c r="Z93" s="1161">
        <v>25</v>
      </c>
      <c r="AA93" s="1181">
        <v>1</v>
      </c>
    </row>
    <row r="94" ht="16" customHeight="1" spans="2:27">
      <c r="B94" s="1156" t="s">
        <v>3997</v>
      </c>
      <c r="C94" s="1157"/>
      <c r="D94" s="1220">
        <v>4.95</v>
      </c>
      <c r="E94" s="1182">
        <f t="shared" si="3"/>
        <v>99</v>
      </c>
      <c r="G94" s="1156" t="s">
        <v>3998</v>
      </c>
      <c r="H94" s="1157"/>
      <c r="I94" s="1157"/>
      <c r="J94" s="1220">
        <v>1.68</v>
      </c>
      <c r="K94" s="1182">
        <f t="shared" si="0"/>
        <v>33.6</v>
      </c>
      <c r="L94" s="1261"/>
      <c r="M94" s="1156" t="s">
        <v>3999</v>
      </c>
      <c r="N94" s="1157"/>
      <c r="O94" s="1157"/>
      <c r="P94" s="1220">
        <v>1.04</v>
      </c>
      <c r="Q94" s="1182">
        <f t="shared" si="4"/>
        <v>20.8</v>
      </c>
      <c r="R94" s="1250"/>
      <c r="S94" s="1217" t="s">
        <v>4000</v>
      </c>
      <c r="T94" s="1218"/>
      <c r="U94" s="1161">
        <v>0.19</v>
      </c>
      <c r="V94" s="1181">
        <f t="shared" si="5"/>
        <v>3.8</v>
      </c>
      <c r="X94" s="1275" t="s">
        <v>3823</v>
      </c>
      <c r="Y94" s="1288"/>
      <c r="Z94" s="1220">
        <v>100</v>
      </c>
      <c r="AA94" s="1182">
        <v>3.91</v>
      </c>
    </row>
    <row r="95" ht="16" customHeight="1" spans="2:27">
      <c r="B95" s="1154" t="s">
        <v>4001</v>
      </c>
      <c r="C95" s="1155"/>
      <c r="D95" s="1161" t="s">
        <v>4002</v>
      </c>
      <c r="E95" s="1181" t="s">
        <v>4003</v>
      </c>
      <c r="G95" s="1154" t="s">
        <v>4004</v>
      </c>
      <c r="H95" s="1155"/>
      <c r="I95" s="1155"/>
      <c r="J95" s="1249" t="s">
        <v>4005</v>
      </c>
      <c r="K95" s="1181" t="s">
        <v>4006</v>
      </c>
      <c r="L95" s="1261"/>
      <c r="M95" s="1183" t="s">
        <v>4007</v>
      </c>
      <c r="N95" s="1184"/>
      <c r="O95" s="1184"/>
      <c r="P95" s="1240">
        <v>2.06</v>
      </c>
      <c r="Q95" s="1194">
        <f t="shared" si="4"/>
        <v>41.2</v>
      </c>
      <c r="R95" s="1261"/>
      <c r="S95" s="1253" t="s">
        <v>4008</v>
      </c>
      <c r="T95" s="1254"/>
      <c r="U95" s="1220">
        <v>0.43</v>
      </c>
      <c r="V95" s="1182">
        <f t="shared" si="5"/>
        <v>8.6</v>
      </c>
      <c r="X95" s="1276" t="s">
        <v>3826</v>
      </c>
      <c r="Y95" s="1160"/>
      <c r="Z95" s="1161">
        <v>100</v>
      </c>
      <c r="AA95" s="1181">
        <v>3.63</v>
      </c>
    </row>
    <row r="96" ht="16" customHeight="1" spans="2:27">
      <c r="B96" s="1156" t="s">
        <v>4009</v>
      </c>
      <c r="C96" s="1157"/>
      <c r="D96" s="1220">
        <v>19.5</v>
      </c>
      <c r="E96" s="1182">
        <f t="shared" si="3"/>
        <v>390</v>
      </c>
      <c r="G96" s="1156" t="s">
        <v>4010</v>
      </c>
      <c r="H96" s="1157"/>
      <c r="I96" s="1157"/>
      <c r="J96" s="1220">
        <v>0.6</v>
      </c>
      <c r="K96" s="1182">
        <f t="shared" si="0"/>
        <v>12</v>
      </c>
      <c r="L96" s="1261"/>
      <c r="R96" s="1265"/>
      <c r="S96" s="1154" t="s">
        <v>4011</v>
      </c>
      <c r="T96" s="1155"/>
      <c r="U96" s="1161">
        <v>0.25</v>
      </c>
      <c r="V96" s="1181">
        <f t="shared" si="5"/>
        <v>5</v>
      </c>
      <c r="X96" s="1277" t="s">
        <v>3831</v>
      </c>
      <c r="Y96" s="1289"/>
      <c r="Z96" s="1220">
        <v>25</v>
      </c>
      <c r="AA96" s="1182">
        <v>0.86</v>
      </c>
    </row>
    <row r="97" ht="16" customHeight="1" spans="2:27">
      <c r="B97" s="1154" t="s">
        <v>4012</v>
      </c>
      <c r="C97" s="1155"/>
      <c r="D97" s="1161">
        <v>7.69</v>
      </c>
      <c r="E97" s="1181">
        <f t="shared" si="3"/>
        <v>153.8</v>
      </c>
      <c r="G97" s="1154" t="s">
        <v>4013</v>
      </c>
      <c r="H97" s="1155"/>
      <c r="I97" s="1155"/>
      <c r="J97" s="1161">
        <v>1</v>
      </c>
      <c r="K97" s="1181">
        <f t="shared" si="0"/>
        <v>20</v>
      </c>
      <c r="L97" s="1261"/>
      <c r="M97" s="1150" t="s">
        <v>3910</v>
      </c>
      <c r="N97" s="1151"/>
      <c r="O97" s="1151"/>
      <c r="P97" s="1151"/>
      <c r="Q97" s="1179"/>
      <c r="R97" s="1250"/>
      <c r="S97" s="1156" t="s">
        <v>4014</v>
      </c>
      <c r="T97" s="1157"/>
      <c r="U97" s="1220">
        <v>0.13</v>
      </c>
      <c r="V97" s="1182">
        <f t="shared" si="5"/>
        <v>2.6</v>
      </c>
      <c r="X97" s="1276" t="s">
        <v>3831</v>
      </c>
      <c r="Y97" s="1160"/>
      <c r="Z97" s="1161">
        <v>100</v>
      </c>
      <c r="AA97" s="1181">
        <v>3.34</v>
      </c>
    </row>
    <row r="98" ht="16" customHeight="1" spans="2:27">
      <c r="B98" s="1156" t="s">
        <v>4015</v>
      </c>
      <c r="C98" s="1157"/>
      <c r="D98" s="1220">
        <v>4.95</v>
      </c>
      <c r="E98" s="1182">
        <f t="shared" si="3"/>
        <v>99</v>
      </c>
      <c r="G98" s="1156" t="s">
        <v>4016</v>
      </c>
      <c r="H98" s="1157"/>
      <c r="I98" s="1157"/>
      <c r="J98" s="1220">
        <v>0.27</v>
      </c>
      <c r="K98" s="1182">
        <f t="shared" si="0"/>
        <v>5.4</v>
      </c>
      <c r="L98" s="1261"/>
      <c r="M98" s="1152" t="s">
        <v>1330</v>
      </c>
      <c r="N98" s="1153"/>
      <c r="O98" s="1153"/>
      <c r="P98" s="1153" t="s">
        <v>3755</v>
      </c>
      <c r="Q98" s="1266" t="s">
        <v>3942</v>
      </c>
      <c r="R98" s="1250"/>
      <c r="S98" s="1154" t="s">
        <v>4017</v>
      </c>
      <c r="T98" s="1155"/>
      <c r="U98" s="1161">
        <v>0.4</v>
      </c>
      <c r="V98" s="1181">
        <f t="shared" si="5"/>
        <v>8</v>
      </c>
      <c r="X98" s="1277" t="s">
        <v>3836</v>
      </c>
      <c r="Y98" s="1289"/>
      <c r="Z98" s="1220">
        <v>25</v>
      </c>
      <c r="AA98" s="1182">
        <v>0.85</v>
      </c>
    </row>
    <row r="99" ht="16" customHeight="1" spans="2:27">
      <c r="B99" s="1154" t="s">
        <v>4018</v>
      </c>
      <c r="C99" s="1155"/>
      <c r="D99" s="1161">
        <v>0.79</v>
      </c>
      <c r="E99" s="1181">
        <f t="shared" si="3"/>
        <v>15.8</v>
      </c>
      <c r="G99" s="1154" t="s">
        <v>4019</v>
      </c>
      <c r="H99" s="1155"/>
      <c r="I99" s="1155"/>
      <c r="J99" s="1161">
        <v>3.45</v>
      </c>
      <c r="K99" s="1181">
        <f t="shared" si="0"/>
        <v>69</v>
      </c>
      <c r="L99" s="1261"/>
      <c r="M99" s="1156" t="s">
        <v>4020</v>
      </c>
      <c r="N99" s="1157"/>
      <c r="O99" s="1157"/>
      <c r="P99" s="1220">
        <v>0.1</v>
      </c>
      <c r="Q99" s="1182">
        <f t="shared" ref="Q99:Q117" si="6">P99*20</f>
        <v>2</v>
      </c>
      <c r="R99" s="1267"/>
      <c r="S99" s="1253" t="s">
        <v>4021</v>
      </c>
      <c r="T99" s="1254"/>
      <c r="U99" s="1220">
        <v>0.17</v>
      </c>
      <c r="V99" s="1182">
        <f t="shared" si="5"/>
        <v>3.4</v>
      </c>
      <c r="X99" s="1278" t="s">
        <v>3836</v>
      </c>
      <c r="Y99" s="1290"/>
      <c r="Z99" s="1240">
        <v>100</v>
      </c>
      <c r="AA99" s="1194">
        <v>3.3</v>
      </c>
    </row>
    <row r="100" ht="16" customHeight="1" spans="2:22">
      <c r="B100" s="1156" t="s">
        <v>4022</v>
      </c>
      <c r="C100" s="1157"/>
      <c r="D100" s="1220">
        <v>1.95</v>
      </c>
      <c r="E100" s="1182">
        <f t="shared" si="3"/>
        <v>39</v>
      </c>
      <c r="G100" s="1253" t="s">
        <v>4023</v>
      </c>
      <c r="H100" s="1254"/>
      <c r="I100" s="1254"/>
      <c r="J100" s="1262" t="s">
        <v>4024</v>
      </c>
      <c r="K100" s="1182" t="s">
        <v>4025</v>
      </c>
      <c r="L100" s="1261"/>
      <c r="M100" s="1154" t="s">
        <v>4026</v>
      </c>
      <c r="N100" s="1155"/>
      <c r="O100" s="1155"/>
      <c r="P100" s="1161">
        <v>0.9</v>
      </c>
      <c r="Q100" s="1181">
        <f t="shared" si="6"/>
        <v>18</v>
      </c>
      <c r="R100" s="1250"/>
      <c r="S100" s="1154" t="s">
        <v>4027</v>
      </c>
      <c r="T100" s="1155"/>
      <c r="U100" s="1161">
        <v>0.5</v>
      </c>
      <c r="V100" s="1181">
        <f t="shared" si="5"/>
        <v>10</v>
      </c>
    </row>
    <row r="101" ht="16" customHeight="1" spans="2:27">
      <c r="B101" s="1248" t="s">
        <v>4028</v>
      </c>
      <c r="C101" s="1249"/>
      <c r="D101" s="1161">
        <v>3.65</v>
      </c>
      <c r="E101" s="1181">
        <f t="shared" si="3"/>
        <v>73</v>
      </c>
      <c r="G101" s="1154" t="s">
        <v>4029</v>
      </c>
      <c r="H101" s="1155"/>
      <c r="I101" s="1155"/>
      <c r="J101" s="1161">
        <v>28.5</v>
      </c>
      <c r="K101" s="1181">
        <f t="shared" si="0"/>
        <v>570</v>
      </c>
      <c r="L101" s="1261"/>
      <c r="M101" s="1156" t="s">
        <v>4030</v>
      </c>
      <c r="N101" s="1157"/>
      <c r="O101" s="1157"/>
      <c r="P101" s="1220">
        <v>0.25</v>
      </c>
      <c r="Q101" s="1182">
        <f t="shared" si="6"/>
        <v>5</v>
      </c>
      <c r="R101" s="1250"/>
      <c r="S101" s="1156" t="s">
        <v>4031</v>
      </c>
      <c r="T101" s="1157"/>
      <c r="U101" s="1220">
        <v>0.12</v>
      </c>
      <c r="V101" s="1182">
        <f t="shared" si="5"/>
        <v>2.4</v>
      </c>
      <c r="X101" s="1150" t="s">
        <v>3844</v>
      </c>
      <c r="Y101" s="1151"/>
      <c r="Z101" s="1151"/>
      <c r="AA101" s="1179"/>
    </row>
    <row r="102" ht="16" customHeight="1" spans="2:27">
      <c r="B102" s="1156" t="s">
        <v>4032</v>
      </c>
      <c r="C102" s="1157"/>
      <c r="D102" s="1220">
        <v>0.98</v>
      </c>
      <c r="E102" s="1182">
        <f t="shared" si="3"/>
        <v>19.6</v>
      </c>
      <c r="G102" s="1156" t="s">
        <v>4033</v>
      </c>
      <c r="H102" s="1157"/>
      <c r="I102" s="1157"/>
      <c r="J102" s="1220">
        <v>3.25</v>
      </c>
      <c r="K102" s="1182">
        <f t="shared" si="0"/>
        <v>65</v>
      </c>
      <c r="L102" s="1261"/>
      <c r="M102" s="1154" t="s">
        <v>4034</v>
      </c>
      <c r="N102" s="1155"/>
      <c r="O102" s="1155"/>
      <c r="P102" s="1161">
        <v>0.25</v>
      </c>
      <c r="Q102" s="1181">
        <f t="shared" si="6"/>
        <v>5</v>
      </c>
      <c r="R102" s="1261"/>
      <c r="S102" s="1154" t="s">
        <v>4035</v>
      </c>
      <c r="T102" s="1155"/>
      <c r="U102" s="1161">
        <v>0.07</v>
      </c>
      <c r="V102" s="1181">
        <f t="shared" si="5"/>
        <v>1.4</v>
      </c>
      <c r="X102" s="1152" t="s">
        <v>1330</v>
      </c>
      <c r="Y102" s="1153"/>
      <c r="Z102" s="1153" t="s">
        <v>3755</v>
      </c>
      <c r="AA102" s="1266" t="s">
        <v>3942</v>
      </c>
    </row>
    <row r="103" ht="16" customHeight="1" spans="2:27">
      <c r="B103" s="1154" t="s">
        <v>4036</v>
      </c>
      <c r="C103" s="1155"/>
      <c r="D103" s="1161">
        <v>16.95</v>
      </c>
      <c r="E103" s="1181">
        <f t="shared" ref="E103:E108" si="7">D103*20</f>
        <v>339</v>
      </c>
      <c r="G103" s="1154" t="s">
        <v>4037</v>
      </c>
      <c r="H103" s="1155"/>
      <c r="I103" s="1155"/>
      <c r="J103" s="1161">
        <v>2.85</v>
      </c>
      <c r="K103" s="1181">
        <f t="shared" si="0"/>
        <v>57</v>
      </c>
      <c r="L103" s="1261"/>
      <c r="M103" s="1156" t="s">
        <v>4038</v>
      </c>
      <c r="N103" s="1157"/>
      <c r="O103" s="1157"/>
      <c r="P103" s="1220">
        <v>10.45</v>
      </c>
      <c r="Q103" s="1182">
        <f t="shared" si="6"/>
        <v>209</v>
      </c>
      <c r="R103" s="1265"/>
      <c r="S103" s="1156" t="s">
        <v>4039</v>
      </c>
      <c r="T103" s="1157"/>
      <c r="U103" s="1220">
        <v>0.1</v>
      </c>
      <c r="V103" s="1182">
        <f t="shared" si="5"/>
        <v>2</v>
      </c>
      <c r="X103" s="1279" t="s">
        <v>4040</v>
      </c>
      <c r="Y103" s="1291"/>
      <c r="Z103" s="1220">
        <v>9.2</v>
      </c>
      <c r="AA103" s="1182">
        <f>Z103*20</f>
        <v>184</v>
      </c>
    </row>
    <row r="104" ht="16" customHeight="1" spans="2:27">
      <c r="B104" s="1156" t="s">
        <v>4041</v>
      </c>
      <c r="C104" s="1157"/>
      <c r="D104" s="1220">
        <v>0.96</v>
      </c>
      <c r="E104" s="1182">
        <f t="shared" si="7"/>
        <v>19.2</v>
      </c>
      <c r="G104" s="1253" t="s">
        <v>4042</v>
      </c>
      <c r="H104" s="1254"/>
      <c r="I104" s="1254"/>
      <c r="J104" s="1220">
        <v>9.35</v>
      </c>
      <c r="K104" s="1182">
        <f t="shared" si="0"/>
        <v>187</v>
      </c>
      <c r="L104" s="1261"/>
      <c r="M104" s="1154" t="s">
        <v>4043</v>
      </c>
      <c r="N104" s="1155"/>
      <c r="O104" s="1155"/>
      <c r="P104" s="1161">
        <v>3.59</v>
      </c>
      <c r="Q104" s="1181">
        <f t="shared" si="6"/>
        <v>71.8</v>
      </c>
      <c r="R104" s="1250"/>
      <c r="S104" s="1154" t="s">
        <v>4044</v>
      </c>
      <c r="T104" s="1155"/>
      <c r="U104" s="1161">
        <v>0.15</v>
      </c>
      <c r="V104" s="1181">
        <f t="shared" si="5"/>
        <v>3</v>
      </c>
      <c r="X104" s="1280" t="s">
        <v>4045</v>
      </c>
      <c r="Y104" s="1292"/>
      <c r="Z104" s="1161">
        <v>21.35</v>
      </c>
      <c r="AA104" s="1181">
        <f>Z104*20</f>
        <v>427</v>
      </c>
    </row>
    <row r="105" ht="16" customHeight="1" spans="2:27">
      <c r="B105" s="1154" t="s">
        <v>3824</v>
      </c>
      <c r="C105" s="1155"/>
      <c r="D105" s="1161">
        <v>0.5</v>
      </c>
      <c r="E105" s="1181">
        <f t="shared" si="7"/>
        <v>10</v>
      </c>
      <c r="G105" s="1154" t="s">
        <v>4046</v>
      </c>
      <c r="H105" s="1155"/>
      <c r="I105" s="1155"/>
      <c r="J105" s="1161">
        <v>0.27</v>
      </c>
      <c r="K105" s="1181">
        <f t="shared" si="0"/>
        <v>5.4</v>
      </c>
      <c r="L105" s="1261"/>
      <c r="M105" s="1156" t="s">
        <v>4047</v>
      </c>
      <c r="N105" s="1157"/>
      <c r="O105" s="1157"/>
      <c r="P105" s="1220">
        <v>1.39</v>
      </c>
      <c r="Q105" s="1182">
        <f t="shared" si="6"/>
        <v>27.8</v>
      </c>
      <c r="R105" s="1268"/>
      <c r="S105" s="1156" t="s">
        <v>4048</v>
      </c>
      <c r="T105" s="1157"/>
      <c r="U105" s="1220">
        <v>0.1</v>
      </c>
      <c r="V105" s="1182">
        <f t="shared" si="5"/>
        <v>2</v>
      </c>
      <c r="X105" s="1281" t="s">
        <v>4049</v>
      </c>
      <c r="Y105" s="1293"/>
      <c r="Z105" s="1216">
        <v>1.9</v>
      </c>
      <c r="AA105" s="1185">
        <f>Z105*20</f>
        <v>38</v>
      </c>
    </row>
    <row r="106" ht="16" customHeight="1" spans="2:22">
      <c r="B106" s="1156" t="s">
        <v>4050</v>
      </c>
      <c r="C106" s="1157"/>
      <c r="D106" s="1220">
        <v>0.55</v>
      </c>
      <c r="E106" s="1182">
        <f t="shared" si="7"/>
        <v>11</v>
      </c>
      <c r="G106" s="1156" t="s">
        <v>4051</v>
      </c>
      <c r="H106" s="1157"/>
      <c r="I106" s="1157"/>
      <c r="J106" s="1220">
        <v>1.7</v>
      </c>
      <c r="K106" s="1182">
        <f t="shared" si="0"/>
        <v>34</v>
      </c>
      <c r="L106" s="1261"/>
      <c r="M106" s="1154" t="s">
        <v>4052</v>
      </c>
      <c r="N106" s="1155"/>
      <c r="O106" s="1155"/>
      <c r="P106" s="1161">
        <v>12.5</v>
      </c>
      <c r="Q106" s="1181">
        <f t="shared" si="6"/>
        <v>250</v>
      </c>
      <c r="R106" s="1250"/>
      <c r="S106" s="1154" t="s">
        <v>4053</v>
      </c>
      <c r="T106" s="1155"/>
      <c r="U106" s="1161">
        <v>0.1</v>
      </c>
      <c r="V106" s="1181">
        <f t="shared" si="5"/>
        <v>2</v>
      </c>
    </row>
    <row r="107" ht="16" customHeight="1" spans="2:27">
      <c r="B107" s="1154" t="s">
        <v>4054</v>
      </c>
      <c r="C107" s="1155"/>
      <c r="D107" s="1161">
        <v>0.39</v>
      </c>
      <c r="E107" s="1181">
        <f t="shared" si="7"/>
        <v>7.8</v>
      </c>
      <c r="G107" s="1154" t="s">
        <v>4055</v>
      </c>
      <c r="H107" s="1155"/>
      <c r="I107" s="1155"/>
      <c r="J107" s="1161">
        <v>3.45</v>
      </c>
      <c r="K107" s="1181">
        <f t="shared" si="0"/>
        <v>69</v>
      </c>
      <c r="L107" s="1261"/>
      <c r="M107" s="1156" t="s">
        <v>4056</v>
      </c>
      <c r="N107" s="1157"/>
      <c r="O107" s="1157"/>
      <c r="P107" s="1220">
        <v>1.39</v>
      </c>
      <c r="Q107" s="1182">
        <f t="shared" si="6"/>
        <v>27.8</v>
      </c>
      <c r="R107" s="1250"/>
      <c r="S107" s="1156" t="s">
        <v>4057</v>
      </c>
      <c r="T107" s="1157"/>
      <c r="U107" s="1220">
        <v>0.13</v>
      </c>
      <c r="V107" s="1182">
        <f t="shared" si="5"/>
        <v>2.6</v>
      </c>
      <c r="X107" s="1150" t="s">
        <v>4058</v>
      </c>
      <c r="Y107" s="1151"/>
      <c r="Z107" s="1151"/>
      <c r="AA107" s="1179"/>
    </row>
    <row r="108" ht="16" customHeight="1" spans="2:27">
      <c r="B108" s="1156" t="s">
        <v>4059</v>
      </c>
      <c r="C108" s="1157"/>
      <c r="D108" s="1220">
        <v>1.48</v>
      </c>
      <c r="E108" s="1182">
        <f t="shared" si="7"/>
        <v>29.6</v>
      </c>
      <c r="G108" s="1156" t="s">
        <v>4060</v>
      </c>
      <c r="H108" s="1157"/>
      <c r="I108" s="1157"/>
      <c r="J108" s="1220">
        <v>0.62</v>
      </c>
      <c r="K108" s="1182">
        <f t="shared" si="0"/>
        <v>12.4</v>
      </c>
      <c r="L108" s="1261"/>
      <c r="M108" s="1154" t="s">
        <v>4061</v>
      </c>
      <c r="N108" s="1155"/>
      <c r="O108" s="1155"/>
      <c r="P108" s="1161">
        <v>0.69</v>
      </c>
      <c r="Q108" s="1181">
        <f t="shared" si="6"/>
        <v>13.8</v>
      </c>
      <c r="R108" s="1250"/>
      <c r="S108" s="1154" t="s">
        <v>4062</v>
      </c>
      <c r="T108" s="1155"/>
      <c r="U108" s="1161">
        <v>0.1</v>
      </c>
      <c r="V108" s="1181">
        <f t="shared" si="5"/>
        <v>2</v>
      </c>
      <c r="X108" s="1152" t="s">
        <v>1330</v>
      </c>
      <c r="Y108" s="1153"/>
      <c r="Z108" s="1153" t="s">
        <v>3755</v>
      </c>
      <c r="AA108" s="1266" t="s">
        <v>3942</v>
      </c>
    </row>
    <row r="109" ht="16" customHeight="1" spans="2:27">
      <c r="B109" s="1154" t="s">
        <v>4063</v>
      </c>
      <c r="C109" s="1155"/>
      <c r="D109" s="1161">
        <v>0.4</v>
      </c>
      <c r="E109" s="1181">
        <f t="shared" ref="E109:E114" si="8">D109*20</f>
        <v>8</v>
      </c>
      <c r="G109" s="1154" t="s">
        <v>4064</v>
      </c>
      <c r="H109" s="1155"/>
      <c r="I109" s="1155"/>
      <c r="J109" s="1161">
        <v>0.48</v>
      </c>
      <c r="K109" s="1181">
        <f t="shared" si="0"/>
        <v>9.6</v>
      </c>
      <c r="L109" s="1261"/>
      <c r="M109" s="1156" t="s">
        <v>4065</v>
      </c>
      <c r="N109" s="1157"/>
      <c r="O109" s="1157"/>
      <c r="P109" s="1220">
        <v>0.69</v>
      </c>
      <c r="Q109" s="1182">
        <f t="shared" si="6"/>
        <v>13.8</v>
      </c>
      <c r="R109" s="1250"/>
      <c r="S109" s="1253" t="s">
        <v>4066</v>
      </c>
      <c r="T109" s="1254"/>
      <c r="U109" s="1220">
        <v>2.25</v>
      </c>
      <c r="V109" s="1182">
        <f t="shared" si="5"/>
        <v>45</v>
      </c>
      <c r="X109" s="1276" t="s">
        <v>4067</v>
      </c>
      <c r="Y109" s="1160"/>
      <c r="Z109" s="1161">
        <v>12.5</v>
      </c>
      <c r="AA109" s="1181">
        <f t="shared" ref="AA109:AA117" si="9">Z109*20</f>
        <v>250</v>
      </c>
    </row>
    <row r="110" ht="16" customHeight="1" spans="2:27">
      <c r="B110" s="1156" t="s">
        <v>4068</v>
      </c>
      <c r="C110" s="1157"/>
      <c r="D110" s="1220">
        <v>1.35</v>
      </c>
      <c r="E110" s="1182">
        <f t="shared" si="8"/>
        <v>27</v>
      </c>
      <c r="G110" s="1255" t="s">
        <v>4069</v>
      </c>
      <c r="H110" s="1256"/>
      <c r="I110" s="1256"/>
      <c r="J110" s="1256"/>
      <c r="K110" s="1263"/>
      <c r="L110" s="1261"/>
      <c r="M110" s="1154" t="s">
        <v>4070</v>
      </c>
      <c r="N110" s="1155"/>
      <c r="O110" s="1155"/>
      <c r="P110" s="1161">
        <v>0.2</v>
      </c>
      <c r="Q110" s="1181">
        <f t="shared" si="6"/>
        <v>4</v>
      </c>
      <c r="R110" s="1250"/>
      <c r="S110" s="1154" t="s">
        <v>4071</v>
      </c>
      <c r="T110" s="1155"/>
      <c r="U110" s="1161">
        <v>0.25</v>
      </c>
      <c r="V110" s="1181">
        <f t="shared" si="5"/>
        <v>5</v>
      </c>
      <c r="X110" s="1277" t="s">
        <v>4072</v>
      </c>
      <c r="Y110" s="1289"/>
      <c r="Z110" s="1220">
        <v>3.75</v>
      </c>
      <c r="AA110" s="1182">
        <f t="shared" si="9"/>
        <v>75</v>
      </c>
    </row>
    <row r="111" ht="16" customHeight="1" spans="2:27">
      <c r="B111" s="1154" t="s">
        <v>4073</v>
      </c>
      <c r="C111" s="1155"/>
      <c r="D111" s="1161">
        <v>0.79</v>
      </c>
      <c r="E111" s="1181">
        <f t="shared" si="8"/>
        <v>15.8</v>
      </c>
      <c r="G111" s="1156" t="s">
        <v>4074</v>
      </c>
      <c r="H111" s="1157"/>
      <c r="I111" s="1157"/>
      <c r="J111" s="1220">
        <v>2.35</v>
      </c>
      <c r="K111" s="1182">
        <f>J111*20</f>
        <v>47</v>
      </c>
      <c r="L111" s="1261"/>
      <c r="M111" s="1156" t="s">
        <v>4075</v>
      </c>
      <c r="N111" s="1157"/>
      <c r="O111" s="1157"/>
      <c r="P111" s="1220">
        <v>0.69</v>
      </c>
      <c r="Q111" s="1182">
        <f t="shared" si="6"/>
        <v>13.8</v>
      </c>
      <c r="R111" s="1250"/>
      <c r="S111" s="1158" t="s">
        <v>4076</v>
      </c>
      <c r="T111" s="1159"/>
      <c r="U111" s="1216">
        <v>0.45</v>
      </c>
      <c r="V111" s="1185">
        <f t="shared" si="5"/>
        <v>9</v>
      </c>
      <c r="X111" s="1276" t="s">
        <v>4077</v>
      </c>
      <c r="Y111" s="1160"/>
      <c r="Z111" s="1161">
        <v>2.5</v>
      </c>
      <c r="AA111" s="1181">
        <f t="shared" si="9"/>
        <v>50</v>
      </c>
    </row>
    <row r="112" ht="16" customHeight="1" spans="2:27">
      <c r="B112" s="1156" t="s">
        <v>4078</v>
      </c>
      <c r="C112" s="1157"/>
      <c r="D112" s="1220">
        <v>7.25</v>
      </c>
      <c r="E112" s="1182">
        <f t="shared" si="8"/>
        <v>145</v>
      </c>
      <c r="G112" s="1154" t="s">
        <v>4079</v>
      </c>
      <c r="H112" s="1155"/>
      <c r="I112" s="1155"/>
      <c r="J112" s="1161">
        <v>1.2</v>
      </c>
      <c r="K112" s="1181">
        <f>J112*20</f>
        <v>24</v>
      </c>
      <c r="L112" s="1261"/>
      <c r="M112" s="1154" t="s">
        <v>4080</v>
      </c>
      <c r="N112" s="1155"/>
      <c r="O112" s="1155"/>
      <c r="P112" s="1161">
        <v>1.79</v>
      </c>
      <c r="Q112" s="1181">
        <f t="shared" si="6"/>
        <v>35.8</v>
      </c>
      <c r="R112" s="1250"/>
      <c r="X112" s="1277" t="s">
        <v>4081</v>
      </c>
      <c r="Y112" s="1289"/>
      <c r="Z112" s="1214" t="s">
        <v>4082</v>
      </c>
      <c r="AA112" s="1294" t="s">
        <v>4083</v>
      </c>
    </row>
    <row r="113" ht="16" customHeight="1" spans="2:27">
      <c r="B113" s="1154" t="s">
        <v>4084</v>
      </c>
      <c r="C113" s="1155"/>
      <c r="D113" s="1161">
        <v>5.25</v>
      </c>
      <c r="E113" s="1181">
        <f t="shared" si="8"/>
        <v>105</v>
      </c>
      <c r="G113" s="1156" t="s">
        <v>4085</v>
      </c>
      <c r="H113" s="1157"/>
      <c r="I113" s="1157"/>
      <c r="J113" s="1220">
        <v>0.98</v>
      </c>
      <c r="K113" s="1182">
        <f>J113*20</f>
        <v>19.6</v>
      </c>
      <c r="L113" s="1261"/>
      <c r="M113" s="1156" t="s">
        <v>4086</v>
      </c>
      <c r="N113" s="1157"/>
      <c r="O113" s="1157"/>
      <c r="P113" s="1220">
        <v>39.95</v>
      </c>
      <c r="Q113" s="1182">
        <f t="shared" si="6"/>
        <v>799</v>
      </c>
      <c r="R113" s="1250"/>
      <c r="S113" s="1150" t="s">
        <v>4087</v>
      </c>
      <c r="T113" s="1151"/>
      <c r="U113" s="1151"/>
      <c r="V113" s="1179"/>
      <c r="W113" s="1271"/>
      <c r="X113" s="1276" t="s">
        <v>4088</v>
      </c>
      <c r="Y113" s="1160"/>
      <c r="Z113" s="1161">
        <v>1</v>
      </c>
      <c r="AA113" s="1181">
        <f t="shared" si="9"/>
        <v>20</v>
      </c>
    </row>
    <row r="114" ht="16" customHeight="1" spans="2:27">
      <c r="B114" s="1156" t="s">
        <v>4089</v>
      </c>
      <c r="C114" s="1157"/>
      <c r="D114" s="1220">
        <v>3.45</v>
      </c>
      <c r="E114" s="1182">
        <f t="shared" si="8"/>
        <v>69</v>
      </c>
      <c r="G114" s="1255" t="s">
        <v>4090</v>
      </c>
      <c r="H114" s="1256"/>
      <c r="I114" s="1256"/>
      <c r="J114" s="1256"/>
      <c r="K114" s="1263"/>
      <c r="L114" s="1261"/>
      <c r="M114" s="1154" t="s">
        <v>4091</v>
      </c>
      <c r="N114" s="1155"/>
      <c r="O114" s="1155"/>
      <c r="P114" s="1161">
        <v>1.59</v>
      </c>
      <c r="Q114" s="1181">
        <f t="shared" si="6"/>
        <v>31.8</v>
      </c>
      <c r="R114" s="1250"/>
      <c r="S114" s="1152" t="s">
        <v>1330</v>
      </c>
      <c r="T114" s="1153"/>
      <c r="U114" s="1153" t="s">
        <v>3755</v>
      </c>
      <c r="V114" s="1266" t="s">
        <v>3942</v>
      </c>
      <c r="X114" s="1277" t="s">
        <v>4092</v>
      </c>
      <c r="Y114" s="1289"/>
      <c r="Z114" s="1220">
        <v>1.98</v>
      </c>
      <c r="AA114" s="1182">
        <f t="shared" si="9"/>
        <v>39.6</v>
      </c>
    </row>
    <row r="115" ht="16" customHeight="1" spans="2:27">
      <c r="B115" s="1183" t="s">
        <v>4093</v>
      </c>
      <c r="C115" s="1184"/>
      <c r="D115" s="1240">
        <v>0.75</v>
      </c>
      <c r="E115" s="1194">
        <f t="shared" ref="E115:E126" si="10">D115*20</f>
        <v>15</v>
      </c>
      <c r="G115" s="1257" t="s">
        <v>4094</v>
      </c>
      <c r="H115" s="1258"/>
      <c r="I115" s="1258"/>
      <c r="J115" s="1161">
        <v>2.48</v>
      </c>
      <c r="K115" s="1181">
        <f>J115*20</f>
        <v>49.6</v>
      </c>
      <c r="L115" s="1261"/>
      <c r="M115" s="1156" t="s">
        <v>4095</v>
      </c>
      <c r="N115" s="1157"/>
      <c r="O115" s="1157"/>
      <c r="P115" s="1220">
        <v>0.29</v>
      </c>
      <c r="Q115" s="1182">
        <f t="shared" si="6"/>
        <v>5.8</v>
      </c>
      <c r="R115" s="1250"/>
      <c r="S115" s="1154" t="s">
        <v>4096</v>
      </c>
      <c r="T115" s="1155"/>
      <c r="U115" s="1161">
        <v>2.5</v>
      </c>
      <c r="V115" s="1181">
        <f t="shared" ref="V115:V118" si="11">U115*20</f>
        <v>50</v>
      </c>
      <c r="X115" s="1276" t="s">
        <v>4097</v>
      </c>
      <c r="Y115" s="1160"/>
      <c r="Z115" s="1161">
        <v>0.6</v>
      </c>
      <c r="AA115" s="1181">
        <f t="shared" si="9"/>
        <v>12</v>
      </c>
    </row>
    <row r="116" ht="16" customHeight="1" spans="2:27">
      <c r="B116" s="1250"/>
      <c r="C116" s="1250"/>
      <c r="D116" s="1250"/>
      <c r="E116" s="1250"/>
      <c r="G116" s="1259" t="s">
        <v>4098</v>
      </c>
      <c r="H116" s="1260"/>
      <c r="I116" s="1260"/>
      <c r="J116" s="1220">
        <v>5.98</v>
      </c>
      <c r="K116" s="1182">
        <f>J116*20</f>
        <v>119.6</v>
      </c>
      <c r="L116" s="1261"/>
      <c r="M116" s="1154" t="s">
        <v>4099</v>
      </c>
      <c r="N116" s="1155"/>
      <c r="O116" s="1155"/>
      <c r="P116" s="1161">
        <v>1.98</v>
      </c>
      <c r="Q116" s="1181">
        <f t="shared" si="6"/>
        <v>39.6</v>
      </c>
      <c r="R116" s="1250"/>
      <c r="S116" s="1156" t="s">
        <v>4100</v>
      </c>
      <c r="T116" s="1157"/>
      <c r="U116" s="1220">
        <v>0.45</v>
      </c>
      <c r="V116" s="1182">
        <f t="shared" si="11"/>
        <v>9</v>
      </c>
      <c r="X116" s="1277" t="s">
        <v>4101</v>
      </c>
      <c r="Y116" s="1289"/>
      <c r="Z116" s="1220">
        <v>1.95</v>
      </c>
      <c r="AA116" s="1182">
        <f t="shared" si="9"/>
        <v>39</v>
      </c>
    </row>
    <row r="117" ht="16" customHeight="1" spans="2:27">
      <c r="B117" s="1150" t="s">
        <v>3852</v>
      </c>
      <c r="C117" s="1151"/>
      <c r="D117" s="1151"/>
      <c r="E117" s="1179"/>
      <c r="G117" s="1154" t="s">
        <v>4102</v>
      </c>
      <c r="H117" s="1155"/>
      <c r="I117" s="1155"/>
      <c r="J117" s="1161">
        <v>11.43</v>
      </c>
      <c r="K117" s="1181">
        <f>J117*20</f>
        <v>228.6</v>
      </c>
      <c r="L117" s="1261"/>
      <c r="M117" s="1158" t="s">
        <v>4103</v>
      </c>
      <c r="N117" s="1159"/>
      <c r="O117" s="1159"/>
      <c r="P117" s="1216">
        <v>0.98</v>
      </c>
      <c r="Q117" s="1185">
        <f t="shared" si="6"/>
        <v>19.6</v>
      </c>
      <c r="R117" s="1250"/>
      <c r="S117" s="1154" t="s">
        <v>4104</v>
      </c>
      <c r="T117" s="1155"/>
      <c r="U117" s="1161">
        <v>0.65</v>
      </c>
      <c r="V117" s="1181">
        <f t="shared" si="11"/>
        <v>13</v>
      </c>
      <c r="X117" s="1282" t="s">
        <v>4105</v>
      </c>
      <c r="Y117" s="1295"/>
      <c r="Z117" s="1240">
        <v>1.75</v>
      </c>
      <c r="AA117" s="1194">
        <f t="shared" si="9"/>
        <v>35</v>
      </c>
    </row>
    <row r="118" ht="16" customHeight="1" spans="2:22">
      <c r="B118" s="1152" t="s">
        <v>1330</v>
      </c>
      <c r="C118" s="1153"/>
      <c r="D118" s="1153" t="s">
        <v>3755</v>
      </c>
      <c r="E118" s="1180" t="s">
        <v>3942</v>
      </c>
      <c r="G118" s="1255" t="s">
        <v>4106</v>
      </c>
      <c r="H118" s="1256"/>
      <c r="I118" s="1256"/>
      <c r="J118" s="1256"/>
      <c r="K118" s="1263"/>
      <c r="L118" s="1261"/>
      <c r="R118" s="1250"/>
      <c r="S118" s="1158" t="s">
        <v>4107</v>
      </c>
      <c r="T118" s="1159"/>
      <c r="U118" s="1216">
        <v>1.25</v>
      </c>
      <c r="V118" s="1185">
        <f t="shared" si="11"/>
        <v>25</v>
      </c>
    </row>
    <row r="119" ht="16" customHeight="1" spans="2:27">
      <c r="B119" s="1154" t="s">
        <v>4108</v>
      </c>
      <c r="C119" s="1155"/>
      <c r="D119" s="1161" t="s">
        <v>3886</v>
      </c>
      <c r="E119" s="1181" t="s">
        <v>4109</v>
      </c>
      <c r="G119" s="1156" t="s">
        <v>4110</v>
      </c>
      <c r="H119" s="1157"/>
      <c r="I119" s="1157"/>
      <c r="J119" s="1220">
        <v>35.2</v>
      </c>
      <c r="K119" s="1182">
        <f>J119*20</f>
        <v>704</v>
      </c>
      <c r="L119" s="1250"/>
      <c r="M119" s="1150" t="s">
        <v>4111</v>
      </c>
      <c r="N119" s="1151"/>
      <c r="O119" s="1151"/>
      <c r="P119" s="1151"/>
      <c r="Q119" s="1179"/>
      <c r="R119" s="1250"/>
      <c r="X119" s="1150" t="s">
        <v>4112</v>
      </c>
      <c r="Y119" s="1151"/>
      <c r="Z119" s="1151"/>
      <c r="AA119" s="1179"/>
    </row>
    <row r="120" ht="16" customHeight="1" spans="2:27">
      <c r="B120" s="1156" t="s">
        <v>4113</v>
      </c>
      <c r="C120" s="1157"/>
      <c r="D120" s="1220">
        <v>13.95</v>
      </c>
      <c r="E120" s="1182">
        <f t="shared" si="10"/>
        <v>279</v>
      </c>
      <c r="G120" s="1154" t="s">
        <v>4114</v>
      </c>
      <c r="H120" s="1155"/>
      <c r="I120" s="1155"/>
      <c r="J120" s="1161">
        <v>79.95</v>
      </c>
      <c r="K120" s="1181">
        <f>J120*20</f>
        <v>1599</v>
      </c>
      <c r="L120" s="1261"/>
      <c r="M120" s="1152" t="s">
        <v>1330</v>
      </c>
      <c r="N120" s="1153"/>
      <c r="O120" s="1153"/>
      <c r="P120" s="1153" t="s">
        <v>3755</v>
      </c>
      <c r="Q120" s="1269" t="s">
        <v>3942</v>
      </c>
      <c r="R120" s="1250"/>
      <c r="S120" s="1150" t="s">
        <v>3830</v>
      </c>
      <c r="T120" s="1151"/>
      <c r="U120" s="1151"/>
      <c r="V120" s="1179"/>
      <c r="X120" s="1152" t="s">
        <v>1330</v>
      </c>
      <c r="Y120" s="1153"/>
      <c r="Z120" s="1153"/>
      <c r="AA120" s="1180" t="s">
        <v>3755</v>
      </c>
    </row>
    <row r="121" ht="16" customHeight="1" spans="2:27">
      <c r="B121" s="1154" t="s">
        <v>4115</v>
      </c>
      <c r="C121" s="1155"/>
      <c r="D121" s="1161">
        <v>10.95</v>
      </c>
      <c r="E121" s="1181">
        <f t="shared" si="10"/>
        <v>219</v>
      </c>
      <c r="G121" s="1158" t="s">
        <v>4116</v>
      </c>
      <c r="H121" s="1159"/>
      <c r="I121" s="1159"/>
      <c r="J121" s="1216">
        <v>75</v>
      </c>
      <c r="K121" s="1185">
        <f>J121*20</f>
        <v>1500</v>
      </c>
      <c r="L121" s="1261"/>
      <c r="M121" s="1154" t="s">
        <v>4117</v>
      </c>
      <c r="N121" s="1155"/>
      <c r="O121" s="1155"/>
      <c r="P121" s="1161">
        <v>4.98</v>
      </c>
      <c r="Q121" s="1181">
        <f>P121*20</f>
        <v>99.6</v>
      </c>
      <c r="R121" s="1250"/>
      <c r="S121" s="1152" t="s">
        <v>1330</v>
      </c>
      <c r="T121" s="1153"/>
      <c r="U121" s="1153" t="s">
        <v>3755</v>
      </c>
      <c r="V121" s="1266" t="s">
        <v>3942</v>
      </c>
      <c r="X121" s="1276" t="s">
        <v>4118</v>
      </c>
      <c r="Y121" s="1160"/>
      <c r="Z121" s="1160"/>
      <c r="AA121" s="1181" t="s">
        <v>4119</v>
      </c>
    </row>
    <row r="122" ht="16" customHeight="1" spans="2:27">
      <c r="B122" s="1156" t="s">
        <v>4120</v>
      </c>
      <c r="C122" s="1157"/>
      <c r="D122" s="1220">
        <v>10.95</v>
      </c>
      <c r="E122" s="1182">
        <f t="shared" si="10"/>
        <v>219</v>
      </c>
      <c r="M122" s="1253" t="s">
        <v>4121</v>
      </c>
      <c r="N122" s="1254"/>
      <c r="O122" s="1254"/>
      <c r="P122" s="1220">
        <v>9.98</v>
      </c>
      <c r="Q122" s="1182">
        <f>P122*20</f>
        <v>199.6</v>
      </c>
      <c r="S122" s="1257" t="s">
        <v>4122</v>
      </c>
      <c r="T122" s="1258"/>
      <c r="U122" s="1161">
        <v>14.9</v>
      </c>
      <c r="V122" s="1181">
        <f t="shared" ref="V122:V138" si="12">U122*20</f>
        <v>298</v>
      </c>
      <c r="X122" s="1277" t="s">
        <v>4123</v>
      </c>
      <c r="Y122" s="1289"/>
      <c r="Z122" s="1289"/>
      <c r="AA122" s="1182" t="s">
        <v>4124</v>
      </c>
    </row>
    <row r="123" ht="16" customHeight="1" spans="2:27">
      <c r="B123" s="1154" t="s">
        <v>4125</v>
      </c>
      <c r="C123" s="1155"/>
      <c r="D123" s="1161">
        <v>2.59</v>
      </c>
      <c r="E123" s="1181">
        <f t="shared" si="10"/>
        <v>51.8</v>
      </c>
      <c r="G123" s="1150" t="s">
        <v>4126</v>
      </c>
      <c r="H123" s="1151"/>
      <c r="I123" s="1151"/>
      <c r="J123" s="1151"/>
      <c r="K123" s="1179"/>
      <c r="M123" s="1257" t="s">
        <v>4127</v>
      </c>
      <c r="N123" s="1258"/>
      <c r="O123" s="1258"/>
      <c r="P123" s="1161">
        <v>22.95</v>
      </c>
      <c r="Q123" s="1181">
        <f>P123*20</f>
        <v>459</v>
      </c>
      <c r="S123" s="1259" t="s">
        <v>4128</v>
      </c>
      <c r="T123" s="1260"/>
      <c r="U123" s="1220">
        <v>6.15</v>
      </c>
      <c r="V123" s="1182">
        <f t="shared" si="12"/>
        <v>123</v>
      </c>
      <c r="X123" s="1276" t="s">
        <v>4129</v>
      </c>
      <c r="Y123" s="1160"/>
      <c r="Z123" s="1160"/>
      <c r="AA123" s="1181">
        <v>25</v>
      </c>
    </row>
    <row r="124" ht="16" customHeight="1" spans="2:27">
      <c r="B124" s="1156" t="s">
        <v>4130</v>
      </c>
      <c r="C124" s="1157"/>
      <c r="D124" s="1220">
        <v>10.95</v>
      </c>
      <c r="E124" s="1182">
        <f t="shared" si="10"/>
        <v>219</v>
      </c>
      <c r="G124" s="1152" t="s">
        <v>4131</v>
      </c>
      <c r="H124" s="1153"/>
      <c r="I124" s="1153"/>
      <c r="J124" s="1153"/>
      <c r="K124" s="1180" t="s">
        <v>3755</v>
      </c>
      <c r="M124" s="1156" t="s">
        <v>4132</v>
      </c>
      <c r="N124" s="1157"/>
      <c r="O124" s="1157"/>
      <c r="P124" s="1220">
        <v>0.79</v>
      </c>
      <c r="Q124" s="1182">
        <f>P124*20</f>
        <v>15.8</v>
      </c>
      <c r="S124" s="1154" t="s">
        <v>4133</v>
      </c>
      <c r="T124" s="1155"/>
      <c r="U124" s="1161">
        <v>1.75</v>
      </c>
      <c r="V124" s="1181">
        <f t="shared" si="12"/>
        <v>35</v>
      </c>
      <c r="X124" s="1277" t="s">
        <v>4134</v>
      </c>
      <c r="Y124" s="1289"/>
      <c r="Z124" s="1289"/>
      <c r="AA124" s="1296" t="s">
        <v>4135</v>
      </c>
    </row>
    <row r="125" ht="16" customHeight="1" spans="2:27">
      <c r="B125" s="1154" t="s">
        <v>4136</v>
      </c>
      <c r="C125" s="1155"/>
      <c r="D125" s="1161">
        <v>7.95</v>
      </c>
      <c r="E125" s="1181">
        <f t="shared" si="10"/>
        <v>159</v>
      </c>
      <c r="G125" s="1154" t="s">
        <v>4137</v>
      </c>
      <c r="H125" s="1155"/>
      <c r="I125" s="1155"/>
      <c r="J125" s="1155"/>
      <c r="K125" s="1181">
        <v>2</v>
      </c>
      <c r="M125" s="1154" t="s">
        <v>4138</v>
      </c>
      <c r="N125" s="1155"/>
      <c r="O125" s="1155"/>
      <c r="P125" s="1161">
        <v>2.19</v>
      </c>
      <c r="Q125" s="1181">
        <v>43.8</v>
      </c>
      <c r="S125" s="1156" t="s">
        <v>4139</v>
      </c>
      <c r="T125" s="1157"/>
      <c r="U125" s="1220">
        <v>0.95</v>
      </c>
      <c r="V125" s="1182">
        <f t="shared" si="12"/>
        <v>19</v>
      </c>
      <c r="X125" s="1276" t="s">
        <v>4140</v>
      </c>
      <c r="Y125" s="1160"/>
      <c r="Z125" s="1160"/>
      <c r="AA125" s="1181">
        <v>45</v>
      </c>
    </row>
    <row r="126" ht="16" customHeight="1" spans="2:27">
      <c r="B126" s="1156" t="s">
        <v>4141</v>
      </c>
      <c r="C126" s="1157"/>
      <c r="D126" s="1220">
        <v>1.98</v>
      </c>
      <c r="E126" s="1182">
        <f t="shared" si="10"/>
        <v>39.6</v>
      </c>
      <c r="G126" s="1156" t="s">
        <v>4142</v>
      </c>
      <c r="H126" s="1157"/>
      <c r="I126" s="1157"/>
      <c r="J126" s="1157"/>
      <c r="K126" s="1182">
        <v>18</v>
      </c>
      <c r="M126" s="1156" t="s">
        <v>4143</v>
      </c>
      <c r="N126" s="1157"/>
      <c r="O126" s="1157"/>
      <c r="P126" s="1220">
        <v>0.89</v>
      </c>
      <c r="Q126" s="1182">
        <v>17.8</v>
      </c>
      <c r="S126" s="1154" t="s">
        <v>4144</v>
      </c>
      <c r="T126" s="1155"/>
      <c r="U126" s="1161">
        <v>8.6</v>
      </c>
      <c r="V126" s="1181">
        <f t="shared" si="12"/>
        <v>172</v>
      </c>
      <c r="X126" s="1277" t="s">
        <v>4145</v>
      </c>
      <c r="Y126" s="1289"/>
      <c r="Z126" s="1289"/>
      <c r="AA126" s="1182" t="s">
        <v>4146</v>
      </c>
    </row>
    <row r="127" ht="16" customHeight="1" spans="2:27">
      <c r="B127" s="1154" t="s">
        <v>4147</v>
      </c>
      <c r="C127" s="1155"/>
      <c r="D127" s="1161">
        <v>9.48</v>
      </c>
      <c r="E127" s="1181">
        <f t="shared" ref="E127:E134" si="13">D127*20</f>
        <v>189.6</v>
      </c>
      <c r="G127" s="1154" t="s">
        <v>4148</v>
      </c>
      <c r="H127" s="1155"/>
      <c r="I127" s="1155"/>
      <c r="J127" s="1155"/>
      <c r="K127" s="1181">
        <v>300</v>
      </c>
      <c r="M127" s="1154" t="s">
        <v>4149</v>
      </c>
      <c r="N127" s="1155"/>
      <c r="O127" s="1155"/>
      <c r="P127" s="1161">
        <v>0.25</v>
      </c>
      <c r="Q127" s="1181">
        <v>5</v>
      </c>
      <c r="S127" s="1156" t="s">
        <v>4150</v>
      </c>
      <c r="T127" s="1157"/>
      <c r="U127" s="1220">
        <v>0.1</v>
      </c>
      <c r="V127" s="1182">
        <f t="shared" si="12"/>
        <v>2</v>
      </c>
      <c r="X127" s="1283" t="s">
        <v>4151</v>
      </c>
      <c r="Y127" s="1297"/>
      <c r="Z127" s="1297"/>
      <c r="AA127" s="1181">
        <v>2</v>
      </c>
    </row>
    <row r="128" ht="16" customHeight="1" spans="2:27">
      <c r="B128" s="1156" t="s">
        <v>4152</v>
      </c>
      <c r="C128" s="1157"/>
      <c r="D128" s="1220">
        <v>0.88</v>
      </c>
      <c r="E128" s="1182">
        <f t="shared" si="13"/>
        <v>17.6</v>
      </c>
      <c r="G128" s="1156" t="s">
        <v>4153</v>
      </c>
      <c r="H128" s="1157"/>
      <c r="I128" s="1157"/>
      <c r="J128" s="1157"/>
      <c r="K128" s="1182">
        <v>3000</v>
      </c>
      <c r="M128" s="1156" t="s">
        <v>4154</v>
      </c>
      <c r="N128" s="1157"/>
      <c r="O128" s="1157"/>
      <c r="P128" s="1220">
        <v>0.79</v>
      </c>
      <c r="Q128" s="1182">
        <v>15.8</v>
      </c>
      <c r="S128" s="1154" t="s">
        <v>4155</v>
      </c>
      <c r="T128" s="1155"/>
      <c r="U128" s="1161">
        <v>7.74</v>
      </c>
      <c r="V128" s="1181">
        <f t="shared" si="12"/>
        <v>154.8</v>
      </c>
      <c r="X128" s="1284" t="s">
        <v>4156</v>
      </c>
      <c r="Y128" s="1298"/>
      <c r="Z128" s="1298"/>
      <c r="AA128" s="1182">
        <v>2</v>
      </c>
    </row>
    <row r="129" ht="16" customHeight="1" spans="2:27">
      <c r="B129" s="1154" t="s">
        <v>4157</v>
      </c>
      <c r="C129" s="1155"/>
      <c r="D129" s="1161">
        <v>4.45</v>
      </c>
      <c r="E129" s="1181">
        <f t="shared" si="13"/>
        <v>89</v>
      </c>
      <c r="G129" s="1152" t="s">
        <v>4158</v>
      </c>
      <c r="H129" s="1153"/>
      <c r="I129" s="1153"/>
      <c r="J129" s="1153"/>
      <c r="K129" s="1180" t="s">
        <v>3755</v>
      </c>
      <c r="M129" s="1154" t="s">
        <v>4159</v>
      </c>
      <c r="N129" s="1155"/>
      <c r="O129" s="1155"/>
      <c r="P129" s="1161">
        <v>0.5</v>
      </c>
      <c r="Q129" s="1181">
        <v>10</v>
      </c>
      <c r="S129" s="1156" t="s">
        <v>4160</v>
      </c>
      <c r="T129" s="1157"/>
      <c r="U129" s="1220">
        <v>2.25</v>
      </c>
      <c r="V129" s="1182">
        <f t="shared" si="12"/>
        <v>45</v>
      </c>
      <c r="X129" s="1284" t="s">
        <v>4161</v>
      </c>
      <c r="Y129" s="1298"/>
      <c r="Z129" s="1298"/>
      <c r="AA129" s="1311" t="s">
        <v>4162</v>
      </c>
    </row>
    <row r="130" ht="16" customHeight="1" spans="2:27">
      <c r="B130" s="1156" t="s">
        <v>4163</v>
      </c>
      <c r="C130" s="1157"/>
      <c r="D130" s="1220">
        <v>0.98</v>
      </c>
      <c r="E130" s="1182">
        <f t="shared" si="13"/>
        <v>19.6</v>
      </c>
      <c r="G130" s="1154" t="s">
        <v>3776</v>
      </c>
      <c r="H130" s="1155"/>
      <c r="I130" s="1155"/>
      <c r="J130" s="1155"/>
      <c r="K130" s="1181">
        <v>2</v>
      </c>
      <c r="M130" s="1156" t="s">
        <v>4164</v>
      </c>
      <c r="N130" s="1157"/>
      <c r="O130" s="1157"/>
      <c r="P130" s="1220">
        <v>1.39</v>
      </c>
      <c r="Q130" s="1182">
        <v>27.8</v>
      </c>
      <c r="S130" s="1154" t="s">
        <v>4165</v>
      </c>
      <c r="T130" s="1155"/>
      <c r="U130" s="1161">
        <v>1.65</v>
      </c>
      <c r="V130" s="1181">
        <f t="shared" si="12"/>
        <v>33</v>
      </c>
      <c r="X130" s="1308" t="s">
        <v>4166</v>
      </c>
      <c r="Y130" s="1312"/>
      <c r="Z130" s="1312"/>
      <c r="AA130" s="1182">
        <v>10</v>
      </c>
    </row>
    <row r="131" ht="16" customHeight="1" spans="2:27">
      <c r="B131" s="1154" t="s">
        <v>4167</v>
      </c>
      <c r="C131" s="1155"/>
      <c r="D131" s="1161">
        <v>4.44</v>
      </c>
      <c r="E131" s="1181">
        <f t="shared" si="13"/>
        <v>88.8</v>
      </c>
      <c r="G131" s="1156" t="s">
        <v>3781</v>
      </c>
      <c r="H131" s="1157"/>
      <c r="I131" s="1157"/>
      <c r="J131" s="1157"/>
      <c r="K131" s="1182">
        <v>3</v>
      </c>
      <c r="M131" s="1154" t="s">
        <v>4168</v>
      </c>
      <c r="N131" s="1155"/>
      <c r="O131" s="1155"/>
      <c r="P131" s="1161">
        <v>0.19</v>
      </c>
      <c r="Q131" s="1181">
        <v>3.8</v>
      </c>
      <c r="S131" s="1156" t="s">
        <v>4169</v>
      </c>
      <c r="T131" s="1157"/>
      <c r="U131" s="1220">
        <v>4.45</v>
      </c>
      <c r="V131" s="1182">
        <f t="shared" si="12"/>
        <v>89</v>
      </c>
      <c r="X131" s="1309" t="s">
        <v>4170</v>
      </c>
      <c r="Y131" s="1313"/>
      <c r="Z131" s="1313"/>
      <c r="AA131" s="1314"/>
    </row>
    <row r="132" ht="16" customHeight="1" spans="2:27">
      <c r="B132" s="1156" t="s">
        <v>4171</v>
      </c>
      <c r="C132" s="1157"/>
      <c r="D132" s="1220">
        <v>3.69</v>
      </c>
      <c r="E132" s="1182">
        <f t="shared" si="13"/>
        <v>73.8</v>
      </c>
      <c r="G132" s="1154" t="s">
        <v>3786</v>
      </c>
      <c r="H132" s="1155"/>
      <c r="I132" s="1155"/>
      <c r="J132" s="1155"/>
      <c r="K132" s="1181">
        <v>6</v>
      </c>
      <c r="M132" s="1158" t="s">
        <v>4172</v>
      </c>
      <c r="N132" s="1159"/>
      <c r="O132" s="1159"/>
      <c r="P132" s="1216">
        <v>0.39</v>
      </c>
      <c r="Q132" s="1185">
        <v>7.8</v>
      </c>
      <c r="S132" s="1154" t="s">
        <v>4173</v>
      </c>
      <c r="T132" s="1155"/>
      <c r="U132" s="1161">
        <v>1.98</v>
      </c>
      <c r="V132" s="1181">
        <f t="shared" si="12"/>
        <v>39.6</v>
      </c>
      <c r="X132" s="1309"/>
      <c r="Y132" s="1313"/>
      <c r="Z132" s="1313"/>
      <c r="AA132" s="1314"/>
    </row>
    <row r="133" ht="16" customHeight="1" spans="2:27">
      <c r="B133" s="1213" t="s">
        <v>4174</v>
      </c>
      <c r="C133" s="1161"/>
      <c r="D133" s="1161">
        <v>2.59</v>
      </c>
      <c r="E133" s="1181">
        <f t="shared" si="13"/>
        <v>51.8</v>
      </c>
      <c r="G133" s="1152" t="s">
        <v>4175</v>
      </c>
      <c r="H133" s="1153"/>
      <c r="I133" s="1153"/>
      <c r="J133" s="1153"/>
      <c r="K133" s="1180" t="s">
        <v>3755</v>
      </c>
      <c r="S133" s="1246" t="s">
        <v>4176</v>
      </c>
      <c r="T133" s="1247"/>
      <c r="U133" s="1220">
        <v>3.33</v>
      </c>
      <c r="V133" s="1182">
        <f t="shared" si="12"/>
        <v>66.6</v>
      </c>
      <c r="X133" s="1309"/>
      <c r="Y133" s="1313"/>
      <c r="Z133" s="1313"/>
      <c r="AA133" s="1314"/>
    </row>
    <row r="134" ht="16" customHeight="1" spans="2:27">
      <c r="B134" s="1156" t="s">
        <v>4177</v>
      </c>
      <c r="C134" s="1157"/>
      <c r="D134" s="1220">
        <v>1.59</v>
      </c>
      <c r="E134" s="1182">
        <f t="shared" si="13"/>
        <v>31.8</v>
      </c>
      <c r="G134" s="1154" t="s">
        <v>4178</v>
      </c>
      <c r="H134" s="1155"/>
      <c r="I134" s="1155"/>
      <c r="J134" s="1155"/>
      <c r="K134" s="1181">
        <v>120</v>
      </c>
      <c r="M134" s="1150" t="s">
        <v>210</v>
      </c>
      <c r="N134" s="1151"/>
      <c r="O134" s="1151"/>
      <c r="P134" s="1151"/>
      <c r="Q134" s="1179"/>
      <c r="S134" s="1154" t="s">
        <v>4179</v>
      </c>
      <c r="T134" s="1155"/>
      <c r="U134" s="1161">
        <v>2.52</v>
      </c>
      <c r="V134" s="1181">
        <f t="shared" si="12"/>
        <v>50.4</v>
      </c>
      <c r="X134" s="1309"/>
      <c r="Y134" s="1313"/>
      <c r="Z134" s="1313"/>
      <c r="AA134" s="1314"/>
    </row>
    <row r="135" ht="16" customHeight="1" spans="2:27">
      <c r="B135" s="1154" t="s">
        <v>4180</v>
      </c>
      <c r="C135" s="1155"/>
      <c r="D135" s="1161">
        <v>2.25</v>
      </c>
      <c r="E135" s="1181">
        <f t="shared" ref="E135:E143" si="14">D135*20</f>
        <v>45</v>
      </c>
      <c r="G135" s="1156" t="s">
        <v>4181</v>
      </c>
      <c r="H135" s="1157"/>
      <c r="I135" s="1157"/>
      <c r="J135" s="1157"/>
      <c r="K135" s="1182">
        <v>200</v>
      </c>
      <c r="M135" s="1152" t="s">
        <v>1330</v>
      </c>
      <c r="N135" s="1153"/>
      <c r="O135" s="1153"/>
      <c r="P135" s="1153" t="s">
        <v>3755</v>
      </c>
      <c r="Q135" s="1266" t="s">
        <v>3942</v>
      </c>
      <c r="S135" s="1259" t="s">
        <v>4182</v>
      </c>
      <c r="T135" s="1260"/>
      <c r="U135" s="1220">
        <v>15.98</v>
      </c>
      <c r="V135" s="1182">
        <f t="shared" si="12"/>
        <v>319.6</v>
      </c>
      <c r="X135" s="1309"/>
      <c r="Y135" s="1313"/>
      <c r="Z135" s="1313"/>
      <c r="AA135" s="1314"/>
    </row>
    <row r="136" ht="16" customHeight="1" spans="2:27">
      <c r="B136" s="1156" t="s">
        <v>4183</v>
      </c>
      <c r="C136" s="1157"/>
      <c r="D136" s="1220" t="s">
        <v>4184</v>
      </c>
      <c r="E136" s="1294" t="s">
        <v>4185</v>
      </c>
      <c r="G136" s="1154" t="s">
        <v>4186</v>
      </c>
      <c r="H136" s="1155"/>
      <c r="I136" s="1155"/>
      <c r="J136" s="1155"/>
      <c r="K136" s="1181">
        <v>35</v>
      </c>
      <c r="M136" s="1257" t="s">
        <v>4187</v>
      </c>
      <c r="N136" s="1258"/>
      <c r="O136" s="1258"/>
      <c r="P136" s="1161">
        <v>95</v>
      </c>
      <c r="Q136" s="1181">
        <f t="shared" ref="Q136:Q178" si="15">P136*20</f>
        <v>1900</v>
      </c>
      <c r="S136" s="1154" t="s">
        <v>4188</v>
      </c>
      <c r="T136" s="1155"/>
      <c r="U136" s="1161">
        <v>6.9</v>
      </c>
      <c r="V136" s="1181">
        <f t="shared" si="12"/>
        <v>138</v>
      </c>
      <c r="X136" s="1310"/>
      <c r="Y136" s="1315"/>
      <c r="Z136" s="1315"/>
      <c r="AA136" s="1316"/>
    </row>
    <row r="137" ht="16" customHeight="1" spans="2:27">
      <c r="B137" s="1154" t="s">
        <v>4189</v>
      </c>
      <c r="C137" s="1155"/>
      <c r="D137" s="1161">
        <v>3.95</v>
      </c>
      <c r="E137" s="1181">
        <f t="shared" si="14"/>
        <v>79</v>
      </c>
      <c r="G137" s="1152" t="s">
        <v>4190</v>
      </c>
      <c r="H137" s="1153"/>
      <c r="I137" s="1153"/>
      <c r="J137" s="1153" t="s">
        <v>3755</v>
      </c>
      <c r="K137" s="1266" t="s">
        <v>3942</v>
      </c>
      <c r="M137" s="1253" t="s">
        <v>4191</v>
      </c>
      <c r="N137" s="1254"/>
      <c r="O137" s="1254"/>
      <c r="P137" s="1220">
        <v>1020</v>
      </c>
      <c r="Q137" s="1182">
        <f t="shared" si="15"/>
        <v>20400</v>
      </c>
      <c r="S137" s="1156" t="s">
        <v>4192</v>
      </c>
      <c r="T137" s="1157"/>
      <c r="U137" s="1220">
        <v>0.95</v>
      </c>
      <c r="V137" s="1182">
        <f t="shared" si="12"/>
        <v>19</v>
      </c>
      <c r="X137" s="1243"/>
      <c r="Y137" s="1243"/>
      <c r="Z137" s="1243"/>
      <c r="AA137" s="1243"/>
    </row>
    <row r="138" ht="16" customHeight="1" spans="2:27">
      <c r="B138" s="164" t="s">
        <v>4193</v>
      </c>
      <c r="C138" s="1214"/>
      <c r="D138" s="1220">
        <v>39.75</v>
      </c>
      <c r="E138" s="1182">
        <f t="shared" si="14"/>
        <v>795</v>
      </c>
      <c r="G138" s="1156" t="s">
        <v>4194</v>
      </c>
      <c r="H138" s="1157"/>
      <c r="I138" s="1157"/>
      <c r="J138" s="1220" t="s">
        <v>4109</v>
      </c>
      <c r="K138" s="1182" t="s">
        <v>4195</v>
      </c>
      <c r="M138" s="1257" t="s">
        <v>4196</v>
      </c>
      <c r="N138" s="1258"/>
      <c r="O138" s="1258"/>
      <c r="P138" s="1161">
        <v>2240</v>
      </c>
      <c r="Q138" s="1181">
        <f t="shared" si="15"/>
        <v>44800</v>
      </c>
      <c r="S138" s="1183" t="s">
        <v>4197</v>
      </c>
      <c r="T138" s="1184"/>
      <c r="U138" s="1240">
        <v>14.9</v>
      </c>
      <c r="V138" s="1194">
        <f t="shared" si="12"/>
        <v>298</v>
      </c>
      <c r="X138" s="1243"/>
      <c r="Y138" s="1243"/>
      <c r="Z138" s="1243"/>
      <c r="AA138" s="1243"/>
    </row>
    <row r="139" ht="16" customHeight="1" spans="2:17">
      <c r="B139" s="1154" t="s">
        <v>4198</v>
      </c>
      <c r="C139" s="1155"/>
      <c r="D139" s="1161">
        <v>198</v>
      </c>
      <c r="E139" s="1181">
        <f t="shared" si="14"/>
        <v>3960</v>
      </c>
      <c r="G139" s="1154" t="s">
        <v>4199</v>
      </c>
      <c r="H139" s="1155"/>
      <c r="I139" s="1155"/>
      <c r="J139" s="1161">
        <v>0.1</v>
      </c>
      <c r="K139" s="1181">
        <f t="shared" ref="K139:K140" si="16">J139*20</f>
        <v>2</v>
      </c>
      <c r="M139" s="1253" t="s">
        <v>4200</v>
      </c>
      <c r="N139" s="1254"/>
      <c r="O139" s="1254"/>
      <c r="P139" s="1220">
        <v>695</v>
      </c>
      <c r="Q139" s="1182">
        <f t="shared" si="15"/>
        <v>13900</v>
      </c>
    </row>
    <row r="140" ht="16" customHeight="1" spans="2:22">
      <c r="B140" s="1156" t="s">
        <v>4201</v>
      </c>
      <c r="C140" s="1157"/>
      <c r="D140" s="1220">
        <v>3.98</v>
      </c>
      <c r="E140" s="1182">
        <f t="shared" si="14"/>
        <v>79.6</v>
      </c>
      <c r="G140" s="1158" t="s">
        <v>4202</v>
      </c>
      <c r="H140" s="1159"/>
      <c r="I140" s="1159"/>
      <c r="J140" s="1216">
        <v>0.05</v>
      </c>
      <c r="K140" s="1185">
        <f t="shared" si="16"/>
        <v>1</v>
      </c>
      <c r="M140" s="1257" t="s">
        <v>4203</v>
      </c>
      <c r="N140" s="1258"/>
      <c r="O140" s="1258"/>
      <c r="P140" s="1161">
        <v>1045</v>
      </c>
      <c r="Q140" s="1181">
        <f t="shared" si="15"/>
        <v>20900</v>
      </c>
      <c r="S140" s="1150" t="s">
        <v>4204</v>
      </c>
      <c r="T140" s="1151"/>
      <c r="U140" s="1151"/>
      <c r="V140" s="1179"/>
    </row>
    <row r="141" ht="16" customHeight="1" spans="2:22">
      <c r="B141" s="1154" t="s">
        <v>4205</v>
      </c>
      <c r="C141" s="1155"/>
      <c r="D141" s="1161">
        <v>8.98</v>
      </c>
      <c r="E141" s="1181">
        <f t="shared" si="14"/>
        <v>179.6</v>
      </c>
      <c r="M141" s="1253" t="s">
        <v>4206</v>
      </c>
      <c r="N141" s="1254"/>
      <c r="O141" s="1254"/>
      <c r="P141" s="1220">
        <v>985</v>
      </c>
      <c r="Q141" s="1182">
        <f t="shared" si="15"/>
        <v>19700</v>
      </c>
      <c r="S141" s="1152" t="s">
        <v>1330</v>
      </c>
      <c r="T141" s="1153"/>
      <c r="U141" s="1153" t="s">
        <v>3755</v>
      </c>
      <c r="V141" s="1266" t="s">
        <v>3942</v>
      </c>
    </row>
    <row r="142" ht="16" customHeight="1" spans="2:22">
      <c r="B142" s="1156" t="s">
        <v>4207</v>
      </c>
      <c r="C142" s="1157"/>
      <c r="D142" s="1220">
        <v>4.98</v>
      </c>
      <c r="E142" s="1182">
        <f t="shared" si="14"/>
        <v>99.6</v>
      </c>
      <c r="G142" s="1150" t="s">
        <v>4208</v>
      </c>
      <c r="H142" s="1151"/>
      <c r="I142" s="1151"/>
      <c r="J142" s="1151"/>
      <c r="K142" s="1179"/>
      <c r="M142" s="1257" t="s">
        <v>4209</v>
      </c>
      <c r="N142" s="1258"/>
      <c r="O142" s="1258"/>
      <c r="P142" s="1161">
        <v>20000</v>
      </c>
      <c r="Q142" s="1181">
        <f t="shared" si="15"/>
        <v>400000</v>
      </c>
      <c r="S142" s="1154" t="s">
        <v>4210</v>
      </c>
      <c r="T142" s="1155"/>
      <c r="U142" s="1161">
        <v>3.35</v>
      </c>
      <c r="V142" s="1181">
        <f t="shared" ref="V142:V145" si="17">U142*20</f>
        <v>67</v>
      </c>
    </row>
    <row r="143" ht="16" customHeight="1" spans="2:22">
      <c r="B143" s="1183" t="s">
        <v>4211</v>
      </c>
      <c r="C143" s="1184"/>
      <c r="D143" s="1240">
        <v>0.98</v>
      </c>
      <c r="E143" s="1194">
        <f t="shared" si="14"/>
        <v>19.6</v>
      </c>
      <c r="G143" s="1152" t="s">
        <v>1330</v>
      </c>
      <c r="H143" s="1153"/>
      <c r="I143" s="1153"/>
      <c r="J143" s="1153" t="s">
        <v>3755</v>
      </c>
      <c r="K143" s="1266" t="s">
        <v>3942</v>
      </c>
      <c r="M143" s="1253" t="s">
        <v>4212</v>
      </c>
      <c r="N143" s="1254"/>
      <c r="O143" s="1254"/>
      <c r="P143" s="1220">
        <v>360</v>
      </c>
      <c r="Q143" s="1182">
        <f t="shared" si="15"/>
        <v>7200</v>
      </c>
      <c r="S143" s="1156" t="s">
        <v>4213</v>
      </c>
      <c r="T143" s="1157"/>
      <c r="U143" s="1220">
        <v>0.28</v>
      </c>
      <c r="V143" s="1182">
        <f t="shared" ref="V143:V175" si="18">U143*20</f>
        <v>5.6</v>
      </c>
    </row>
    <row r="144" ht="16" customHeight="1" spans="7:22">
      <c r="G144" s="164" t="s">
        <v>4214</v>
      </c>
      <c r="H144" s="1214"/>
      <c r="I144" s="1214"/>
      <c r="J144" s="1220" t="s">
        <v>3907</v>
      </c>
      <c r="K144" s="1182" t="s">
        <v>4215</v>
      </c>
      <c r="M144" s="1257" t="s">
        <v>4216</v>
      </c>
      <c r="N144" s="1258"/>
      <c r="O144" s="1258"/>
      <c r="P144" s="1161">
        <v>450</v>
      </c>
      <c r="Q144" s="1181">
        <f t="shared" si="15"/>
        <v>9000</v>
      </c>
      <c r="S144" s="1154" t="s">
        <v>4217</v>
      </c>
      <c r="T144" s="1155"/>
      <c r="U144" s="1161">
        <v>0.3</v>
      </c>
      <c r="V144" s="1181">
        <f t="shared" si="17"/>
        <v>6</v>
      </c>
    </row>
    <row r="145" ht="16" customHeight="1" spans="2:22">
      <c r="B145" s="1150" t="s">
        <v>4218</v>
      </c>
      <c r="C145" s="1151"/>
      <c r="D145" s="1151"/>
      <c r="E145" s="1179"/>
      <c r="F145" s="1302"/>
      <c r="G145" s="1154" t="s">
        <v>4219</v>
      </c>
      <c r="H145" s="1155"/>
      <c r="I145" s="1155"/>
      <c r="J145" s="1161" t="s">
        <v>4220</v>
      </c>
      <c r="K145" s="1181" t="s">
        <v>4221</v>
      </c>
      <c r="M145" s="1253" t="s">
        <v>4222</v>
      </c>
      <c r="N145" s="1254"/>
      <c r="O145" s="1254"/>
      <c r="P145" s="1220">
        <v>1750</v>
      </c>
      <c r="Q145" s="1182">
        <f t="shared" si="15"/>
        <v>35000</v>
      </c>
      <c r="S145" s="1156" t="s">
        <v>4223</v>
      </c>
      <c r="T145" s="1157"/>
      <c r="U145" s="1220">
        <v>39.95</v>
      </c>
      <c r="V145" s="1182">
        <f t="shared" si="17"/>
        <v>799</v>
      </c>
    </row>
    <row r="146" ht="16" customHeight="1" spans="2:22">
      <c r="B146" s="1152" t="s">
        <v>1330</v>
      </c>
      <c r="C146" s="1153"/>
      <c r="D146" s="1153" t="s">
        <v>3755</v>
      </c>
      <c r="E146" s="1180" t="s">
        <v>3942</v>
      </c>
      <c r="F146" s="1302"/>
      <c r="G146" s="1156" t="s">
        <v>4224</v>
      </c>
      <c r="H146" s="1157"/>
      <c r="I146" s="1157"/>
      <c r="J146" s="1304" t="s">
        <v>4225</v>
      </c>
      <c r="K146" s="1294" t="s">
        <v>4226</v>
      </c>
      <c r="M146" s="1257" t="s">
        <v>4227</v>
      </c>
      <c r="N146" s="1258"/>
      <c r="O146" s="1258"/>
      <c r="P146" s="1161">
        <v>1345</v>
      </c>
      <c r="Q146" s="1181">
        <f t="shared" si="15"/>
        <v>26900</v>
      </c>
      <c r="S146" s="1154" t="s">
        <v>4228</v>
      </c>
      <c r="T146" s="1155"/>
      <c r="U146" s="1161">
        <v>129.95</v>
      </c>
      <c r="V146" s="1181" t="s">
        <v>4229</v>
      </c>
    </row>
    <row r="147" ht="16" customHeight="1" spans="2:22">
      <c r="B147" s="1154" t="s">
        <v>4230</v>
      </c>
      <c r="C147" s="1155"/>
      <c r="D147" s="1161">
        <v>1.79</v>
      </c>
      <c r="E147" s="1181">
        <f>D147*20</f>
        <v>35.8</v>
      </c>
      <c r="F147" s="1302"/>
      <c r="G147" s="1154" t="s">
        <v>4231</v>
      </c>
      <c r="H147" s="1155"/>
      <c r="I147" s="1155"/>
      <c r="J147" s="1161" t="s">
        <v>4232</v>
      </c>
      <c r="K147" s="1181" t="s">
        <v>4233</v>
      </c>
      <c r="M147" s="1253" t="s">
        <v>4234</v>
      </c>
      <c r="N147" s="1254"/>
      <c r="O147" s="1254"/>
      <c r="P147" s="1220">
        <v>2950</v>
      </c>
      <c r="Q147" s="1182">
        <f t="shared" si="15"/>
        <v>59000</v>
      </c>
      <c r="S147" s="1156" t="s">
        <v>4235</v>
      </c>
      <c r="T147" s="1157"/>
      <c r="U147" s="1220">
        <v>5.95</v>
      </c>
      <c r="V147" s="1182">
        <f t="shared" si="18"/>
        <v>119</v>
      </c>
    </row>
    <row r="148" ht="16" customHeight="1" spans="2:22">
      <c r="B148" s="1156" t="s">
        <v>4236</v>
      </c>
      <c r="C148" s="1157"/>
      <c r="D148" s="1220">
        <v>2.98</v>
      </c>
      <c r="E148" s="1182">
        <f>D148*20</f>
        <v>59.6</v>
      </c>
      <c r="F148" s="1302"/>
      <c r="G148" s="1156" t="s">
        <v>4237</v>
      </c>
      <c r="H148" s="1157"/>
      <c r="I148" s="1157"/>
      <c r="J148" s="1220">
        <v>3100</v>
      </c>
      <c r="K148" s="1182">
        <f t="shared" ref="K148:K153" si="19">J148*20</f>
        <v>62000</v>
      </c>
      <c r="M148" s="1257" t="s">
        <v>4238</v>
      </c>
      <c r="N148" s="1258"/>
      <c r="O148" s="1258"/>
      <c r="P148" s="1161">
        <v>6000</v>
      </c>
      <c r="Q148" s="1181">
        <f t="shared" si="15"/>
        <v>120000</v>
      </c>
      <c r="S148" s="1154" t="s">
        <v>4239</v>
      </c>
      <c r="T148" s="1155"/>
      <c r="U148" s="1161">
        <v>35.1</v>
      </c>
      <c r="V148" s="1181">
        <f t="shared" si="18"/>
        <v>702</v>
      </c>
    </row>
    <row r="149" ht="16" customHeight="1" spans="2:22">
      <c r="B149" s="1255" t="s">
        <v>4240</v>
      </c>
      <c r="C149" s="1256"/>
      <c r="D149" s="1256"/>
      <c r="E149" s="1263"/>
      <c r="F149" s="1302"/>
      <c r="G149" s="1255" t="s">
        <v>4241</v>
      </c>
      <c r="H149" s="1256"/>
      <c r="I149" s="1256"/>
      <c r="J149" s="1256"/>
      <c r="K149" s="1263"/>
      <c r="M149" s="1253" t="s">
        <v>4242</v>
      </c>
      <c r="N149" s="1254"/>
      <c r="O149" s="1254"/>
      <c r="P149" s="1220">
        <v>745</v>
      </c>
      <c r="Q149" s="1182">
        <f t="shared" si="15"/>
        <v>14900</v>
      </c>
      <c r="S149" s="1156" t="s">
        <v>4243</v>
      </c>
      <c r="T149" s="1157"/>
      <c r="U149" s="1220">
        <v>1.8</v>
      </c>
      <c r="V149" s="1182">
        <f t="shared" si="18"/>
        <v>36</v>
      </c>
    </row>
    <row r="150" ht="16" customHeight="1" spans="2:22">
      <c r="B150" s="1154" t="s">
        <v>4230</v>
      </c>
      <c r="C150" s="1155"/>
      <c r="D150" s="1161">
        <v>1.79</v>
      </c>
      <c r="E150" s="1181">
        <f t="shared" ref="E150:E158" si="20">D150*20</f>
        <v>35.8</v>
      </c>
      <c r="F150" s="1302"/>
      <c r="G150" s="1156" t="s">
        <v>4244</v>
      </c>
      <c r="H150" s="1157"/>
      <c r="I150" s="1157"/>
      <c r="J150" s="1220">
        <v>1175</v>
      </c>
      <c r="K150" s="1182">
        <f t="shared" si="19"/>
        <v>23500</v>
      </c>
      <c r="M150" s="1257" t="s">
        <v>4245</v>
      </c>
      <c r="N150" s="1258"/>
      <c r="O150" s="1258"/>
      <c r="P150" s="1161">
        <v>995</v>
      </c>
      <c r="Q150" s="1181">
        <f t="shared" si="15"/>
        <v>19900</v>
      </c>
      <c r="S150" s="1154" t="s">
        <v>4246</v>
      </c>
      <c r="T150" s="1155"/>
      <c r="U150" s="1161">
        <v>0.85</v>
      </c>
      <c r="V150" s="1181">
        <f t="shared" si="18"/>
        <v>17</v>
      </c>
    </row>
    <row r="151" ht="16" customHeight="1" spans="2:22">
      <c r="B151" s="1156" t="s">
        <v>4247</v>
      </c>
      <c r="C151" s="1157"/>
      <c r="D151" s="1220">
        <v>2.98</v>
      </c>
      <c r="E151" s="1182">
        <f t="shared" si="20"/>
        <v>59.6</v>
      </c>
      <c r="F151" s="1302"/>
      <c r="G151" s="1154" t="s">
        <v>4248</v>
      </c>
      <c r="H151" s="1155"/>
      <c r="I151" s="1155"/>
      <c r="J151" s="1161">
        <v>2135</v>
      </c>
      <c r="K151" s="1181">
        <f t="shared" si="19"/>
        <v>42700</v>
      </c>
      <c r="M151" s="1253" t="s">
        <v>4249</v>
      </c>
      <c r="N151" s="1254"/>
      <c r="O151" s="1254"/>
      <c r="P151" s="1220">
        <v>570</v>
      </c>
      <c r="Q151" s="1182">
        <f t="shared" si="15"/>
        <v>11400</v>
      </c>
      <c r="S151" s="1156" t="s">
        <v>4250</v>
      </c>
      <c r="T151" s="1157"/>
      <c r="U151" s="1220">
        <v>0.2</v>
      </c>
      <c r="V151" s="1182">
        <f t="shared" si="18"/>
        <v>4</v>
      </c>
    </row>
    <row r="152" ht="16" customHeight="1" spans="2:22">
      <c r="B152" s="1154" t="s">
        <v>4251</v>
      </c>
      <c r="C152" s="1155"/>
      <c r="D152" s="1161">
        <v>2.98</v>
      </c>
      <c r="E152" s="1181">
        <f t="shared" si="20"/>
        <v>59.6</v>
      </c>
      <c r="F152" s="1302"/>
      <c r="G152" s="1156" t="s">
        <v>4252</v>
      </c>
      <c r="H152" s="1157"/>
      <c r="I152" s="1157"/>
      <c r="J152" s="1220">
        <v>3278</v>
      </c>
      <c r="K152" s="1182">
        <f t="shared" si="19"/>
        <v>65560</v>
      </c>
      <c r="M152" s="1257" t="s">
        <v>4253</v>
      </c>
      <c r="N152" s="1258"/>
      <c r="O152" s="1258"/>
      <c r="P152" s="1161">
        <v>1450</v>
      </c>
      <c r="Q152" s="1181">
        <f t="shared" si="15"/>
        <v>29000</v>
      </c>
      <c r="S152" s="1154" t="s">
        <v>4254</v>
      </c>
      <c r="T152" s="1155"/>
      <c r="U152" s="1161">
        <v>9.5</v>
      </c>
      <c r="V152" s="1181">
        <f t="shared" si="18"/>
        <v>190</v>
      </c>
    </row>
    <row r="153" ht="16" customHeight="1" spans="2:22">
      <c r="B153" s="1156" t="s">
        <v>4255</v>
      </c>
      <c r="C153" s="1157"/>
      <c r="D153" s="1220">
        <v>0.98</v>
      </c>
      <c r="E153" s="1182">
        <f t="shared" si="20"/>
        <v>19.6</v>
      </c>
      <c r="G153" s="1183" t="s">
        <v>4256</v>
      </c>
      <c r="H153" s="1184"/>
      <c r="I153" s="1184"/>
      <c r="J153" s="1240">
        <v>4492</v>
      </c>
      <c r="K153" s="1194">
        <f t="shared" si="19"/>
        <v>89840</v>
      </c>
      <c r="M153" s="1253" t="s">
        <v>4257</v>
      </c>
      <c r="N153" s="1254"/>
      <c r="O153" s="1254"/>
      <c r="P153" s="1220">
        <v>995</v>
      </c>
      <c r="Q153" s="1182">
        <f t="shared" si="15"/>
        <v>19900</v>
      </c>
      <c r="S153" s="1156" t="s">
        <v>4258</v>
      </c>
      <c r="T153" s="1157"/>
      <c r="U153" s="1220">
        <v>0.25</v>
      </c>
      <c r="V153" s="1182">
        <f t="shared" si="18"/>
        <v>5</v>
      </c>
    </row>
    <row r="154" ht="16" customHeight="1" spans="2:22">
      <c r="B154" s="1154" t="s">
        <v>4259</v>
      </c>
      <c r="C154" s="1155"/>
      <c r="D154" s="1161">
        <v>2.59</v>
      </c>
      <c r="E154" s="1181">
        <f t="shared" si="20"/>
        <v>51.8</v>
      </c>
      <c r="M154" s="1257" t="s">
        <v>4260</v>
      </c>
      <c r="N154" s="1258"/>
      <c r="O154" s="1258"/>
      <c r="P154" s="1161">
        <v>300</v>
      </c>
      <c r="Q154" s="1181">
        <f t="shared" si="15"/>
        <v>6000</v>
      </c>
      <c r="S154" s="1154" t="s">
        <v>4261</v>
      </c>
      <c r="T154" s="1155"/>
      <c r="U154" s="1161">
        <v>1200</v>
      </c>
      <c r="V154" s="1181">
        <f t="shared" si="18"/>
        <v>24000</v>
      </c>
    </row>
    <row r="155" ht="16" customHeight="1" spans="2:22">
      <c r="B155" s="1156" t="s">
        <v>4089</v>
      </c>
      <c r="C155" s="1157"/>
      <c r="D155" s="1220">
        <v>4.95</v>
      </c>
      <c r="E155" s="1182">
        <f t="shared" si="20"/>
        <v>99</v>
      </c>
      <c r="G155" s="1150" t="s">
        <v>3871</v>
      </c>
      <c r="H155" s="1151"/>
      <c r="I155" s="1151"/>
      <c r="J155" s="1151"/>
      <c r="K155" s="1179"/>
      <c r="M155" s="1253" t="s">
        <v>4262</v>
      </c>
      <c r="N155" s="1254"/>
      <c r="O155" s="1254"/>
      <c r="P155" s="1220">
        <v>75</v>
      </c>
      <c r="Q155" s="1182">
        <f t="shared" si="15"/>
        <v>1500</v>
      </c>
      <c r="S155" s="1156" t="s">
        <v>4263</v>
      </c>
      <c r="T155" s="1157"/>
      <c r="U155" s="1220">
        <v>40</v>
      </c>
      <c r="V155" s="1182" t="s">
        <v>4229</v>
      </c>
    </row>
    <row r="156" ht="16" customHeight="1" spans="2:22">
      <c r="B156" s="1154" t="s">
        <v>4264</v>
      </c>
      <c r="C156" s="1155"/>
      <c r="D156" s="1161">
        <v>0.4</v>
      </c>
      <c r="E156" s="1181">
        <f t="shared" si="20"/>
        <v>8</v>
      </c>
      <c r="G156" s="1152" t="s">
        <v>4265</v>
      </c>
      <c r="H156" s="1153"/>
      <c r="I156" s="1153"/>
      <c r="J156" s="1153" t="s">
        <v>3755</v>
      </c>
      <c r="K156" s="1266" t="s">
        <v>3942</v>
      </c>
      <c r="M156" s="1257" t="s">
        <v>4266</v>
      </c>
      <c r="N156" s="1258"/>
      <c r="O156" s="1258"/>
      <c r="P156" s="1161">
        <v>545</v>
      </c>
      <c r="Q156" s="1181">
        <f t="shared" si="15"/>
        <v>10900</v>
      </c>
      <c r="S156" s="1154" t="s">
        <v>4267</v>
      </c>
      <c r="T156" s="1155"/>
      <c r="U156" s="1161">
        <v>66.75</v>
      </c>
      <c r="V156" s="1181" t="s">
        <v>4229</v>
      </c>
    </row>
    <row r="157" ht="16" customHeight="1" spans="2:22">
      <c r="B157" s="1156" t="s">
        <v>4093</v>
      </c>
      <c r="C157" s="1157"/>
      <c r="D157" s="1220">
        <v>0.54</v>
      </c>
      <c r="E157" s="1182">
        <f t="shared" si="20"/>
        <v>10.8</v>
      </c>
      <c r="G157" s="1213" t="s">
        <v>4268</v>
      </c>
      <c r="H157" s="1161"/>
      <c r="I157" s="1161"/>
      <c r="J157" s="1161">
        <v>4.45</v>
      </c>
      <c r="K157" s="1181">
        <f t="shared" ref="K157:K170" si="21">J157*20</f>
        <v>89</v>
      </c>
      <c r="M157" s="1253" t="s">
        <v>4269</v>
      </c>
      <c r="N157" s="1254"/>
      <c r="O157" s="1254"/>
      <c r="P157" s="1220">
        <v>1085</v>
      </c>
      <c r="Q157" s="1182">
        <f t="shared" si="15"/>
        <v>21700</v>
      </c>
      <c r="S157" s="1156" t="s">
        <v>4270</v>
      </c>
      <c r="T157" s="1157"/>
      <c r="U157" s="1220">
        <v>0.58</v>
      </c>
      <c r="V157" s="1182">
        <f t="shared" si="18"/>
        <v>11.6</v>
      </c>
    </row>
    <row r="158" ht="16" customHeight="1" spans="2:22">
      <c r="B158" s="1299" t="s">
        <v>4271</v>
      </c>
      <c r="C158" s="1300"/>
      <c r="D158" s="1240">
        <v>1.29</v>
      </c>
      <c r="E158" s="1194">
        <f t="shared" si="20"/>
        <v>25.8</v>
      </c>
      <c r="G158" s="1156" t="s">
        <v>4272</v>
      </c>
      <c r="H158" s="1157"/>
      <c r="I158" s="1157"/>
      <c r="J158" s="1220">
        <v>10</v>
      </c>
      <c r="K158" s="1182">
        <f t="shared" si="21"/>
        <v>200</v>
      </c>
      <c r="M158" s="1257" t="s">
        <v>4273</v>
      </c>
      <c r="N158" s="1258"/>
      <c r="O158" s="1258"/>
      <c r="P158" s="1161">
        <v>490</v>
      </c>
      <c r="Q158" s="1181">
        <f t="shared" si="15"/>
        <v>9800</v>
      </c>
      <c r="S158" s="1154" t="s">
        <v>4274</v>
      </c>
      <c r="T158" s="1155"/>
      <c r="U158" s="1161">
        <v>17.5</v>
      </c>
      <c r="V158" s="1181">
        <f t="shared" si="18"/>
        <v>350</v>
      </c>
    </row>
    <row r="159" ht="16" customHeight="1" spans="7:22">
      <c r="G159" s="1213" t="s">
        <v>4275</v>
      </c>
      <c r="H159" s="1161"/>
      <c r="I159" s="1161"/>
      <c r="J159" s="1161">
        <v>0.75</v>
      </c>
      <c r="K159" s="1181">
        <f t="shared" si="21"/>
        <v>15</v>
      </c>
      <c r="M159" s="1253" t="s">
        <v>4276</v>
      </c>
      <c r="N159" s="1254"/>
      <c r="O159" s="1254"/>
      <c r="P159" s="1220">
        <v>9000</v>
      </c>
      <c r="Q159" s="1182">
        <f t="shared" si="15"/>
        <v>180000</v>
      </c>
      <c r="S159" s="1246" t="s">
        <v>4277</v>
      </c>
      <c r="T159" s="1247"/>
      <c r="U159" s="1220">
        <v>62.5</v>
      </c>
      <c r="V159" s="1182">
        <f t="shared" si="18"/>
        <v>1250</v>
      </c>
    </row>
    <row r="160" ht="16" customHeight="1" spans="2:22">
      <c r="B160" s="1150" t="s">
        <v>3847</v>
      </c>
      <c r="C160" s="1151"/>
      <c r="D160" s="1151"/>
      <c r="E160" s="1179"/>
      <c r="G160" s="1219" t="s">
        <v>3897</v>
      </c>
      <c r="H160" s="1220"/>
      <c r="I160" s="1220"/>
      <c r="J160" s="1220">
        <v>9</v>
      </c>
      <c r="K160" s="1182">
        <f t="shared" si="21"/>
        <v>180</v>
      </c>
      <c r="M160" s="1257" t="s">
        <v>4278</v>
      </c>
      <c r="N160" s="1258"/>
      <c r="O160" s="1258"/>
      <c r="P160" s="1161">
        <v>1225</v>
      </c>
      <c r="Q160" s="1181">
        <f t="shared" si="15"/>
        <v>24500</v>
      </c>
      <c r="S160" s="1154" t="s">
        <v>4279</v>
      </c>
      <c r="T160" s="1155"/>
      <c r="U160" s="1161">
        <v>1.79</v>
      </c>
      <c r="V160" s="1181">
        <f t="shared" si="18"/>
        <v>35.8</v>
      </c>
    </row>
    <row r="161" ht="16" customHeight="1" spans="2:22">
      <c r="B161" s="1152" t="s">
        <v>1330</v>
      </c>
      <c r="C161" s="1153"/>
      <c r="D161" s="1153" t="s">
        <v>3755</v>
      </c>
      <c r="E161" s="1180" t="s">
        <v>3942</v>
      </c>
      <c r="G161" s="1154" t="s">
        <v>4280</v>
      </c>
      <c r="H161" s="1155"/>
      <c r="I161" s="1155"/>
      <c r="J161" s="1161">
        <v>24</v>
      </c>
      <c r="K161" s="1181">
        <f t="shared" si="21"/>
        <v>480</v>
      </c>
      <c r="M161" s="1253" t="s">
        <v>4281</v>
      </c>
      <c r="N161" s="1254"/>
      <c r="O161" s="1254"/>
      <c r="P161" s="1220">
        <v>800</v>
      </c>
      <c r="Q161" s="1182">
        <f t="shared" si="15"/>
        <v>16000</v>
      </c>
      <c r="S161" s="1156" t="s">
        <v>4282</v>
      </c>
      <c r="T161" s="1157"/>
      <c r="U161" s="1220">
        <v>0.99</v>
      </c>
      <c r="V161" s="1182">
        <f t="shared" si="18"/>
        <v>19.8</v>
      </c>
    </row>
    <row r="162" ht="16" customHeight="1" spans="2:22">
      <c r="B162" s="1276" t="s">
        <v>4283</v>
      </c>
      <c r="C162" s="1160"/>
      <c r="D162" s="1161">
        <v>7.45</v>
      </c>
      <c r="E162" s="1181">
        <f t="shared" ref="E162:E164" si="22">D162*20</f>
        <v>149</v>
      </c>
      <c r="G162" s="1219" t="s">
        <v>4284</v>
      </c>
      <c r="H162" s="1220"/>
      <c r="I162" s="1220"/>
      <c r="J162" s="1220" t="s">
        <v>4285</v>
      </c>
      <c r="K162" s="1182" t="s">
        <v>3882</v>
      </c>
      <c r="M162" s="1251" t="s">
        <v>4286</v>
      </c>
      <c r="N162" s="1252"/>
      <c r="O162" s="1252"/>
      <c r="P162" s="1161">
        <v>4000</v>
      </c>
      <c r="Q162" s="1181">
        <f t="shared" si="15"/>
        <v>80000</v>
      </c>
      <c r="S162" s="1154" t="s">
        <v>4287</v>
      </c>
      <c r="T162" s="1155"/>
      <c r="U162" s="1161">
        <v>0.1</v>
      </c>
      <c r="V162" s="1181">
        <f t="shared" si="18"/>
        <v>2</v>
      </c>
    </row>
    <row r="163" ht="16" customHeight="1" spans="2:22">
      <c r="B163" s="1277" t="s">
        <v>4288</v>
      </c>
      <c r="C163" s="1289"/>
      <c r="D163" s="1220">
        <v>9.95</v>
      </c>
      <c r="E163" s="1182">
        <f t="shared" si="22"/>
        <v>199</v>
      </c>
      <c r="G163" s="1217" t="s">
        <v>4289</v>
      </c>
      <c r="H163" s="1218"/>
      <c r="I163" s="1218"/>
      <c r="J163" s="1161">
        <v>5</v>
      </c>
      <c r="K163" s="1181">
        <f t="shared" si="21"/>
        <v>100</v>
      </c>
      <c r="M163" s="1253" t="s">
        <v>4290</v>
      </c>
      <c r="N163" s="1254"/>
      <c r="O163" s="1254"/>
      <c r="P163" s="1220">
        <v>4050</v>
      </c>
      <c r="Q163" s="1182">
        <f t="shared" si="15"/>
        <v>81000</v>
      </c>
      <c r="S163" s="1156" t="s">
        <v>4291</v>
      </c>
      <c r="T163" s="1157"/>
      <c r="U163" s="1220">
        <v>2.29</v>
      </c>
      <c r="V163" s="1182">
        <f t="shared" si="18"/>
        <v>45.8</v>
      </c>
    </row>
    <row r="164" ht="16" customHeight="1" spans="2:22">
      <c r="B164" s="1276" t="s">
        <v>4292</v>
      </c>
      <c r="C164" s="1160"/>
      <c r="D164" s="1161">
        <v>12</v>
      </c>
      <c r="E164" s="1181">
        <f t="shared" si="22"/>
        <v>240</v>
      </c>
      <c r="G164" s="1255" t="s">
        <v>4293</v>
      </c>
      <c r="H164" s="1256"/>
      <c r="I164" s="1256"/>
      <c r="J164" s="1256"/>
      <c r="K164" s="1263"/>
      <c r="M164" s="1257" t="s">
        <v>4294</v>
      </c>
      <c r="N164" s="1258"/>
      <c r="O164" s="1258"/>
      <c r="P164" s="1161">
        <v>7750</v>
      </c>
      <c r="Q164" s="1181">
        <f t="shared" si="15"/>
        <v>155000</v>
      </c>
      <c r="S164" s="1154" t="s">
        <v>4295</v>
      </c>
      <c r="T164" s="1155"/>
      <c r="U164" s="1161">
        <v>6.75</v>
      </c>
      <c r="V164" s="1181">
        <f t="shared" si="18"/>
        <v>135</v>
      </c>
    </row>
    <row r="165" ht="16" customHeight="1" spans="2:22">
      <c r="B165" s="1277" t="s">
        <v>4296</v>
      </c>
      <c r="C165" s="1289"/>
      <c r="D165" s="1220">
        <v>54.95</v>
      </c>
      <c r="E165" s="1182">
        <f t="shared" ref="E165:E167" si="23">D165*20</f>
        <v>1099</v>
      </c>
      <c r="G165" s="1154" t="s">
        <v>4297</v>
      </c>
      <c r="H165" s="1155"/>
      <c r="I165" s="1155"/>
      <c r="J165" s="1161">
        <v>1000</v>
      </c>
      <c r="K165" s="1181">
        <f t="shared" si="21"/>
        <v>20000</v>
      </c>
      <c r="M165" s="1253" t="s">
        <v>4298</v>
      </c>
      <c r="N165" s="1254"/>
      <c r="O165" s="1254"/>
      <c r="P165" s="1220">
        <v>500</v>
      </c>
      <c r="Q165" s="1182">
        <f t="shared" si="15"/>
        <v>10000</v>
      </c>
      <c r="S165" s="1156" t="s">
        <v>4299</v>
      </c>
      <c r="T165" s="1157"/>
      <c r="U165" s="1220">
        <v>49</v>
      </c>
      <c r="V165" s="1182">
        <f t="shared" si="18"/>
        <v>980</v>
      </c>
    </row>
    <row r="166" ht="16" customHeight="1" spans="2:22">
      <c r="B166" s="1276" t="s">
        <v>4300</v>
      </c>
      <c r="C166" s="1160"/>
      <c r="D166" s="1161">
        <v>79.95</v>
      </c>
      <c r="E166" s="1181">
        <f t="shared" si="23"/>
        <v>1599</v>
      </c>
      <c r="G166" s="1156" t="s">
        <v>4301</v>
      </c>
      <c r="H166" s="1157"/>
      <c r="I166" s="1157"/>
      <c r="J166" s="1220">
        <v>55</v>
      </c>
      <c r="K166" s="1182">
        <f t="shared" si="21"/>
        <v>1100</v>
      </c>
      <c r="M166" s="1257" t="s">
        <v>4302</v>
      </c>
      <c r="N166" s="1258"/>
      <c r="O166" s="1258"/>
      <c r="P166" s="1161">
        <v>6750</v>
      </c>
      <c r="Q166" s="1181">
        <f t="shared" si="15"/>
        <v>135000</v>
      </c>
      <c r="S166" s="1154" t="s">
        <v>4303</v>
      </c>
      <c r="T166" s="1155"/>
      <c r="U166" s="1161">
        <v>1.95</v>
      </c>
      <c r="V166" s="1181">
        <f t="shared" si="18"/>
        <v>39</v>
      </c>
    </row>
    <row r="167" ht="16" customHeight="1" spans="2:22">
      <c r="B167" s="1281" t="s">
        <v>4304</v>
      </c>
      <c r="C167" s="1293"/>
      <c r="D167" s="1216">
        <v>12.5</v>
      </c>
      <c r="E167" s="1185">
        <f t="shared" si="23"/>
        <v>250</v>
      </c>
      <c r="G167" s="1154" t="s">
        <v>4305</v>
      </c>
      <c r="H167" s="1155"/>
      <c r="I167" s="1155"/>
      <c r="J167" s="1161">
        <v>350</v>
      </c>
      <c r="K167" s="1181">
        <f t="shared" si="21"/>
        <v>7000</v>
      </c>
      <c r="M167" s="1253" t="s">
        <v>4306</v>
      </c>
      <c r="N167" s="1254"/>
      <c r="O167" s="1254"/>
      <c r="P167" s="1220">
        <v>10800</v>
      </c>
      <c r="Q167" s="1182">
        <f t="shared" si="15"/>
        <v>216000</v>
      </c>
      <c r="S167" s="1156" t="s">
        <v>4307</v>
      </c>
      <c r="T167" s="1157"/>
      <c r="U167" s="1220">
        <v>1.68</v>
      </c>
      <c r="V167" s="1182">
        <f t="shared" si="18"/>
        <v>33.6</v>
      </c>
    </row>
    <row r="168" ht="16" customHeight="1" spans="7:22">
      <c r="G168" s="1156" t="s">
        <v>4308</v>
      </c>
      <c r="H168" s="1157"/>
      <c r="I168" s="1157"/>
      <c r="J168" s="1220">
        <v>12.5</v>
      </c>
      <c r="K168" s="1182">
        <f t="shared" si="21"/>
        <v>250</v>
      </c>
      <c r="M168" s="1255" t="s">
        <v>4309</v>
      </c>
      <c r="N168" s="1256"/>
      <c r="O168" s="1256"/>
      <c r="P168" s="1256"/>
      <c r="Q168" s="1263"/>
      <c r="S168" s="1154" t="s">
        <v>4310</v>
      </c>
      <c r="T168" s="1155"/>
      <c r="U168" s="1161">
        <v>3.98</v>
      </c>
      <c r="V168" s="1181">
        <f t="shared" si="18"/>
        <v>79.6</v>
      </c>
    </row>
    <row r="169" ht="16" customHeight="1" spans="2:22">
      <c r="B169" s="1150" t="s">
        <v>3753</v>
      </c>
      <c r="C169" s="1151"/>
      <c r="D169" s="1151"/>
      <c r="E169" s="1179"/>
      <c r="G169" s="1154" t="s">
        <v>4311</v>
      </c>
      <c r="H169" s="1155"/>
      <c r="I169" s="1155"/>
      <c r="J169" s="1161">
        <v>10</v>
      </c>
      <c r="K169" s="1181">
        <f t="shared" si="21"/>
        <v>200</v>
      </c>
      <c r="M169" s="1156" t="s">
        <v>4312</v>
      </c>
      <c r="N169" s="1157"/>
      <c r="O169" s="1157"/>
      <c r="P169" s="1220">
        <v>10.95</v>
      </c>
      <c r="Q169" s="1182">
        <f t="shared" si="15"/>
        <v>219</v>
      </c>
      <c r="S169" s="1156" t="s">
        <v>4313</v>
      </c>
      <c r="T169" s="1157"/>
      <c r="U169" s="1220">
        <v>1.48</v>
      </c>
      <c r="V169" s="1182">
        <f t="shared" si="18"/>
        <v>29.6</v>
      </c>
    </row>
    <row r="170" ht="16" customHeight="1" spans="2:22">
      <c r="B170" s="1152" t="s">
        <v>1330</v>
      </c>
      <c r="C170" s="1153"/>
      <c r="D170" s="1153" t="s">
        <v>3755</v>
      </c>
      <c r="E170" s="1266" t="s">
        <v>3942</v>
      </c>
      <c r="G170" s="1158" t="s">
        <v>4314</v>
      </c>
      <c r="H170" s="1159"/>
      <c r="I170" s="1159"/>
      <c r="J170" s="1216">
        <v>40</v>
      </c>
      <c r="K170" s="1185">
        <f t="shared" si="21"/>
        <v>800</v>
      </c>
      <c r="M170" s="1154" t="s">
        <v>4315</v>
      </c>
      <c r="N170" s="1155"/>
      <c r="O170" s="1155"/>
      <c r="P170" s="1161">
        <v>0.32</v>
      </c>
      <c r="Q170" s="1181">
        <f t="shared" si="15"/>
        <v>6.4</v>
      </c>
      <c r="S170" s="1154" t="s">
        <v>4316</v>
      </c>
      <c r="T170" s="1155"/>
      <c r="U170" s="1161">
        <v>9.95</v>
      </c>
      <c r="V170" s="1181">
        <f t="shared" si="18"/>
        <v>199</v>
      </c>
    </row>
    <row r="171" ht="16" customHeight="1" spans="2:22">
      <c r="B171" s="1257" t="s">
        <v>4317</v>
      </c>
      <c r="C171" s="1258"/>
      <c r="D171" s="1161">
        <v>0.25</v>
      </c>
      <c r="E171" s="183" t="s">
        <v>4318</v>
      </c>
      <c r="G171" s="1160"/>
      <c r="H171" s="1160"/>
      <c r="I171" s="1160"/>
      <c r="J171" s="1160"/>
      <c r="K171" s="1160"/>
      <c r="M171" s="1156" t="s">
        <v>4319</v>
      </c>
      <c r="N171" s="1157"/>
      <c r="O171" s="1157"/>
      <c r="P171" s="1220">
        <v>4.95</v>
      </c>
      <c r="Q171" s="1182">
        <f t="shared" si="15"/>
        <v>99</v>
      </c>
      <c r="S171" s="1156" t="s">
        <v>4320</v>
      </c>
      <c r="T171" s="1157"/>
      <c r="U171" s="1220">
        <v>16.65</v>
      </c>
      <c r="V171" s="1182">
        <f t="shared" si="18"/>
        <v>333</v>
      </c>
    </row>
    <row r="172" ht="16" customHeight="1" spans="2:22">
      <c r="B172" s="1259" t="s">
        <v>4321</v>
      </c>
      <c r="C172" s="1260"/>
      <c r="D172" s="1220">
        <v>0.02</v>
      </c>
      <c r="E172" s="183"/>
      <c r="G172" s="1150" t="s">
        <v>4322</v>
      </c>
      <c r="H172" s="1151"/>
      <c r="I172" s="1151"/>
      <c r="J172" s="1151"/>
      <c r="K172" s="1179"/>
      <c r="M172" s="1154" t="s">
        <v>4323</v>
      </c>
      <c r="N172" s="1155"/>
      <c r="O172" s="1155"/>
      <c r="P172" s="1161">
        <v>1</v>
      </c>
      <c r="Q172" s="1181">
        <f t="shared" si="15"/>
        <v>20</v>
      </c>
      <c r="S172" s="1257" t="s">
        <v>4324</v>
      </c>
      <c r="T172" s="1258"/>
      <c r="U172" s="1161">
        <v>24.65</v>
      </c>
      <c r="V172" s="1181">
        <f t="shared" si="18"/>
        <v>493</v>
      </c>
    </row>
    <row r="173" ht="16" customHeight="1" spans="2:22">
      <c r="B173" s="1154" t="s">
        <v>4325</v>
      </c>
      <c r="C173" s="1155"/>
      <c r="D173" s="1161">
        <v>1.25</v>
      </c>
      <c r="E173" s="183"/>
      <c r="G173" s="1152" t="s">
        <v>1330</v>
      </c>
      <c r="H173" s="1153"/>
      <c r="I173" s="1153"/>
      <c r="J173" s="1153" t="s">
        <v>3755</v>
      </c>
      <c r="K173" s="1266" t="s">
        <v>3942</v>
      </c>
      <c r="M173" s="1156" t="s">
        <v>4326</v>
      </c>
      <c r="N173" s="1157"/>
      <c r="O173" s="1157"/>
      <c r="P173" s="1220">
        <v>14.15</v>
      </c>
      <c r="Q173" s="1182">
        <f t="shared" si="15"/>
        <v>283</v>
      </c>
      <c r="S173" s="1156" t="s">
        <v>4327</v>
      </c>
      <c r="T173" s="1157"/>
      <c r="U173" s="1220">
        <v>34.45</v>
      </c>
      <c r="V173" s="1182">
        <f t="shared" si="18"/>
        <v>689</v>
      </c>
    </row>
    <row r="174" ht="16" customHeight="1" spans="2:22">
      <c r="B174" s="1275" t="s">
        <v>4328</v>
      </c>
      <c r="C174" s="1288"/>
      <c r="D174" s="1220">
        <v>0.02</v>
      </c>
      <c r="E174" s="1182">
        <f>D174*20</f>
        <v>0.4</v>
      </c>
      <c r="F174" s="1271"/>
      <c r="G174" s="148" t="s">
        <v>4329</v>
      </c>
      <c r="H174" s="1303"/>
      <c r="I174" s="1303"/>
      <c r="J174" s="1161">
        <v>25</v>
      </c>
      <c r="K174" s="1181">
        <f>J174*20</f>
        <v>500</v>
      </c>
      <c r="M174" s="1154" t="s">
        <v>4330</v>
      </c>
      <c r="N174" s="1155"/>
      <c r="O174" s="1155"/>
      <c r="P174" s="1161">
        <v>8.69</v>
      </c>
      <c r="Q174" s="1181">
        <f t="shared" si="15"/>
        <v>173.8</v>
      </c>
      <c r="S174" s="1154" t="s">
        <v>4331</v>
      </c>
      <c r="T174" s="1155"/>
      <c r="U174" s="1161">
        <v>13.85</v>
      </c>
      <c r="V174" s="1181">
        <f t="shared" si="18"/>
        <v>277</v>
      </c>
    </row>
    <row r="175" ht="16" customHeight="1" spans="2:22">
      <c r="B175" s="1276" t="s">
        <v>4332</v>
      </c>
      <c r="C175" s="1160"/>
      <c r="D175" s="1301" t="s">
        <v>4333</v>
      </c>
      <c r="E175" s="1181" t="s">
        <v>4334</v>
      </c>
      <c r="G175" s="1156" t="s">
        <v>4335</v>
      </c>
      <c r="H175" s="1157"/>
      <c r="I175" s="1157"/>
      <c r="J175" s="1220">
        <v>25</v>
      </c>
      <c r="K175" s="1182">
        <f t="shared" ref="K175:K188" si="24">J175*20</f>
        <v>500</v>
      </c>
      <c r="M175" s="1156" t="s">
        <v>4336</v>
      </c>
      <c r="N175" s="1157"/>
      <c r="O175" s="1157"/>
      <c r="P175" s="1220">
        <v>0.3</v>
      </c>
      <c r="Q175" s="1182">
        <f t="shared" si="15"/>
        <v>6</v>
      </c>
      <c r="S175" s="1158" t="s">
        <v>4337</v>
      </c>
      <c r="T175" s="1159"/>
      <c r="U175" s="1216">
        <v>0.45</v>
      </c>
      <c r="V175" s="1185">
        <f t="shared" si="18"/>
        <v>9</v>
      </c>
    </row>
    <row r="176" ht="16" customHeight="1" spans="2:17">
      <c r="B176" s="1277" t="s">
        <v>4338</v>
      </c>
      <c r="C176" s="1289"/>
      <c r="D176" s="1220">
        <v>49.95</v>
      </c>
      <c r="E176" s="1182" t="s">
        <v>4229</v>
      </c>
      <c r="G176" s="1154" t="s">
        <v>4339</v>
      </c>
      <c r="H176" s="1155"/>
      <c r="I176" s="1155"/>
      <c r="J176" s="1161">
        <v>80</v>
      </c>
      <c r="K176" s="1181">
        <f t="shared" si="24"/>
        <v>1600</v>
      </c>
      <c r="M176" s="1154" t="s">
        <v>4340</v>
      </c>
      <c r="N176" s="1155"/>
      <c r="O176" s="1155"/>
      <c r="P176" s="1161">
        <v>3.25</v>
      </c>
      <c r="Q176" s="1181">
        <f t="shared" si="15"/>
        <v>65</v>
      </c>
    </row>
    <row r="177" ht="16" customHeight="1" spans="2:22">
      <c r="B177" s="1276" t="s">
        <v>4341</v>
      </c>
      <c r="C177" s="1160"/>
      <c r="D177" s="1161">
        <v>15.75</v>
      </c>
      <c r="E177" s="1181">
        <f>D177*20</f>
        <v>315</v>
      </c>
      <c r="G177" s="1156" t="s">
        <v>4342</v>
      </c>
      <c r="H177" s="1157"/>
      <c r="I177" s="1157"/>
      <c r="J177" s="1220" t="s">
        <v>4343</v>
      </c>
      <c r="K177" s="1305" t="s">
        <v>4344</v>
      </c>
      <c r="M177" s="1156" t="s">
        <v>4345</v>
      </c>
      <c r="N177" s="1157"/>
      <c r="O177" s="1157"/>
      <c r="P177" s="1220">
        <v>2.95</v>
      </c>
      <c r="Q177" s="1182">
        <f t="shared" si="15"/>
        <v>59</v>
      </c>
      <c r="S177" s="1150" t="s">
        <v>4346</v>
      </c>
      <c r="T177" s="1151"/>
      <c r="U177" s="1151"/>
      <c r="V177" s="1179"/>
    </row>
    <row r="178" ht="16" customHeight="1" spans="2:22">
      <c r="B178" s="1277" t="s">
        <v>4347</v>
      </c>
      <c r="C178" s="1289"/>
      <c r="D178" s="1220">
        <v>1.25</v>
      </c>
      <c r="E178" s="1182" t="s">
        <v>4229</v>
      </c>
      <c r="G178" s="148" t="s">
        <v>4348</v>
      </c>
      <c r="H178" s="1303"/>
      <c r="I178" s="1303"/>
      <c r="J178" s="1161">
        <v>199</v>
      </c>
      <c r="K178" s="1181">
        <f t="shared" si="24"/>
        <v>3980</v>
      </c>
      <c r="M178" s="1183" t="s">
        <v>4349</v>
      </c>
      <c r="N178" s="1184"/>
      <c r="O178" s="1184"/>
      <c r="P178" s="1240">
        <v>1.35</v>
      </c>
      <c r="Q178" s="1194">
        <f t="shared" si="15"/>
        <v>27</v>
      </c>
      <c r="S178" s="1152" t="s">
        <v>1330</v>
      </c>
      <c r="T178" s="1153"/>
      <c r="U178" s="1153" t="s">
        <v>3755</v>
      </c>
      <c r="V178" s="1266" t="s">
        <v>3942</v>
      </c>
    </row>
    <row r="179" ht="16" customHeight="1" spans="2:22">
      <c r="B179" s="1282" t="s">
        <v>4350</v>
      </c>
      <c r="C179" s="1295"/>
      <c r="D179" s="1240">
        <v>0.05</v>
      </c>
      <c r="E179" s="1194">
        <f>D179*20</f>
        <v>1</v>
      </c>
      <c r="G179" s="164" t="s">
        <v>4351</v>
      </c>
      <c r="H179" s="1214"/>
      <c r="I179" s="1214"/>
      <c r="J179" s="1220">
        <v>295</v>
      </c>
      <c r="K179" s="1182">
        <f t="shared" si="24"/>
        <v>5900</v>
      </c>
      <c r="M179" s="1160"/>
      <c r="N179" s="1160"/>
      <c r="O179" s="1160"/>
      <c r="P179" s="1160"/>
      <c r="Q179" s="1160"/>
      <c r="S179" s="1154" t="s">
        <v>4352</v>
      </c>
      <c r="T179" s="1155"/>
      <c r="U179" s="1161">
        <v>0.15</v>
      </c>
      <c r="V179" s="1181">
        <f t="shared" ref="V179:V202" si="25">U179*20</f>
        <v>3</v>
      </c>
    </row>
    <row r="180" ht="16" customHeight="1" spans="7:22">
      <c r="G180" s="1248" t="s">
        <v>4353</v>
      </c>
      <c r="H180" s="1249"/>
      <c r="I180" s="1249"/>
      <c r="J180" s="1303">
        <v>395</v>
      </c>
      <c r="K180" s="1181">
        <f t="shared" si="24"/>
        <v>7900</v>
      </c>
      <c r="M180" s="1150" t="s">
        <v>3917</v>
      </c>
      <c r="N180" s="1151"/>
      <c r="O180" s="1151"/>
      <c r="P180" s="1151"/>
      <c r="Q180" s="1179"/>
      <c r="S180" s="1253" t="s">
        <v>4354</v>
      </c>
      <c r="T180" s="1254"/>
      <c r="U180" s="1220">
        <v>0.33</v>
      </c>
      <c r="V180" s="1182">
        <f t="shared" si="25"/>
        <v>6.6</v>
      </c>
    </row>
    <row r="181" ht="16" customHeight="1" spans="7:22">
      <c r="G181" s="1255" t="s">
        <v>4355</v>
      </c>
      <c r="H181" s="1256"/>
      <c r="I181" s="1256"/>
      <c r="J181" s="1256"/>
      <c r="K181" s="1263"/>
      <c r="M181" s="1152" t="s">
        <v>1330</v>
      </c>
      <c r="N181" s="1153"/>
      <c r="O181" s="1153"/>
      <c r="P181" s="1153" t="s">
        <v>3755</v>
      </c>
      <c r="Q181" s="1266" t="s">
        <v>3942</v>
      </c>
      <c r="S181" s="1154" t="s">
        <v>4356</v>
      </c>
      <c r="T181" s="1155"/>
      <c r="U181" s="1161">
        <v>5.45</v>
      </c>
      <c r="V181" s="1181">
        <f t="shared" si="25"/>
        <v>109</v>
      </c>
    </row>
    <row r="182" ht="16" customHeight="1" spans="7:22">
      <c r="G182" s="1154" t="s">
        <v>4357</v>
      </c>
      <c r="H182" s="1155"/>
      <c r="I182" s="1155"/>
      <c r="J182" s="1161">
        <v>10</v>
      </c>
      <c r="K182" s="1181">
        <f t="shared" si="24"/>
        <v>200</v>
      </c>
      <c r="M182" s="1154" t="s">
        <v>4358</v>
      </c>
      <c r="N182" s="1155"/>
      <c r="O182" s="1155"/>
      <c r="P182" s="1161">
        <v>0.15</v>
      </c>
      <c r="Q182" s="1181">
        <f>P182*20</f>
        <v>3</v>
      </c>
      <c r="S182" s="1156" t="s">
        <v>4359</v>
      </c>
      <c r="T182" s="1157"/>
      <c r="U182" s="1220">
        <v>1.3</v>
      </c>
      <c r="V182" s="1182">
        <f t="shared" si="25"/>
        <v>26</v>
      </c>
    </row>
    <row r="183" ht="16" customHeight="1" spans="7:22">
      <c r="G183" s="1156" t="s">
        <v>4360</v>
      </c>
      <c r="H183" s="1157"/>
      <c r="I183" s="1157"/>
      <c r="J183" s="1220">
        <v>19.95</v>
      </c>
      <c r="K183" s="1182">
        <f t="shared" si="24"/>
        <v>399</v>
      </c>
      <c r="M183" s="1156" t="s">
        <v>4361</v>
      </c>
      <c r="N183" s="1157"/>
      <c r="O183" s="1157"/>
      <c r="P183" s="1220">
        <v>0.05</v>
      </c>
      <c r="Q183" s="1182">
        <f>P183*20</f>
        <v>1</v>
      </c>
      <c r="S183" s="148" t="s">
        <v>4362</v>
      </c>
      <c r="T183" s="1303"/>
      <c r="U183" s="1161">
        <v>14.1</v>
      </c>
      <c r="V183" s="1181">
        <f t="shared" si="25"/>
        <v>282</v>
      </c>
    </row>
    <row r="184" ht="16" customHeight="1" spans="7:22">
      <c r="G184" s="1154" t="s">
        <v>4363</v>
      </c>
      <c r="H184" s="1155"/>
      <c r="I184" s="1155"/>
      <c r="J184" s="1161">
        <v>5</v>
      </c>
      <c r="K184" s="1181">
        <f t="shared" si="24"/>
        <v>100</v>
      </c>
      <c r="M184" s="1154" t="s">
        <v>4364</v>
      </c>
      <c r="N184" s="1155"/>
      <c r="O184" s="1155"/>
      <c r="P184" s="1161">
        <v>1</v>
      </c>
      <c r="Q184" s="1181">
        <f>P184*20</f>
        <v>20</v>
      </c>
      <c r="S184" s="1156" t="s">
        <v>4365</v>
      </c>
      <c r="T184" s="1157"/>
      <c r="U184" s="1220">
        <v>0.55</v>
      </c>
      <c r="V184" s="1182">
        <f t="shared" si="25"/>
        <v>11</v>
      </c>
    </row>
    <row r="185" ht="16" customHeight="1" spans="7:22">
      <c r="G185" s="1156" t="s">
        <v>4366</v>
      </c>
      <c r="H185" s="1157"/>
      <c r="I185" s="1157"/>
      <c r="J185" s="1220">
        <v>77</v>
      </c>
      <c r="K185" s="1182">
        <f t="shared" si="24"/>
        <v>1540</v>
      </c>
      <c r="M185" s="1156" t="s">
        <v>4367</v>
      </c>
      <c r="N185" s="1157"/>
      <c r="O185" s="1157"/>
      <c r="P185" s="1220">
        <v>4</v>
      </c>
      <c r="Q185" s="1182">
        <f>P185*20</f>
        <v>80</v>
      </c>
      <c r="S185" s="1154" t="s">
        <v>4368</v>
      </c>
      <c r="T185" s="1155"/>
      <c r="U185" s="1161">
        <v>6.75</v>
      </c>
      <c r="V185" s="1181">
        <f t="shared" si="25"/>
        <v>135</v>
      </c>
    </row>
    <row r="186" ht="16" customHeight="1" spans="7:22">
      <c r="G186" s="1154" t="s">
        <v>4369</v>
      </c>
      <c r="H186" s="1155"/>
      <c r="I186" s="1155"/>
      <c r="J186" s="1161">
        <v>49.5</v>
      </c>
      <c r="K186" s="1181">
        <f t="shared" si="24"/>
        <v>990</v>
      </c>
      <c r="M186" s="1154" t="s">
        <v>4370</v>
      </c>
      <c r="N186" s="1155"/>
      <c r="O186" s="1155"/>
      <c r="P186" s="1161">
        <v>10</v>
      </c>
      <c r="Q186" s="1181">
        <f>P186*20</f>
        <v>200</v>
      </c>
      <c r="S186" s="1156" t="s">
        <v>4371</v>
      </c>
      <c r="T186" s="1157"/>
      <c r="U186" s="1220">
        <v>4.15</v>
      </c>
      <c r="V186" s="1182">
        <f t="shared" si="25"/>
        <v>83</v>
      </c>
    </row>
    <row r="187" ht="16" customHeight="1" spans="7:22">
      <c r="G187" s="1156" t="s">
        <v>4372</v>
      </c>
      <c r="H187" s="1157"/>
      <c r="I187" s="1157"/>
      <c r="J187" s="1220">
        <v>48</v>
      </c>
      <c r="K187" s="1182">
        <f t="shared" si="24"/>
        <v>960</v>
      </c>
      <c r="M187" s="1255" t="s">
        <v>4373</v>
      </c>
      <c r="N187" s="1256"/>
      <c r="O187" s="1256"/>
      <c r="P187" s="1256"/>
      <c r="Q187" s="1263"/>
      <c r="S187" s="1154" t="s">
        <v>4374</v>
      </c>
      <c r="T187" s="1155"/>
      <c r="U187" s="1161">
        <v>1.65</v>
      </c>
      <c r="V187" s="1181">
        <f t="shared" si="25"/>
        <v>33</v>
      </c>
    </row>
    <row r="188" ht="16" customHeight="1" spans="7:22">
      <c r="G188" s="1183" t="s">
        <v>4375</v>
      </c>
      <c r="H188" s="1184"/>
      <c r="I188" s="1184"/>
      <c r="J188" s="1240">
        <v>125</v>
      </c>
      <c r="K188" s="1194">
        <f t="shared" si="24"/>
        <v>2500</v>
      </c>
      <c r="M188" s="1154" t="s">
        <v>4376</v>
      </c>
      <c r="N188" s="1155"/>
      <c r="O188" s="1155"/>
      <c r="P188" s="1161">
        <v>98</v>
      </c>
      <c r="Q188" s="1307" t="s">
        <v>4229</v>
      </c>
      <c r="S188" s="1156" t="s">
        <v>4377</v>
      </c>
      <c r="T188" s="1157"/>
      <c r="U188" s="1220">
        <v>4.82</v>
      </c>
      <c r="V188" s="1182">
        <f t="shared" si="25"/>
        <v>96.4</v>
      </c>
    </row>
    <row r="189" ht="16" customHeight="1" spans="13:22">
      <c r="M189" s="1156" t="s">
        <v>4378</v>
      </c>
      <c r="N189" s="1157"/>
      <c r="O189" s="1157"/>
      <c r="P189" s="1220">
        <v>0.75</v>
      </c>
      <c r="Q189" s="1307"/>
      <c r="S189" s="148" t="s">
        <v>4379</v>
      </c>
      <c r="T189" s="1303"/>
      <c r="U189" s="1161">
        <v>9.25</v>
      </c>
      <c r="V189" s="1181">
        <f t="shared" si="25"/>
        <v>185</v>
      </c>
    </row>
    <row r="190" ht="16" customHeight="1" spans="7:22">
      <c r="G190" s="1150" t="s">
        <v>408</v>
      </c>
      <c r="H190" s="1151"/>
      <c r="I190" s="1151"/>
      <c r="J190" s="1151"/>
      <c r="K190" s="1179"/>
      <c r="M190" s="1154" t="s">
        <v>4380</v>
      </c>
      <c r="N190" s="1155"/>
      <c r="O190" s="1155"/>
      <c r="P190" s="1249" t="s">
        <v>4381</v>
      </c>
      <c r="Q190" s="1307"/>
      <c r="S190" s="1219" t="s">
        <v>4382</v>
      </c>
      <c r="T190" s="1220"/>
      <c r="U190" s="1220">
        <v>6.15</v>
      </c>
      <c r="V190" s="1182">
        <f t="shared" si="25"/>
        <v>123</v>
      </c>
    </row>
    <row r="191" ht="16" customHeight="1" spans="7:22">
      <c r="G191" s="1152" t="s">
        <v>1330</v>
      </c>
      <c r="H191" s="1153"/>
      <c r="I191" s="1153"/>
      <c r="J191" s="1153" t="s">
        <v>3755</v>
      </c>
      <c r="K191" s="1266" t="s">
        <v>3942</v>
      </c>
      <c r="M191" s="1156" t="s">
        <v>4383</v>
      </c>
      <c r="N191" s="1157"/>
      <c r="O191" s="1157"/>
      <c r="P191" s="1220">
        <v>0.38</v>
      </c>
      <c r="Q191" s="1307"/>
      <c r="S191" s="1213" t="s">
        <v>4384</v>
      </c>
      <c r="T191" s="1161"/>
      <c r="U191" s="1161">
        <v>5.95</v>
      </c>
      <c r="V191" s="1181">
        <f t="shared" si="25"/>
        <v>119</v>
      </c>
    </row>
    <row r="192" ht="16" customHeight="1" spans="7:22">
      <c r="G192" s="1154" t="s">
        <v>4385</v>
      </c>
      <c r="H192" s="1155"/>
      <c r="I192" s="1155"/>
      <c r="J192" s="1161" t="s">
        <v>4386</v>
      </c>
      <c r="K192" s="1306" t="s">
        <v>4387</v>
      </c>
      <c r="M192" s="1154" t="s">
        <v>4388</v>
      </c>
      <c r="N192" s="1155"/>
      <c r="O192" s="1155"/>
      <c r="P192" s="1161">
        <v>4.95</v>
      </c>
      <c r="Q192" s="1307"/>
      <c r="S192" s="1156" t="s">
        <v>4389</v>
      </c>
      <c r="T192" s="1157"/>
      <c r="U192" s="1220">
        <v>3.75</v>
      </c>
      <c r="V192" s="1182">
        <f t="shared" si="25"/>
        <v>75</v>
      </c>
    </row>
    <row r="193" ht="16" customHeight="1" spans="7:22">
      <c r="G193" s="1156" t="s">
        <v>4390</v>
      </c>
      <c r="H193" s="1157"/>
      <c r="I193" s="1157"/>
      <c r="J193" s="1220" t="s">
        <v>4391</v>
      </c>
      <c r="K193" s="1305" t="s">
        <v>4392</v>
      </c>
      <c r="M193" s="1156" t="s">
        <v>4393</v>
      </c>
      <c r="N193" s="1157"/>
      <c r="O193" s="1157"/>
      <c r="P193" s="1247" t="s">
        <v>4394</v>
      </c>
      <c r="Q193" s="1307"/>
      <c r="S193" s="1154" t="s">
        <v>4395</v>
      </c>
      <c r="T193" s="1155"/>
      <c r="U193" s="1161">
        <v>1.68</v>
      </c>
      <c r="V193" s="1181">
        <f t="shared" si="25"/>
        <v>33.6</v>
      </c>
    </row>
    <row r="194" ht="16" customHeight="1" spans="7:22">
      <c r="G194" s="1183" t="s">
        <v>4396</v>
      </c>
      <c r="H194" s="1184"/>
      <c r="I194" s="1184"/>
      <c r="J194" s="1240">
        <v>30</v>
      </c>
      <c r="K194" s="1194">
        <f t="shared" ref="K194" si="26">J194*20</f>
        <v>600</v>
      </c>
      <c r="M194" s="1154" t="s">
        <v>4397</v>
      </c>
      <c r="N194" s="1155"/>
      <c r="O194" s="1155"/>
      <c r="P194" s="1161">
        <v>140</v>
      </c>
      <c r="Q194" s="1307"/>
      <c r="S194" s="1253" t="s">
        <v>4398</v>
      </c>
      <c r="T194" s="1254"/>
      <c r="U194" s="1220">
        <v>7.4</v>
      </c>
      <c r="V194" s="1182">
        <f t="shared" si="25"/>
        <v>148</v>
      </c>
    </row>
    <row r="195" ht="16" customHeight="1" spans="13:22">
      <c r="M195" s="1156" t="s">
        <v>4399</v>
      </c>
      <c r="N195" s="1157"/>
      <c r="O195" s="1157"/>
      <c r="P195" s="1220">
        <v>335</v>
      </c>
      <c r="Q195" s="1307"/>
      <c r="S195" s="1154" t="s">
        <v>4400</v>
      </c>
      <c r="T195" s="1155"/>
      <c r="U195" s="1161">
        <v>0.59</v>
      </c>
      <c r="V195" s="1181">
        <f t="shared" si="25"/>
        <v>11.8</v>
      </c>
    </row>
    <row r="196" ht="16" customHeight="1" spans="13:22">
      <c r="M196" s="1154" t="s">
        <v>4401</v>
      </c>
      <c r="N196" s="1155"/>
      <c r="O196" s="1155"/>
      <c r="P196" s="1161">
        <v>65</v>
      </c>
      <c r="Q196" s="1307"/>
      <c r="S196" s="1253" t="s">
        <v>4402</v>
      </c>
      <c r="T196" s="1254"/>
      <c r="U196" s="1220">
        <v>0.98</v>
      </c>
      <c r="V196" s="1182">
        <f t="shared" si="25"/>
        <v>19.6</v>
      </c>
    </row>
    <row r="197" ht="16" customHeight="1" spans="13:22">
      <c r="M197" s="1255" t="s">
        <v>4403</v>
      </c>
      <c r="N197" s="1256"/>
      <c r="O197" s="1256"/>
      <c r="P197" s="1256"/>
      <c r="Q197" s="1263"/>
      <c r="S197" s="1154" t="s">
        <v>4404</v>
      </c>
      <c r="T197" s="1155"/>
      <c r="U197" s="1161">
        <v>0.59</v>
      </c>
      <c r="V197" s="1181">
        <f t="shared" si="25"/>
        <v>11.8</v>
      </c>
    </row>
    <row r="198" ht="16" customHeight="1" spans="13:22">
      <c r="M198" s="1154" t="s">
        <v>4405</v>
      </c>
      <c r="N198" s="1155"/>
      <c r="O198" s="1155"/>
      <c r="P198" s="1161">
        <v>7.45</v>
      </c>
      <c r="Q198" s="1181">
        <f t="shared" ref="Q198:Q206" si="27">P198*20</f>
        <v>149</v>
      </c>
      <c r="S198" s="1156" t="s">
        <v>4406</v>
      </c>
      <c r="T198" s="1157"/>
      <c r="U198" s="1220">
        <v>1.39</v>
      </c>
      <c r="V198" s="1182">
        <f t="shared" si="25"/>
        <v>27.8</v>
      </c>
    </row>
    <row r="199" ht="16" customHeight="1" spans="13:22">
      <c r="M199" s="1156" t="s">
        <v>4407</v>
      </c>
      <c r="N199" s="1157"/>
      <c r="O199" s="1157"/>
      <c r="P199" s="1220">
        <v>69.75</v>
      </c>
      <c r="Q199" s="1182">
        <f t="shared" si="27"/>
        <v>1395</v>
      </c>
      <c r="S199" s="1257" t="s">
        <v>4408</v>
      </c>
      <c r="T199" s="1258"/>
      <c r="U199" s="1161">
        <v>23.95</v>
      </c>
      <c r="V199" s="1181">
        <f t="shared" si="25"/>
        <v>479</v>
      </c>
    </row>
    <row r="200" ht="16" customHeight="1" spans="8:22">
      <c r="H200" s="1271"/>
      <c r="M200" s="1154" t="s">
        <v>4409</v>
      </c>
      <c r="N200" s="1155"/>
      <c r="O200" s="1155"/>
      <c r="P200" s="1161">
        <v>8.95</v>
      </c>
      <c r="Q200" s="1181">
        <f t="shared" si="27"/>
        <v>179</v>
      </c>
      <c r="S200" s="1259" t="s">
        <v>4410</v>
      </c>
      <c r="T200" s="1260"/>
      <c r="U200" s="1220">
        <v>2.3</v>
      </c>
      <c r="V200" s="1182">
        <f t="shared" si="25"/>
        <v>46</v>
      </c>
    </row>
    <row r="201" ht="16" customHeight="1" spans="13:22">
      <c r="M201" s="1156" t="s">
        <v>4411</v>
      </c>
      <c r="N201" s="1157"/>
      <c r="O201" s="1157"/>
      <c r="P201" s="1220">
        <v>2.75</v>
      </c>
      <c r="Q201" s="1182">
        <f t="shared" si="27"/>
        <v>55</v>
      </c>
      <c r="S201" s="1154" t="s">
        <v>4412</v>
      </c>
      <c r="T201" s="1155"/>
      <c r="U201" s="1161">
        <v>1.99</v>
      </c>
      <c r="V201" s="1181">
        <f t="shared" si="25"/>
        <v>39.8</v>
      </c>
    </row>
    <row r="202" ht="16" customHeight="1" spans="13:22">
      <c r="M202" s="1154" t="s">
        <v>4413</v>
      </c>
      <c r="N202" s="1155"/>
      <c r="O202" s="1155"/>
      <c r="P202" s="1161">
        <v>9.95</v>
      </c>
      <c r="Q202" s="1181">
        <f t="shared" si="27"/>
        <v>199</v>
      </c>
      <c r="S202" s="1317" t="s">
        <v>4414</v>
      </c>
      <c r="T202" s="1318"/>
      <c r="U202" s="1216">
        <v>1.8</v>
      </c>
      <c r="V202" s="1185">
        <f t="shared" si="25"/>
        <v>36</v>
      </c>
    </row>
    <row r="203" ht="16" customHeight="1" spans="13:17">
      <c r="M203" s="1156" t="s">
        <v>4415</v>
      </c>
      <c r="N203" s="1157"/>
      <c r="O203" s="1157"/>
      <c r="P203" s="1220">
        <v>14.95</v>
      </c>
      <c r="Q203" s="1182">
        <f t="shared" si="27"/>
        <v>299</v>
      </c>
    </row>
    <row r="204" ht="16" customHeight="1" spans="13:17">
      <c r="M204" s="1154" t="s">
        <v>4416</v>
      </c>
      <c r="N204" s="1155"/>
      <c r="O204" s="1155"/>
      <c r="P204" s="1161">
        <v>3.45</v>
      </c>
      <c r="Q204" s="1181">
        <f t="shared" si="27"/>
        <v>69</v>
      </c>
    </row>
    <row r="205" ht="16" customHeight="1" spans="13:17">
      <c r="M205" s="1156" t="s">
        <v>4417</v>
      </c>
      <c r="N205" s="1157"/>
      <c r="O205" s="1157"/>
      <c r="P205" s="1220">
        <v>127</v>
      </c>
      <c r="Q205" s="1182">
        <f t="shared" si="27"/>
        <v>2540</v>
      </c>
    </row>
    <row r="206" ht="16" customHeight="1" spans="13:17">
      <c r="M206" s="1183" t="s">
        <v>4418</v>
      </c>
      <c r="N206" s="1184"/>
      <c r="O206" s="1184"/>
      <c r="P206" s="1240">
        <v>447</v>
      </c>
      <c r="Q206" s="1194">
        <f t="shared" si="27"/>
        <v>8940</v>
      </c>
    </row>
    <row r="207" ht="16" customHeight="1"/>
    <row r="208" ht="16" customHeight="1"/>
    <row r="209" ht="16" customHeight="1"/>
    <row r="210" ht="16" customHeight="1"/>
    <row r="211" ht="16" customHeight="1"/>
    <row r="212" ht="16" customHeight="1"/>
    <row r="213" ht="16" customHeight="1"/>
    <row r="214" ht="16" customHeight="1"/>
    <row r="215" ht="16" customHeight="1"/>
    <row r="216" ht="16" customHeight="1" spans="19:22">
      <c r="S216" s="1243"/>
      <c r="T216" s="1243"/>
      <c r="U216" s="1243"/>
      <c r="V216" s="1160"/>
    </row>
    <row r="217" ht="16" customHeight="1" spans="19:22">
      <c r="S217" s="1243"/>
      <c r="T217" s="1243"/>
      <c r="U217" s="1243"/>
      <c r="V217" s="1160"/>
    </row>
    <row r="218" ht="16" customHeight="1" spans="19:22">
      <c r="S218" s="1243"/>
      <c r="T218" s="1243"/>
      <c r="U218" s="1243"/>
      <c r="V218" s="1160"/>
    </row>
    <row r="219" ht="16" customHeight="1" spans="19:22">
      <c r="S219" s="1243"/>
      <c r="T219" s="1243"/>
      <c r="U219" s="1243"/>
      <c r="V219" s="1160"/>
    </row>
    <row r="220" ht="16" customHeight="1"/>
    <row r="221" ht="16" customHeight="1"/>
    <row r="222" ht="16" customHeight="1"/>
    <row r="223" ht="16" customHeight="1"/>
    <row r="224" ht="16" customHeight="1"/>
    <row r="225" ht="16" customHeight="1"/>
  </sheetData>
  <sheetProtection sheet="1" selectLockedCells="1" objects="1"/>
  <mergeCells count="754">
    <mergeCell ref="V5:AB5"/>
    <mergeCell ref="E6:K6"/>
    <mergeCell ref="M6:S6"/>
    <mergeCell ref="G7:H7"/>
    <mergeCell ref="I7:J7"/>
    <mergeCell ref="O7:P7"/>
    <mergeCell ref="Q7:R7"/>
    <mergeCell ref="G8:H8"/>
    <mergeCell ref="I8:J8"/>
    <mergeCell ref="O8:P8"/>
    <mergeCell ref="Q8:R8"/>
    <mergeCell ref="G9:H9"/>
    <mergeCell ref="I9:J9"/>
    <mergeCell ref="O9:P9"/>
    <mergeCell ref="Q9:R9"/>
    <mergeCell ref="G10:H10"/>
    <mergeCell ref="I10:J10"/>
    <mergeCell ref="O10:P10"/>
    <mergeCell ref="Q10:R10"/>
    <mergeCell ref="G11:H11"/>
    <mergeCell ref="I11:J11"/>
    <mergeCell ref="O11:P11"/>
    <mergeCell ref="Q11:R11"/>
    <mergeCell ref="G12:H12"/>
    <mergeCell ref="I12:J12"/>
    <mergeCell ref="O12:P12"/>
    <mergeCell ref="Q12:R12"/>
    <mergeCell ref="G13:H13"/>
    <mergeCell ref="I13:J13"/>
    <mergeCell ref="O13:P13"/>
    <mergeCell ref="Q13:R13"/>
    <mergeCell ref="F15:J15"/>
    <mergeCell ref="N15:R15"/>
    <mergeCell ref="F16:J16"/>
    <mergeCell ref="N16:R16"/>
    <mergeCell ref="F17:J17"/>
    <mergeCell ref="N17:R17"/>
    <mergeCell ref="F18:J18"/>
    <mergeCell ref="N18:R18"/>
    <mergeCell ref="F19:J19"/>
    <mergeCell ref="N19:R19"/>
    <mergeCell ref="F20:J20"/>
    <mergeCell ref="N20:R20"/>
    <mergeCell ref="F21:J21"/>
    <mergeCell ref="N21:R21"/>
    <mergeCell ref="F22:J22"/>
    <mergeCell ref="F23:J23"/>
    <mergeCell ref="F24:J24"/>
    <mergeCell ref="F25:J25"/>
    <mergeCell ref="N25:R25"/>
    <mergeCell ref="F26:J26"/>
    <mergeCell ref="N26:R26"/>
    <mergeCell ref="B32:AA32"/>
    <mergeCell ref="B33:E33"/>
    <mergeCell ref="G33:K33"/>
    <mergeCell ref="M33:P33"/>
    <mergeCell ref="R33:T33"/>
    <mergeCell ref="V33:AA33"/>
    <mergeCell ref="B34:D34"/>
    <mergeCell ref="G34:J34"/>
    <mergeCell ref="M34:O34"/>
    <mergeCell ref="R34:S34"/>
    <mergeCell ref="V34:Y34"/>
    <mergeCell ref="B35:D35"/>
    <mergeCell ref="G35:J35"/>
    <mergeCell ref="M35:O35"/>
    <mergeCell ref="R35:S35"/>
    <mergeCell ref="V35:Y35"/>
    <mergeCell ref="B36:D36"/>
    <mergeCell ref="G36:J36"/>
    <mergeCell ref="M36:O36"/>
    <mergeCell ref="R36:S36"/>
    <mergeCell ref="V36:Y36"/>
    <mergeCell ref="B37:D37"/>
    <mergeCell ref="G37:J37"/>
    <mergeCell ref="M37:O37"/>
    <mergeCell ref="R37:S37"/>
    <mergeCell ref="V37:Y37"/>
    <mergeCell ref="B38:D38"/>
    <mergeCell ref="G38:J38"/>
    <mergeCell ref="M38:O38"/>
    <mergeCell ref="R38:S38"/>
    <mergeCell ref="V38:Y38"/>
    <mergeCell ref="B39:D39"/>
    <mergeCell ref="G39:J39"/>
    <mergeCell ref="M39:O39"/>
    <mergeCell ref="R39:T39"/>
    <mergeCell ref="V39:Y39"/>
    <mergeCell ref="B40:D40"/>
    <mergeCell ref="G40:J40"/>
    <mergeCell ref="M40:O40"/>
    <mergeCell ref="R40:S40"/>
    <mergeCell ref="V40:Y40"/>
    <mergeCell ref="B41:D41"/>
    <mergeCell ref="G41:J41"/>
    <mergeCell ref="M41:O41"/>
    <mergeCell ref="R41:S41"/>
    <mergeCell ref="V41:Y41"/>
    <mergeCell ref="B42:D42"/>
    <mergeCell ref="G42:J42"/>
    <mergeCell ref="M42:O42"/>
    <mergeCell ref="R42:S42"/>
    <mergeCell ref="V42:Y42"/>
    <mergeCell ref="B43:D43"/>
    <mergeCell ref="G43:J43"/>
    <mergeCell ref="M43:O43"/>
    <mergeCell ref="R43:S43"/>
    <mergeCell ref="V43:Y43"/>
    <mergeCell ref="B44:D44"/>
    <mergeCell ref="G44:J44"/>
    <mergeCell ref="M44:O44"/>
    <mergeCell ref="R44:S44"/>
    <mergeCell ref="V44:Y44"/>
    <mergeCell ref="B45:D45"/>
    <mergeCell ref="M45:O45"/>
    <mergeCell ref="R45:S45"/>
    <mergeCell ref="V45:Y45"/>
    <mergeCell ref="B46:D46"/>
    <mergeCell ref="G46:K46"/>
    <mergeCell ref="M46:O46"/>
    <mergeCell ref="R46:S46"/>
    <mergeCell ref="V46:Y46"/>
    <mergeCell ref="B47:D47"/>
    <mergeCell ref="G47:J47"/>
    <mergeCell ref="M47:O47"/>
    <mergeCell ref="V47:Y47"/>
    <mergeCell ref="B48:D48"/>
    <mergeCell ref="G48:J48"/>
    <mergeCell ref="M48:O48"/>
    <mergeCell ref="R48:T48"/>
    <mergeCell ref="V48:Y48"/>
    <mergeCell ref="B49:D49"/>
    <mergeCell ref="G49:J49"/>
    <mergeCell ref="M49:O49"/>
    <mergeCell ref="R49:S49"/>
    <mergeCell ref="V49:Y49"/>
    <mergeCell ref="B50:D50"/>
    <mergeCell ref="G50:J50"/>
    <mergeCell ref="M50:O50"/>
    <mergeCell ref="R50:S50"/>
    <mergeCell ref="B51:D51"/>
    <mergeCell ref="G51:J51"/>
    <mergeCell ref="R51:S51"/>
    <mergeCell ref="V51:AA51"/>
    <mergeCell ref="B52:D52"/>
    <mergeCell ref="G52:J52"/>
    <mergeCell ref="M52:P52"/>
    <mergeCell ref="R52:S52"/>
    <mergeCell ref="V52:Y52"/>
    <mergeCell ref="Z52:AA52"/>
    <mergeCell ref="B53:C53"/>
    <mergeCell ref="G53:J53"/>
    <mergeCell ref="M53:O53"/>
    <mergeCell ref="R53:S53"/>
    <mergeCell ref="V53:Y53"/>
    <mergeCell ref="Z53:AA53"/>
    <mergeCell ref="B54:E54"/>
    <mergeCell ref="G54:J54"/>
    <mergeCell ref="M54:O54"/>
    <mergeCell ref="V54:Y54"/>
    <mergeCell ref="Z54:AA54"/>
    <mergeCell ref="B55:D55"/>
    <mergeCell ref="G55:J55"/>
    <mergeCell ref="M55:O55"/>
    <mergeCell ref="R55:T55"/>
    <mergeCell ref="V55:Y55"/>
    <mergeCell ref="Z55:AA55"/>
    <mergeCell ref="B56:D56"/>
    <mergeCell ref="G56:J56"/>
    <mergeCell ref="M56:O56"/>
    <mergeCell ref="R56:S56"/>
    <mergeCell ref="V56:Y56"/>
    <mergeCell ref="Z56:AA56"/>
    <mergeCell ref="B57:D57"/>
    <mergeCell ref="G57:J57"/>
    <mergeCell ref="R57:S57"/>
    <mergeCell ref="V57:Y57"/>
    <mergeCell ref="Z57:AA57"/>
    <mergeCell ref="B58:D58"/>
    <mergeCell ref="M58:P58"/>
    <mergeCell ref="R58:S58"/>
    <mergeCell ref="V58:Y58"/>
    <mergeCell ref="Z58:AA58"/>
    <mergeCell ref="B59:D59"/>
    <mergeCell ref="G59:K59"/>
    <mergeCell ref="M59:O59"/>
    <mergeCell ref="R59:S59"/>
    <mergeCell ref="V59:Y59"/>
    <mergeCell ref="Z59:AA59"/>
    <mergeCell ref="B60:D60"/>
    <mergeCell ref="G60:J60"/>
    <mergeCell ref="M60:O60"/>
    <mergeCell ref="R60:S60"/>
    <mergeCell ref="V60:Y60"/>
    <mergeCell ref="Z60:AA60"/>
    <mergeCell ref="B61:D61"/>
    <mergeCell ref="G61:J61"/>
    <mergeCell ref="M61:O61"/>
    <mergeCell ref="R61:S61"/>
    <mergeCell ref="V61:Y61"/>
    <mergeCell ref="Z61:AA61"/>
    <mergeCell ref="B62:D62"/>
    <mergeCell ref="G62:J62"/>
    <mergeCell ref="M62:O62"/>
    <mergeCell ref="R62:S62"/>
    <mergeCell ref="V62:Y62"/>
    <mergeCell ref="Z62:AA62"/>
    <mergeCell ref="B63:D63"/>
    <mergeCell ref="G63:J63"/>
    <mergeCell ref="M63:O63"/>
    <mergeCell ref="R63:S63"/>
    <mergeCell ref="V63:Y63"/>
    <mergeCell ref="Z63:AA63"/>
    <mergeCell ref="B64:D64"/>
    <mergeCell ref="G64:J64"/>
    <mergeCell ref="M64:O64"/>
    <mergeCell ref="R64:S64"/>
    <mergeCell ref="V64:Y64"/>
    <mergeCell ref="Z64:AA64"/>
    <mergeCell ref="B65:D65"/>
    <mergeCell ref="M65:O65"/>
    <mergeCell ref="R65:S65"/>
    <mergeCell ref="B66:D66"/>
    <mergeCell ref="G66:K66"/>
    <mergeCell ref="M66:O66"/>
    <mergeCell ref="R66:S66"/>
    <mergeCell ref="B67:D67"/>
    <mergeCell ref="G67:J67"/>
    <mergeCell ref="R67:S67"/>
    <mergeCell ref="B68:D68"/>
    <mergeCell ref="G68:J68"/>
    <mergeCell ref="M68:P68"/>
    <mergeCell ref="R68:S68"/>
    <mergeCell ref="B69:D69"/>
    <mergeCell ref="G69:J69"/>
    <mergeCell ref="M69:O69"/>
    <mergeCell ref="R69:S69"/>
    <mergeCell ref="B70:D70"/>
    <mergeCell ref="G70:J70"/>
    <mergeCell ref="M70:O70"/>
    <mergeCell ref="R70:S70"/>
    <mergeCell ref="B71:D71"/>
    <mergeCell ref="G71:J71"/>
    <mergeCell ref="M71:O71"/>
    <mergeCell ref="R71:S71"/>
    <mergeCell ref="B72:D72"/>
    <mergeCell ref="G72:J72"/>
    <mergeCell ref="M72:O72"/>
    <mergeCell ref="R72:S72"/>
    <mergeCell ref="M73:O73"/>
    <mergeCell ref="R73:S73"/>
    <mergeCell ref="M74:O74"/>
    <mergeCell ref="M75:O75"/>
    <mergeCell ref="B80:AA80"/>
    <mergeCell ref="B81:E81"/>
    <mergeCell ref="G81:K81"/>
    <mergeCell ref="M81:Q81"/>
    <mergeCell ref="S81:V81"/>
    <mergeCell ref="X81:AA81"/>
    <mergeCell ref="B82:C82"/>
    <mergeCell ref="G82:I82"/>
    <mergeCell ref="M82:O82"/>
    <mergeCell ref="S82:T82"/>
    <mergeCell ref="X82:Y82"/>
    <mergeCell ref="B83:C83"/>
    <mergeCell ref="G83:I83"/>
    <mergeCell ref="M83:O83"/>
    <mergeCell ref="S83:T83"/>
    <mergeCell ref="X83:Y83"/>
    <mergeCell ref="B84:C84"/>
    <mergeCell ref="G84:I84"/>
    <mergeCell ref="M84:O84"/>
    <mergeCell ref="S84:T84"/>
    <mergeCell ref="X84:Y84"/>
    <mergeCell ref="B85:C85"/>
    <mergeCell ref="G85:I85"/>
    <mergeCell ref="M85:O85"/>
    <mergeCell ref="S85:T85"/>
    <mergeCell ref="X85:Y85"/>
    <mergeCell ref="B86:C86"/>
    <mergeCell ref="G86:I86"/>
    <mergeCell ref="M86:O86"/>
    <mergeCell ref="S86:T86"/>
    <mergeCell ref="X86:Y86"/>
    <mergeCell ref="B87:C87"/>
    <mergeCell ref="G87:I87"/>
    <mergeCell ref="M87:O87"/>
    <mergeCell ref="S87:T87"/>
    <mergeCell ref="X87:Y87"/>
    <mergeCell ref="B88:C88"/>
    <mergeCell ref="G88:I88"/>
    <mergeCell ref="M88:O88"/>
    <mergeCell ref="S88:T88"/>
    <mergeCell ref="X88:Y88"/>
    <mergeCell ref="B89:C89"/>
    <mergeCell ref="G89:I89"/>
    <mergeCell ref="M89:O89"/>
    <mergeCell ref="X89:Y89"/>
    <mergeCell ref="B90:C90"/>
    <mergeCell ref="G90:I90"/>
    <mergeCell ref="M90:Q90"/>
    <mergeCell ref="S90:V90"/>
    <mergeCell ref="X90:Y90"/>
    <mergeCell ref="B91:C91"/>
    <mergeCell ref="G91:I91"/>
    <mergeCell ref="M91:O91"/>
    <mergeCell ref="S91:T91"/>
    <mergeCell ref="X91:Y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S96:T96"/>
    <mergeCell ref="X96:Y96"/>
    <mergeCell ref="B97:C97"/>
    <mergeCell ref="G97:I97"/>
    <mergeCell ref="M97:Q97"/>
    <mergeCell ref="S97:T97"/>
    <mergeCell ref="X97:Y97"/>
    <mergeCell ref="B98:C98"/>
    <mergeCell ref="G98:I98"/>
    <mergeCell ref="M98:O98"/>
    <mergeCell ref="S98:T98"/>
    <mergeCell ref="X98:Y98"/>
    <mergeCell ref="B99:C99"/>
    <mergeCell ref="G99:I99"/>
    <mergeCell ref="M99:O99"/>
    <mergeCell ref="S99:T99"/>
    <mergeCell ref="X99:Y99"/>
    <mergeCell ref="B100:C100"/>
    <mergeCell ref="G100:I100"/>
    <mergeCell ref="M100:O100"/>
    <mergeCell ref="S100:T100"/>
    <mergeCell ref="B101:C101"/>
    <mergeCell ref="G101:I101"/>
    <mergeCell ref="M101:O101"/>
    <mergeCell ref="S101:T101"/>
    <mergeCell ref="X101:AA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M106:O106"/>
    <mergeCell ref="S106:T106"/>
    <mergeCell ref="B107:C107"/>
    <mergeCell ref="G107:I107"/>
    <mergeCell ref="M107:O107"/>
    <mergeCell ref="S107:T107"/>
    <mergeCell ref="X107:AA107"/>
    <mergeCell ref="B108:C108"/>
    <mergeCell ref="G108:I108"/>
    <mergeCell ref="M108:O108"/>
    <mergeCell ref="S108:T108"/>
    <mergeCell ref="X108:Y108"/>
    <mergeCell ref="B109:C109"/>
    <mergeCell ref="G109:I109"/>
    <mergeCell ref="M109:O109"/>
    <mergeCell ref="S109:T109"/>
    <mergeCell ref="X109:Y109"/>
    <mergeCell ref="B110:C110"/>
    <mergeCell ref="G110:K110"/>
    <mergeCell ref="M110:O110"/>
    <mergeCell ref="S110:T110"/>
    <mergeCell ref="X110:Y110"/>
    <mergeCell ref="B111:C111"/>
    <mergeCell ref="G111:I111"/>
    <mergeCell ref="M111:O111"/>
    <mergeCell ref="S111:T111"/>
    <mergeCell ref="X111:Y111"/>
    <mergeCell ref="B112:C112"/>
    <mergeCell ref="G112:I112"/>
    <mergeCell ref="M112:O112"/>
    <mergeCell ref="X112:Y112"/>
    <mergeCell ref="B113:C113"/>
    <mergeCell ref="G113:I113"/>
    <mergeCell ref="M113:O113"/>
    <mergeCell ref="S113:V113"/>
    <mergeCell ref="X113:Y113"/>
    <mergeCell ref="B114:C114"/>
    <mergeCell ref="G114:K114"/>
    <mergeCell ref="M114:O114"/>
    <mergeCell ref="S114:T114"/>
    <mergeCell ref="X114:Y114"/>
    <mergeCell ref="B115:C115"/>
    <mergeCell ref="G115:I115"/>
    <mergeCell ref="M115:O115"/>
    <mergeCell ref="S115:T115"/>
    <mergeCell ref="X115:Y115"/>
    <mergeCell ref="G116:I116"/>
    <mergeCell ref="M116:O116"/>
    <mergeCell ref="S116:T116"/>
    <mergeCell ref="X116:Y116"/>
    <mergeCell ref="B117:E117"/>
    <mergeCell ref="G117:I117"/>
    <mergeCell ref="M117:O117"/>
    <mergeCell ref="S117:T117"/>
    <mergeCell ref="X117:Y117"/>
    <mergeCell ref="B118:C118"/>
    <mergeCell ref="G118:K118"/>
    <mergeCell ref="S118:T118"/>
    <mergeCell ref="B119:C119"/>
    <mergeCell ref="G119:I119"/>
    <mergeCell ref="M119:Q119"/>
    <mergeCell ref="X119:AA119"/>
    <mergeCell ref="B120:C120"/>
    <mergeCell ref="G120:I120"/>
    <mergeCell ref="M120:O120"/>
    <mergeCell ref="S120:V120"/>
    <mergeCell ref="X120:Z120"/>
    <mergeCell ref="B121:C121"/>
    <mergeCell ref="G121:I121"/>
    <mergeCell ref="M121:O121"/>
    <mergeCell ref="S121:T121"/>
    <mergeCell ref="X121:Z121"/>
    <mergeCell ref="B122:C122"/>
    <mergeCell ref="M122:O122"/>
    <mergeCell ref="S122:T122"/>
    <mergeCell ref="X122:Z122"/>
    <mergeCell ref="B123:C123"/>
    <mergeCell ref="G123:K123"/>
    <mergeCell ref="M123:O123"/>
    <mergeCell ref="S123:T123"/>
    <mergeCell ref="X123:Z123"/>
    <mergeCell ref="B124:C124"/>
    <mergeCell ref="G124:J124"/>
    <mergeCell ref="M124:O124"/>
    <mergeCell ref="S124:T124"/>
    <mergeCell ref="X124:Z124"/>
    <mergeCell ref="B125:C125"/>
    <mergeCell ref="G125:J125"/>
    <mergeCell ref="M125:O125"/>
    <mergeCell ref="S125:T125"/>
    <mergeCell ref="X125:Z125"/>
    <mergeCell ref="B126:C126"/>
    <mergeCell ref="G126:J126"/>
    <mergeCell ref="M126:O126"/>
    <mergeCell ref="S126:T126"/>
    <mergeCell ref="X126:Z126"/>
    <mergeCell ref="B127:C127"/>
    <mergeCell ref="G127:J127"/>
    <mergeCell ref="M127:O127"/>
    <mergeCell ref="S127:T127"/>
    <mergeCell ref="X127:Z127"/>
    <mergeCell ref="B128:C128"/>
    <mergeCell ref="G128:J128"/>
    <mergeCell ref="M128:O128"/>
    <mergeCell ref="S128:T128"/>
    <mergeCell ref="X128:Z128"/>
    <mergeCell ref="B129:C129"/>
    <mergeCell ref="G129:J129"/>
    <mergeCell ref="M129:O129"/>
    <mergeCell ref="S129:T129"/>
    <mergeCell ref="X129:Z129"/>
    <mergeCell ref="B130:C130"/>
    <mergeCell ref="G130:J130"/>
    <mergeCell ref="M130:O130"/>
    <mergeCell ref="S130:T130"/>
    <mergeCell ref="X130:Z130"/>
    <mergeCell ref="B131:C131"/>
    <mergeCell ref="G131:J131"/>
    <mergeCell ref="M131:O131"/>
    <mergeCell ref="S131:T131"/>
    <mergeCell ref="B132:C132"/>
    <mergeCell ref="G132:J132"/>
    <mergeCell ref="M132:O132"/>
    <mergeCell ref="S132:T132"/>
    <mergeCell ref="B133:C133"/>
    <mergeCell ref="G133:J133"/>
    <mergeCell ref="S133:T133"/>
    <mergeCell ref="B134:C134"/>
    <mergeCell ref="G134:J134"/>
    <mergeCell ref="M134:Q134"/>
    <mergeCell ref="S134:T134"/>
    <mergeCell ref="B135:C135"/>
    <mergeCell ref="G135:J135"/>
    <mergeCell ref="M135:O135"/>
    <mergeCell ref="S135:T135"/>
    <mergeCell ref="B136:C136"/>
    <mergeCell ref="G136:J136"/>
    <mergeCell ref="M136:O136"/>
    <mergeCell ref="S136:T136"/>
    <mergeCell ref="B137:C137"/>
    <mergeCell ref="G137:I137"/>
    <mergeCell ref="M137:O137"/>
    <mergeCell ref="S137:T137"/>
    <mergeCell ref="B138:C138"/>
    <mergeCell ref="G138:I138"/>
    <mergeCell ref="M138:O138"/>
    <mergeCell ref="S138:T138"/>
    <mergeCell ref="B139:C139"/>
    <mergeCell ref="G139:I139"/>
    <mergeCell ref="M139:O139"/>
    <mergeCell ref="B140:C140"/>
    <mergeCell ref="G140:I140"/>
    <mergeCell ref="M140:O140"/>
    <mergeCell ref="S140:V140"/>
    <mergeCell ref="B141:C141"/>
    <mergeCell ref="M141:O141"/>
    <mergeCell ref="S141:T141"/>
    <mergeCell ref="B142:C142"/>
    <mergeCell ref="G142:K142"/>
    <mergeCell ref="M142:O142"/>
    <mergeCell ref="S142:T142"/>
    <mergeCell ref="B143:C143"/>
    <mergeCell ref="G143:I143"/>
    <mergeCell ref="M143:O143"/>
    <mergeCell ref="S143:T143"/>
    <mergeCell ref="G144:I144"/>
    <mergeCell ref="M144:O144"/>
    <mergeCell ref="S144:T144"/>
    <mergeCell ref="B145:E145"/>
    <mergeCell ref="G145:I145"/>
    <mergeCell ref="M145:O145"/>
    <mergeCell ref="S145:T145"/>
    <mergeCell ref="B146:C146"/>
    <mergeCell ref="G146:I146"/>
    <mergeCell ref="M146:O146"/>
    <mergeCell ref="S146:T146"/>
    <mergeCell ref="B147:C147"/>
    <mergeCell ref="G147:I147"/>
    <mergeCell ref="M147:O147"/>
    <mergeCell ref="S147:T147"/>
    <mergeCell ref="B148:C148"/>
    <mergeCell ref="G148:I148"/>
    <mergeCell ref="M148:O148"/>
    <mergeCell ref="S148:T148"/>
    <mergeCell ref="B149:E149"/>
    <mergeCell ref="G149:K149"/>
    <mergeCell ref="M149:O149"/>
    <mergeCell ref="S149:T149"/>
    <mergeCell ref="B150:C150"/>
    <mergeCell ref="G150:I150"/>
    <mergeCell ref="M150:O150"/>
    <mergeCell ref="S150:T150"/>
    <mergeCell ref="B151:C151"/>
    <mergeCell ref="G151:I151"/>
    <mergeCell ref="M151:O151"/>
    <mergeCell ref="S151:T151"/>
    <mergeCell ref="B152:C152"/>
    <mergeCell ref="G152:I152"/>
    <mergeCell ref="M152:O152"/>
    <mergeCell ref="S152:T152"/>
    <mergeCell ref="B153:C153"/>
    <mergeCell ref="G153:I153"/>
    <mergeCell ref="M153:O153"/>
    <mergeCell ref="S153:T153"/>
    <mergeCell ref="B154:C154"/>
    <mergeCell ref="M154:O154"/>
    <mergeCell ref="S154:T154"/>
    <mergeCell ref="B155:C155"/>
    <mergeCell ref="G155:K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G159:I159"/>
    <mergeCell ref="M159:O159"/>
    <mergeCell ref="S159:T159"/>
    <mergeCell ref="B160:E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G164:K164"/>
    <mergeCell ref="M164:O164"/>
    <mergeCell ref="S164:T164"/>
    <mergeCell ref="B165:C165"/>
    <mergeCell ref="G165:I165"/>
    <mergeCell ref="M165:O165"/>
    <mergeCell ref="S165:T165"/>
    <mergeCell ref="B166:C166"/>
    <mergeCell ref="G166:I166"/>
    <mergeCell ref="M166:O166"/>
    <mergeCell ref="S166:T166"/>
    <mergeCell ref="B167:C167"/>
    <mergeCell ref="G167:I167"/>
    <mergeCell ref="M167:O167"/>
    <mergeCell ref="S167:T167"/>
    <mergeCell ref="G168:I168"/>
    <mergeCell ref="M168:Q168"/>
    <mergeCell ref="S168:T168"/>
    <mergeCell ref="B169:E169"/>
    <mergeCell ref="G169:I169"/>
    <mergeCell ref="M169:O169"/>
    <mergeCell ref="S169:T169"/>
    <mergeCell ref="B170:C170"/>
    <mergeCell ref="G170:I170"/>
    <mergeCell ref="M170:O170"/>
    <mergeCell ref="S170:T170"/>
    <mergeCell ref="B171:C171"/>
    <mergeCell ref="M171:O171"/>
    <mergeCell ref="S171:T171"/>
    <mergeCell ref="B172:C172"/>
    <mergeCell ref="G172:K172"/>
    <mergeCell ref="M172:O172"/>
    <mergeCell ref="S172:T172"/>
    <mergeCell ref="B173:C173"/>
    <mergeCell ref="G173:I173"/>
    <mergeCell ref="M173:O173"/>
    <mergeCell ref="S173:T173"/>
    <mergeCell ref="B174:C174"/>
    <mergeCell ref="G174:I174"/>
    <mergeCell ref="M174:O174"/>
    <mergeCell ref="S174:T174"/>
    <mergeCell ref="B175:C175"/>
    <mergeCell ref="G175:I175"/>
    <mergeCell ref="M175:O175"/>
    <mergeCell ref="S175:T175"/>
    <mergeCell ref="B176:C176"/>
    <mergeCell ref="G176:I176"/>
    <mergeCell ref="M176:O176"/>
    <mergeCell ref="B177:C177"/>
    <mergeCell ref="G177:I177"/>
    <mergeCell ref="M177:O177"/>
    <mergeCell ref="S177:V177"/>
    <mergeCell ref="B178:C178"/>
    <mergeCell ref="G178:I178"/>
    <mergeCell ref="M178:O178"/>
    <mergeCell ref="S178:T178"/>
    <mergeCell ref="B179:C179"/>
    <mergeCell ref="G179:I179"/>
    <mergeCell ref="S179:T179"/>
    <mergeCell ref="G180:I180"/>
    <mergeCell ref="M180:Q180"/>
    <mergeCell ref="S180:T180"/>
    <mergeCell ref="G181:K181"/>
    <mergeCell ref="M181:O181"/>
    <mergeCell ref="S181:T181"/>
    <mergeCell ref="G182:I182"/>
    <mergeCell ref="M182:O182"/>
    <mergeCell ref="S182:T182"/>
    <mergeCell ref="G183:I183"/>
    <mergeCell ref="M183:O183"/>
    <mergeCell ref="S183:T183"/>
    <mergeCell ref="G184:I184"/>
    <mergeCell ref="M184:O184"/>
    <mergeCell ref="S184:T184"/>
    <mergeCell ref="G185:I185"/>
    <mergeCell ref="M185:O185"/>
    <mergeCell ref="S185:T185"/>
    <mergeCell ref="G186:I186"/>
    <mergeCell ref="M186:O186"/>
    <mergeCell ref="S186:T186"/>
    <mergeCell ref="G187:I187"/>
    <mergeCell ref="M187:Q187"/>
    <mergeCell ref="S187:T187"/>
    <mergeCell ref="G188:I188"/>
    <mergeCell ref="M188:O188"/>
    <mergeCell ref="S188:T188"/>
    <mergeCell ref="M189:O189"/>
    <mergeCell ref="S189:T189"/>
    <mergeCell ref="G190:K190"/>
    <mergeCell ref="M190:O190"/>
    <mergeCell ref="S190:T190"/>
    <mergeCell ref="G191:I191"/>
    <mergeCell ref="M191:O191"/>
    <mergeCell ref="S191:T191"/>
    <mergeCell ref="G192:I192"/>
    <mergeCell ref="M192:O192"/>
    <mergeCell ref="S192:T192"/>
    <mergeCell ref="G193:I193"/>
    <mergeCell ref="M193:O193"/>
    <mergeCell ref="S193:T193"/>
    <mergeCell ref="G194:I194"/>
    <mergeCell ref="M194:O194"/>
    <mergeCell ref="S194:T194"/>
    <mergeCell ref="M195:O195"/>
    <mergeCell ref="S195:T195"/>
    <mergeCell ref="M196:O196"/>
    <mergeCell ref="S196:T196"/>
    <mergeCell ref="M197:Q197"/>
    <mergeCell ref="S197:T197"/>
    <mergeCell ref="M198:O198"/>
    <mergeCell ref="S198:T198"/>
    <mergeCell ref="M199:O199"/>
    <mergeCell ref="S199:T199"/>
    <mergeCell ref="M200:O200"/>
    <mergeCell ref="S200:T200"/>
    <mergeCell ref="M201:O201"/>
    <mergeCell ref="S201:T201"/>
    <mergeCell ref="M202:O202"/>
    <mergeCell ref="S202:T202"/>
    <mergeCell ref="M203:O203"/>
    <mergeCell ref="M204:O204"/>
    <mergeCell ref="M205:O205"/>
    <mergeCell ref="M206:O206"/>
    <mergeCell ref="E171:E173"/>
    <mergeCell ref="Q188:Q196"/>
    <mergeCell ref="A9:D10"/>
    <mergeCell ref="A6:D8"/>
    <mergeCell ref="B29:AA31"/>
    <mergeCell ref="B2:AA4"/>
    <mergeCell ref="A12:D13"/>
    <mergeCell ref="X131:AA136"/>
    <mergeCell ref="B77:AA79"/>
    <mergeCell ref="N22:R24"/>
  </mergeCells>
  <dataValidations count="7">
    <dataValidation allowBlank="1" showInputMessage="1" showErrorMessage="1" promptTitle="注" prompt="不知道为什么，物价表的信号枪价值100美元。&#10;武器列表的信号枪却价值75美元了。&#10;我觉得可能是求生和军用的区别吧？" sqref="P50"/>
    <dataValidation allowBlank="1" showInputMessage="1" showErrorMessage="1" promptTitle="注" prompt="和信号枪一样&#10;价格跟武器表不一样&#10;嘛，看kp啦" sqref="Z56:AA56"/>
    <dataValidation allowBlank="1" showInputMessage="1" showErrorMessage="1" promptTitle="注" prompt="和信号枪一样&#10;这个价格也和武器表不一样&#10;嘛，主要看dm怎么觉定啦" sqref="AA57"/>
    <dataValidation allowBlank="1" showInputMessage="1" showErrorMessage="1" promptTitle="注" prompt="哑弹率30%" sqref="X127:Z127"/>
    <dataValidation allowBlank="1" showInputMessage="1" showErrorMessage="1" promptTitle="注" prompt="悬停25秒" sqref="X128:Z128"/>
    <dataValidation allowBlank="1" showInputMessage="1" showErrorMessage="1" promptTitle="注" prompt="价格在$3000 以下的，准确射程不到 200 码" sqref="X129:Z129"/>
    <dataValidation allowBlank="1" showInputMessage="1" showErrorMessage="1" promptTitle="注" prompt="50% 哑弹率" sqref="X130:Z130"/>
  </dataValidation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339"/>
  <sheetViews>
    <sheetView showGridLines="0" showRowColHeaders="0" workbookViewId="0">
      <pane ySplit="1" topLeftCell="A146" activePane="bottomLeft" state="frozen"/>
      <selection/>
      <selection pane="bottomLeft" activeCell="A1" sqref="A1"/>
    </sheetView>
  </sheetViews>
  <sheetFormatPr defaultColWidth="9" defaultRowHeight="16.8"/>
  <cols>
    <col min="1" max="1" width="3.36538461538462" style="128" customWidth="1"/>
    <col min="2" max="2" width="30" style="128" customWidth="1"/>
    <col min="3" max="3" width="12.0865384615385" style="128" customWidth="1"/>
    <col min="4" max="4" width="14.7307692307692" style="128" customWidth="1"/>
    <col min="5" max="5" width="8.73076923076923" style="128" customWidth="1"/>
    <col min="6" max="6" width="4.63461538461539" style="128" customWidth="1"/>
    <col min="7" max="7" width="10.7307692307692" style="128" customWidth="1"/>
    <col min="8" max="8" width="8" style="128" customWidth="1"/>
    <col min="9" max="9" width="7.73076923076923" style="128" customWidth="1"/>
    <col min="10" max="10" width="9.63461538461538" style="128" customWidth="1"/>
    <col min="11" max="12" width="13" style="129" customWidth="1"/>
    <col min="13" max="13" width="8.63461538461539" style="129" customWidth="1"/>
    <col min="14" max="14" width="9.08653846153846" style="129" customWidth="1"/>
    <col min="15" max="17" width="8.90384615384615" style="129"/>
    <col min="18" max="18" width="9.63461538461538" style="129" customWidth="1"/>
    <col min="19" max="19" width="1" style="129" customWidth="1"/>
    <col min="20" max="20" width="18.7307692307692" style="129" customWidth="1"/>
    <col min="21" max="21" width="18.2596153846154" style="129" customWidth="1"/>
    <col min="22" max="22" width="16.7307692307692" style="129" customWidth="1"/>
    <col min="23" max="23" width="15.9038461538462" style="129" customWidth="1"/>
    <col min="24" max="24" width="14" style="129" customWidth="1"/>
    <col min="25" max="25" width="8.73076923076923" style="129" customWidth="1"/>
    <col min="26" max="26" width="4.63461538461539" style="129" customWidth="1"/>
    <col min="27" max="27" width="15.2596153846154" style="129" customWidth="1"/>
    <col min="28" max="29" width="7.73076923076923" style="129" customWidth="1"/>
    <col min="30" max="30" width="9.63461538461538" style="129" customWidth="1"/>
    <col min="31" max="31" width="13" style="129" customWidth="1"/>
    <col min="32" max="36" width="8.90384615384615" style="129"/>
    <col min="37" max="37" width="9.63461538461538" style="129" customWidth="1"/>
    <col min="38" max="16383" width="8.90384615384615" style="129"/>
  </cols>
  <sheetData>
    <row r="1" ht="21" customHeight="1" spans="2:37">
      <c r="B1" s="250" t="s">
        <v>4419</v>
      </c>
      <c r="C1" s="250" t="s">
        <v>345</v>
      </c>
      <c r="D1" s="250" t="s">
        <v>171</v>
      </c>
      <c r="E1" s="250" t="s">
        <v>172</v>
      </c>
      <c r="F1" s="250" t="s">
        <v>4420</v>
      </c>
      <c r="G1" s="250" t="s">
        <v>4421</v>
      </c>
      <c r="H1" s="250" t="s">
        <v>175</v>
      </c>
      <c r="I1" s="250" t="s">
        <v>176</v>
      </c>
      <c r="J1" s="250" t="s">
        <v>4422</v>
      </c>
      <c r="K1" s="646" t="s">
        <v>4423</v>
      </c>
      <c r="L1" s="646" t="s">
        <v>4424</v>
      </c>
      <c r="M1" s="249" t="s">
        <v>168</v>
      </c>
      <c r="N1" s="250" t="s">
        <v>305</v>
      </c>
      <c r="O1" s="250"/>
      <c r="P1" s="250"/>
      <c r="Q1" s="250"/>
      <c r="R1" s="250"/>
      <c r="U1" s="129" t="str">
        <f>人物卡!M4</f>
        <v>1920s</v>
      </c>
      <c r="V1" s="731"/>
      <c r="W1" s="314"/>
      <c r="X1" s="314"/>
      <c r="Y1" s="314"/>
      <c r="Z1" s="314"/>
      <c r="AA1" s="733" t="str">
        <f>人物卡!M4</f>
        <v>1920s</v>
      </c>
      <c r="AB1" s="314"/>
      <c r="AC1" s="314"/>
      <c r="AD1" s="314"/>
      <c r="AE1" s="735"/>
      <c r="AF1" s="314"/>
      <c r="AG1" s="314"/>
      <c r="AH1" s="314"/>
      <c r="AI1" s="314"/>
      <c r="AJ1" s="314"/>
      <c r="AK1" s="314"/>
    </row>
    <row r="2" ht="14.25" customHeight="1" spans="2:37">
      <c r="B2" s="603" t="str">
        <f t="shared" ref="B2:B33" si="0">IF(OR(J2="1920s,现代",$U$1="其他",J2=$U$1,J2="罕见"),U2,"-"&amp;U2)</f>
        <v>弓箭</v>
      </c>
      <c r="C2" s="604" t="s">
        <v>2638</v>
      </c>
      <c r="D2" s="605" t="s">
        <v>4425</v>
      </c>
      <c r="E2" s="605" t="s">
        <v>4426</v>
      </c>
      <c r="F2" s="605" t="s">
        <v>181</v>
      </c>
      <c r="G2" s="605" t="s">
        <v>4427</v>
      </c>
      <c r="H2" s="605" t="s">
        <v>4427</v>
      </c>
      <c r="I2" s="605" t="s">
        <v>4428</v>
      </c>
      <c r="J2" s="605" t="s">
        <v>4429</v>
      </c>
      <c r="K2" s="605" t="s">
        <v>4430</v>
      </c>
      <c r="L2" s="647" t="s">
        <v>100</v>
      </c>
      <c r="M2" s="665" t="s">
        <v>4431</v>
      </c>
      <c r="N2" s="666" t="s">
        <v>4432</v>
      </c>
      <c r="O2" s="667"/>
      <c r="P2" s="667"/>
      <c r="Q2" s="667"/>
      <c r="R2" s="717"/>
      <c r="U2" s="129" t="s">
        <v>4433</v>
      </c>
      <c r="V2" s="129" t="str">
        <f t="shared" ref="V2:V21" si="1">IF(OR(J2="1920s,现代",$U$1="其他",J2=$U$1,AND(J2="1920s,罕见",$U$1="1920s"),J2="罕见"),U2,"-"&amp;U2)</f>
        <v>弓箭</v>
      </c>
      <c r="W2" s="732"/>
      <c r="Y2" s="732"/>
      <c r="Z2" s="732"/>
      <c r="AA2" s="732"/>
      <c r="AB2" s="732"/>
      <c r="AC2" s="732"/>
      <c r="AD2" s="732"/>
      <c r="AE2" s="736"/>
      <c r="AF2" s="737"/>
      <c r="AG2" s="182"/>
      <c r="AH2" s="182"/>
      <c r="AI2" s="182"/>
      <c r="AJ2" s="182"/>
      <c r="AK2" s="182"/>
    </row>
    <row r="3" ht="14.25" customHeight="1" spans="2:37">
      <c r="B3" s="606" t="str">
        <f t="shared" si="0"/>
        <v>黄铜指虎</v>
      </c>
      <c r="C3" s="607" t="s">
        <v>126</v>
      </c>
      <c r="D3" s="608" t="s">
        <v>4434</v>
      </c>
      <c r="E3" s="608" t="s">
        <v>4435</v>
      </c>
      <c r="F3" s="608" t="s">
        <v>181</v>
      </c>
      <c r="G3" s="608" t="s">
        <v>4427</v>
      </c>
      <c r="H3" s="608" t="s">
        <v>100</v>
      </c>
      <c r="I3" s="608" t="s">
        <v>100</v>
      </c>
      <c r="J3" s="608" t="s">
        <v>4429</v>
      </c>
      <c r="K3" s="608" t="s">
        <v>4436</v>
      </c>
      <c r="L3" s="648">
        <v>1870</v>
      </c>
      <c r="M3" s="668"/>
      <c r="N3" s="669"/>
      <c r="O3" s="670"/>
      <c r="P3" s="670"/>
      <c r="Q3" s="670"/>
      <c r="R3" s="718"/>
      <c r="U3" s="128" t="s">
        <v>4437</v>
      </c>
      <c r="V3" s="129" t="str">
        <f t="shared" si="1"/>
        <v>黄铜指虎</v>
      </c>
      <c r="Y3" s="732"/>
      <c r="Z3" s="732"/>
      <c r="AA3" s="732"/>
      <c r="AB3" s="732"/>
      <c r="AC3" s="732"/>
      <c r="AD3" s="732"/>
      <c r="AE3" s="734"/>
      <c r="AF3" s="737"/>
      <c r="AG3" s="182"/>
      <c r="AH3" s="182"/>
      <c r="AI3" s="182"/>
      <c r="AJ3" s="182"/>
      <c r="AK3" s="182"/>
    </row>
    <row r="4" ht="14.25" customHeight="1" spans="2:37">
      <c r="B4" s="609" t="str">
        <f t="shared" si="0"/>
        <v>长鞭</v>
      </c>
      <c r="C4" s="610" t="s">
        <v>2530</v>
      </c>
      <c r="D4" s="611" t="s">
        <v>4438</v>
      </c>
      <c r="E4" s="611" t="s">
        <v>4439</v>
      </c>
      <c r="F4" s="611" t="s">
        <v>181</v>
      </c>
      <c r="G4" s="611" t="s">
        <v>4427</v>
      </c>
      <c r="H4" s="611" t="s">
        <v>100</v>
      </c>
      <c r="I4" s="611" t="s">
        <v>100</v>
      </c>
      <c r="J4" s="611" t="s">
        <v>15</v>
      </c>
      <c r="K4" s="611" t="s">
        <v>4440</v>
      </c>
      <c r="L4" s="649" t="s">
        <v>100</v>
      </c>
      <c r="M4" s="668"/>
      <c r="N4" s="669"/>
      <c r="O4" s="670"/>
      <c r="P4" s="670"/>
      <c r="Q4" s="670"/>
      <c r="R4" s="718"/>
      <c r="U4" s="129" t="s">
        <v>4441</v>
      </c>
      <c r="V4" s="129" t="str">
        <f t="shared" si="1"/>
        <v>长鞭</v>
      </c>
      <c r="Y4" s="732"/>
      <c r="Z4" s="732"/>
      <c r="AA4" s="732"/>
      <c r="AB4" s="732"/>
      <c r="AC4" s="732"/>
      <c r="AD4" s="732"/>
      <c r="AE4" s="732"/>
      <c r="AF4" s="737"/>
      <c r="AG4" s="182"/>
      <c r="AH4" s="182"/>
      <c r="AI4" s="182"/>
      <c r="AJ4" s="182"/>
      <c r="AK4" s="182"/>
    </row>
    <row r="5" ht="14.25" customHeight="1" spans="2:37">
      <c r="B5" s="606" t="str">
        <f t="shared" si="0"/>
        <v>燃烧的火把</v>
      </c>
      <c r="C5" s="607" t="s">
        <v>126</v>
      </c>
      <c r="D5" s="608" t="s">
        <v>4442</v>
      </c>
      <c r="E5" s="608" t="s">
        <v>4435</v>
      </c>
      <c r="F5" s="608" t="s">
        <v>181</v>
      </c>
      <c r="G5" s="608" t="s">
        <v>4427</v>
      </c>
      <c r="H5" s="608" t="s">
        <v>100</v>
      </c>
      <c r="I5" s="608" t="s">
        <v>100</v>
      </c>
      <c r="J5" s="608" t="s">
        <v>4429</v>
      </c>
      <c r="K5" s="608" t="s">
        <v>4443</v>
      </c>
      <c r="L5" s="648" t="s">
        <v>100</v>
      </c>
      <c r="M5" s="668"/>
      <c r="N5" s="669"/>
      <c r="O5" s="670"/>
      <c r="P5" s="670"/>
      <c r="Q5" s="670"/>
      <c r="R5" s="718"/>
      <c r="U5" s="129" t="s">
        <v>4444</v>
      </c>
      <c r="V5" s="129" t="str">
        <f t="shared" si="1"/>
        <v>燃烧的火把</v>
      </c>
      <c r="Y5" s="732"/>
      <c r="Z5" s="732"/>
      <c r="AA5" s="732"/>
      <c r="AB5" s="732"/>
      <c r="AC5" s="732"/>
      <c r="AD5" s="732"/>
      <c r="AE5" s="732"/>
      <c r="AF5" s="737"/>
      <c r="AG5" s="182"/>
      <c r="AH5" s="182"/>
      <c r="AI5" s="182"/>
      <c r="AJ5" s="182"/>
      <c r="AK5" s="182"/>
    </row>
    <row r="6" ht="14.25" customHeight="1" spans="2:37">
      <c r="B6" s="612" t="str">
        <f t="shared" si="0"/>
        <v>-电锯</v>
      </c>
      <c r="C6" s="613" t="s">
        <v>2542</v>
      </c>
      <c r="D6" s="614" t="s">
        <v>4445</v>
      </c>
      <c r="E6" s="614" t="s">
        <v>4435</v>
      </c>
      <c r="F6" s="614" t="s">
        <v>515</v>
      </c>
      <c r="G6" s="614" t="s">
        <v>4427</v>
      </c>
      <c r="H6" s="614" t="s">
        <v>100</v>
      </c>
      <c r="I6" s="614" t="s">
        <v>4446</v>
      </c>
      <c r="J6" s="614" t="s">
        <v>4447</v>
      </c>
      <c r="K6" s="614" t="s">
        <v>4448</v>
      </c>
      <c r="L6" s="650" t="s">
        <v>4449</v>
      </c>
      <c r="M6" s="668"/>
      <c r="N6" s="669"/>
      <c r="O6" s="670"/>
      <c r="P6" s="670"/>
      <c r="Q6" s="670"/>
      <c r="R6" s="718"/>
      <c r="U6" s="129" t="s">
        <v>2542</v>
      </c>
      <c r="V6" s="129" t="str">
        <f t="shared" si="1"/>
        <v>-电锯</v>
      </c>
      <c r="Y6" s="732"/>
      <c r="Z6" s="732"/>
      <c r="AA6" s="732"/>
      <c r="AB6" s="732"/>
      <c r="AC6" s="732"/>
      <c r="AD6" s="732"/>
      <c r="AE6" s="734"/>
      <c r="AF6" s="737"/>
      <c r="AG6" s="182"/>
      <c r="AH6" s="182"/>
      <c r="AI6" s="182"/>
      <c r="AJ6" s="182"/>
      <c r="AK6" s="182"/>
    </row>
    <row r="7" ht="14.25" customHeight="1" spans="2:37">
      <c r="B7" s="615" t="str">
        <f t="shared" si="0"/>
        <v>包皮铁棍(甩棍、大头棍、护身棒)</v>
      </c>
      <c r="C7" s="616" t="s">
        <v>126</v>
      </c>
      <c r="D7" s="617" t="s">
        <v>4450</v>
      </c>
      <c r="E7" s="617" t="s">
        <v>4435</v>
      </c>
      <c r="F7" s="617" t="s">
        <v>181</v>
      </c>
      <c r="G7" s="617" t="s">
        <v>4427</v>
      </c>
      <c r="H7" s="617" t="s">
        <v>100</v>
      </c>
      <c r="I7" s="617" t="s">
        <v>100</v>
      </c>
      <c r="J7" s="617" t="s">
        <v>4429</v>
      </c>
      <c r="K7" s="617" t="s">
        <v>4451</v>
      </c>
      <c r="L7" s="651" t="s">
        <v>4452</v>
      </c>
      <c r="M7" s="668"/>
      <c r="N7" s="669"/>
      <c r="O7" s="670"/>
      <c r="P7" s="670"/>
      <c r="Q7" s="670"/>
      <c r="R7" s="718"/>
      <c r="U7" s="129" t="s">
        <v>4453</v>
      </c>
      <c r="V7" s="129" t="str">
        <f t="shared" si="1"/>
        <v>包皮铁棍(甩棍、大头棍、护身棒)</v>
      </c>
      <c r="Y7" s="732"/>
      <c r="Z7" s="732"/>
      <c r="AA7" s="732"/>
      <c r="AB7" s="732"/>
      <c r="AC7" s="732"/>
      <c r="AD7" s="732"/>
      <c r="AE7" s="732"/>
      <c r="AF7" s="737"/>
      <c r="AG7" s="182"/>
      <c r="AH7" s="182"/>
      <c r="AI7" s="182"/>
      <c r="AJ7" s="182"/>
      <c r="AK7" s="182"/>
    </row>
    <row r="8" ht="14.25" customHeight="1" spans="2:37">
      <c r="B8" s="609" t="str">
        <f t="shared" si="0"/>
        <v>大型棍状物(棒球棍、板球棒、拨火棍等)</v>
      </c>
      <c r="C8" s="610" t="s">
        <v>126</v>
      </c>
      <c r="D8" s="611" t="s">
        <v>4450</v>
      </c>
      <c r="E8" s="611" t="s">
        <v>4435</v>
      </c>
      <c r="F8" s="611" t="s">
        <v>181</v>
      </c>
      <c r="G8" s="611" t="s">
        <v>4427</v>
      </c>
      <c r="H8" s="611" t="s">
        <v>100</v>
      </c>
      <c r="I8" s="611" t="s">
        <v>100</v>
      </c>
      <c r="J8" s="611" t="s">
        <v>4429</v>
      </c>
      <c r="K8" s="611" t="s">
        <v>4454</v>
      </c>
      <c r="L8" s="649" t="s">
        <v>100</v>
      </c>
      <c r="M8" s="668"/>
      <c r="N8" s="669"/>
      <c r="O8" s="670"/>
      <c r="P8" s="670"/>
      <c r="Q8" s="670"/>
      <c r="R8" s="718"/>
      <c r="U8" s="129" t="s">
        <v>4455</v>
      </c>
      <c r="V8" s="129" t="str">
        <f t="shared" si="1"/>
        <v>大型棍状物(棒球棍、板球棒、拨火棍等)</v>
      </c>
      <c r="Y8" s="732"/>
      <c r="Z8" s="732"/>
      <c r="AA8" s="732"/>
      <c r="AB8" s="732"/>
      <c r="AC8" s="732"/>
      <c r="AD8" s="732"/>
      <c r="AE8" s="732"/>
      <c r="AF8" s="737"/>
      <c r="AG8" s="182"/>
      <c r="AH8" s="182"/>
      <c r="AI8" s="182"/>
      <c r="AJ8" s="182"/>
      <c r="AK8" s="182"/>
    </row>
    <row r="9" ht="14.25" customHeight="1" spans="2:37">
      <c r="B9" s="606" t="str">
        <f t="shared" si="0"/>
        <v>小型棍状物(警棍等)</v>
      </c>
      <c r="C9" s="607" t="s">
        <v>126</v>
      </c>
      <c r="D9" s="608" t="s">
        <v>4456</v>
      </c>
      <c r="E9" s="608" t="s">
        <v>4435</v>
      </c>
      <c r="F9" s="608" t="s">
        <v>181</v>
      </c>
      <c r="G9" s="608" t="s">
        <v>4427</v>
      </c>
      <c r="H9" s="608" t="s">
        <v>100</v>
      </c>
      <c r="I9" s="608" t="s">
        <v>100</v>
      </c>
      <c r="J9" s="608" t="s">
        <v>4429</v>
      </c>
      <c r="K9" s="608" t="s">
        <v>4454</v>
      </c>
      <c r="L9" s="648" t="s">
        <v>100</v>
      </c>
      <c r="M9" s="668"/>
      <c r="N9" s="669"/>
      <c r="O9" s="670"/>
      <c r="P9" s="670"/>
      <c r="Q9" s="670"/>
      <c r="R9" s="718"/>
      <c r="U9" s="129" t="s">
        <v>4457</v>
      </c>
      <c r="V9" s="129" t="str">
        <f t="shared" si="1"/>
        <v>小型棍状物(警棍等)</v>
      </c>
      <c r="Y9" s="732"/>
      <c r="Z9" s="732"/>
      <c r="AA9" s="732"/>
      <c r="AB9" s="732"/>
      <c r="AC9" s="732"/>
      <c r="AD9" s="732"/>
      <c r="AE9" s="732"/>
      <c r="AF9" s="737"/>
      <c r="AG9" s="182"/>
      <c r="AH9" s="182"/>
      <c r="AI9" s="182"/>
      <c r="AJ9" s="182"/>
      <c r="AK9" s="182"/>
    </row>
    <row r="10" ht="14.25" customHeight="1" spans="2:32">
      <c r="B10" s="609" t="str">
        <f t="shared" si="0"/>
        <v>弩</v>
      </c>
      <c r="C10" s="610" t="s">
        <v>2638</v>
      </c>
      <c r="D10" s="611" t="s">
        <v>4458</v>
      </c>
      <c r="E10" s="611" t="s">
        <v>4459</v>
      </c>
      <c r="F10" s="611" t="s">
        <v>515</v>
      </c>
      <c r="G10" s="611" t="s">
        <v>4460</v>
      </c>
      <c r="H10" s="611" t="s">
        <v>4427</v>
      </c>
      <c r="I10" s="611" t="s">
        <v>4461</v>
      </c>
      <c r="J10" s="611" t="s">
        <v>4429</v>
      </c>
      <c r="K10" s="611" t="s">
        <v>4462</v>
      </c>
      <c r="L10" s="649" t="s">
        <v>4463</v>
      </c>
      <c r="M10" s="668"/>
      <c r="N10" s="671"/>
      <c r="O10" s="672"/>
      <c r="P10" s="672"/>
      <c r="Q10" s="672"/>
      <c r="R10" s="719"/>
      <c r="U10" s="129" t="s">
        <v>4464</v>
      </c>
      <c r="V10" s="129" t="str">
        <f t="shared" si="1"/>
        <v>弩</v>
      </c>
      <c r="Y10" s="732"/>
      <c r="Z10" s="732"/>
      <c r="AA10" s="732"/>
      <c r="AB10" s="732"/>
      <c r="AC10" s="732"/>
      <c r="AD10" s="732"/>
      <c r="AE10" s="732"/>
      <c r="AF10" s="737"/>
    </row>
    <row r="11" ht="14.25" customHeight="1" spans="2:32">
      <c r="B11" s="618" t="str">
        <f t="shared" si="0"/>
        <v>绞具</v>
      </c>
      <c r="C11" s="619" t="s">
        <v>2574</v>
      </c>
      <c r="D11" s="620" t="s">
        <v>4456</v>
      </c>
      <c r="E11" s="620" t="s">
        <v>4435</v>
      </c>
      <c r="F11" s="620" t="s">
        <v>515</v>
      </c>
      <c r="G11" s="620" t="s">
        <v>4427</v>
      </c>
      <c r="H11" s="620" t="s">
        <v>100</v>
      </c>
      <c r="I11" s="620" t="s">
        <v>100</v>
      </c>
      <c r="J11" s="620" t="s">
        <v>4429</v>
      </c>
      <c r="K11" s="620" t="s">
        <v>4465</v>
      </c>
      <c r="L11" s="652" t="s">
        <v>100</v>
      </c>
      <c r="M11" s="668"/>
      <c r="N11" s="673" t="s">
        <v>4466</v>
      </c>
      <c r="O11" s="674"/>
      <c r="P11" s="674"/>
      <c r="Q11" s="674"/>
      <c r="R11" s="720"/>
      <c r="U11" s="129" t="s">
        <v>2574</v>
      </c>
      <c r="V11" s="129" t="str">
        <f t="shared" si="1"/>
        <v>绞具</v>
      </c>
      <c r="Y11" s="732"/>
      <c r="Z11" s="732"/>
      <c r="AA11" s="732"/>
      <c r="AB11" s="732"/>
      <c r="AC11" s="732"/>
      <c r="AD11" s="732"/>
      <c r="AE11" s="732"/>
      <c r="AF11" s="737"/>
    </row>
    <row r="12" ht="14.25" customHeight="1" spans="2:32">
      <c r="B12" s="609" t="str">
        <f t="shared" si="0"/>
        <v>手斧/镰刀</v>
      </c>
      <c r="C12" s="610" t="s">
        <v>2554</v>
      </c>
      <c r="D12" s="611" t="s">
        <v>4467</v>
      </c>
      <c r="E12" s="611" t="s">
        <v>4435</v>
      </c>
      <c r="F12" s="611" t="s">
        <v>515</v>
      </c>
      <c r="G12" s="611" t="s">
        <v>4427</v>
      </c>
      <c r="H12" s="611" t="s">
        <v>100</v>
      </c>
      <c r="I12" s="611" t="s">
        <v>100</v>
      </c>
      <c r="J12" s="611" t="s">
        <v>4429</v>
      </c>
      <c r="K12" s="611" t="s">
        <v>4468</v>
      </c>
      <c r="L12" s="649" t="s">
        <v>100</v>
      </c>
      <c r="M12" s="668"/>
      <c r="N12" s="675"/>
      <c r="O12" s="676"/>
      <c r="P12" s="676"/>
      <c r="Q12" s="676"/>
      <c r="R12" s="721"/>
      <c r="U12" s="129" t="s">
        <v>4469</v>
      </c>
      <c r="V12" s="129" t="str">
        <f t="shared" si="1"/>
        <v>手斧/镰刀</v>
      </c>
      <c r="Y12" s="732"/>
      <c r="Z12" s="732"/>
      <c r="AA12" s="732"/>
      <c r="AB12" s="732"/>
      <c r="AC12" s="732"/>
      <c r="AD12" s="732"/>
      <c r="AE12" s="732"/>
      <c r="AF12" s="737"/>
    </row>
    <row r="13" ht="14.25" customHeight="1" spans="2:32">
      <c r="B13" s="606" t="str">
        <f t="shared" si="0"/>
        <v>大型刀具(甘蔗刀等)</v>
      </c>
      <c r="C13" s="607" t="s">
        <v>126</v>
      </c>
      <c r="D13" s="608" t="s">
        <v>4450</v>
      </c>
      <c r="E13" s="608" t="s">
        <v>4435</v>
      </c>
      <c r="F13" s="608" t="s">
        <v>515</v>
      </c>
      <c r="G13" s="608" t="s">
        <v>4427</v>
      </c>
      <c r="H13" s="608" t="s">
        <v>100</v>
      </c>
      <c r="I13" s="608" t="s">
        <v>100</v>
      </c>
      <c r="J13" s="608" t="s">
        <v>4429</v>
      </c>
      <c r="K13" s="608" t="s">
        <v>4470</v>
      </c>
      <c r="L13" s="648" t="s">
        <v>100</v>
      </c>
      <c r="M13" s="668"/>
      <c r="N13" s="675"/>
      <c r="O13" s="676"/>
      <c r="P13" s="676"/>
      <c r="Q13" s="676"/>
      <c r="R13" s="721"/>
      <c r="U13" s="129" t="s">
        <v>4471</v>
      </c>
      <c r="V13" s="129" t="str">
        <f t="shared" si="1"/>
        <v>大型刀具(甘蔗刀等)</v>
      </c>
      <c r="Y13" s="732"/>
      <c r="Z13" s="732"/>
      <c r="AA13" s="732"/>
      <c r="AB13" s="732"/>
      <c r="AC13" s="732"/>
      <c r="AD13" s="732"/>
      <c r="AE13" s="732"/>
      <c r="AF13" s="737"/>
    </row>
    <row r="14" ht="14.25" customHeight="1" spans="2:32">
      <c r="B14" s="609" t="str">
        <f t="shared" si="0"/>
        <v>中型刀具(切肉菜刀等)</v>
      </c>
      <c r="C14" s="610" t="s">
        <v>126</v>
      </c>
      <c r="D14" s="611" t="s">
        <v>4472</v>
      </c>
      <c r="E14" s="611" t="s">
        <v>4435</v>
      </c>
      <c r="F14" s="611" t="s">
        <v>515</v>
      </c>
      <c r="G14" s="611" t="s">
        <v>4427</v>
      </c>
      <c r="H14" s="611" t="s">
        <v>100</v>
      </c>
      <c r="I14" s="611" t="s">
        <v>100</v>
      </c>
      <c r="J14" s="611" t="s">
        <v>4429</v>
      </c>
      <c r="K14" s="611" t="s">
        <v>4451</v>
      </c>
      <c r="L14" s="649" t="s">
        <v>100</v>
      </c>
      <c r="M14" s="668"/>
      <c r="N14" s="675"/>
      <c r="O14" s="676"/>
      <c r="P14" s="676"/>
      <c r="Q14" s="676"/>
      <c r="R14" s="721"/>
      <c r="U14" s="129" t="s">
        <v>4473</v>
      </c>
      <c r="V14" s="129" t="str">
        <f t="shared" si="1"/>
        <v>中型刀具(切肉菜刀等)</v>
      </c>
      <c r="Y14" s="732"/>
      <c r="Z14" s="732"/>
      <c r="AA14" s="732"/>
      <c r="AB14" s="732"/>
      <c r="AC14" s="732"/>
      <c r="AD14" s="732"/>
      <c r="AE14" s="732"/>
      <c r="AF14" s="737"/>
    </row>
    <row r="15" ht="14.25" customHeight="1" spans="2:32">
      <c r="B15" s="606" t="str">
        <f t="shared" si="0"/>
        <v>小型刀具(弹簧折叠刀等)</v>
      </c>
      <c r="C15" s="607" t="s">
        <v>126</v>
      </c>
      <c r="D15" s="608" t="s">
        <v>4474</v>
      </c>
      <c r="E15" s="608" t="s">
        <v>4435</v>
      </c>
      <c r="F15" s="608" t="s">
        <v>515</v>
      </c>
      <c r="G15" s="608" t="s">
        <v>4427</v>
      </c>
      <c r="H15" s="608" t="s">
        <v>100</v>
      </c>
      <c r="I15" s="608" t="s">
        <v>100</v>
      </c>
      <c r="J15" s="608" t="s">
        <v>4429</v>
      </c>
      <c r="K15" s="608" t="s">
        <v>4475</v>
      </c>
      <c r="L15" s="648" t="s">
        <v>100</v>
      </c>
      <c r="M15" s="668"/>
      <c r="N15" s="675" t="s">
        <v>4476</v>
      </c>
      <c r="O15" s="676"/>
      <c r="P15" s="676"/>
      <c r="Q15" s="676"/>
      <c r="R15" s="721"/>
      <c r="U15" s="129" t="s">
        <v>183</v>
      </c>
      <c r="V15" s="129" t="str">
        <f t="shared" si="1"/>
        <v>小型刀具(弹簧折叠刀等)</v>
      </c>
      <c r="Y15" s="732"/>
      <c r="Z15" s="732"/>
      <c r="AA15" s="734"/>
      <c r="AB15" s="732"/>
      <c r="AC15" s="732"/>
      <c r="AD15" s="732"/>
      <c r="AE15" s="732"/>
      <c r="AF15" s="737"/>
    </row>
    <row r="16" ht="14.25" customHeight="1" spans="2:32">
      <c r="B16" s="609" t="str">
        <f t="shared" si="0"/>
        <v>-220v通电导线</v>
      </c>
      <c r="C16" s="610" t="s">
        <v>126</v>
      </c>
      <c r="D16" s="611" t="s">
        <v>4477</v>
      </c>
      <c r="E16" s="611" t="s">
        <v>4435</v>
      </c>
      <c r="F16" s="611" t="s">
        <v>181</v>
      </c>
      <c r="G16" s="611" t="s">
        <v>4427</v>
      </c>
      <c r="H16" s="611" t="s">
        <v>100</v>
      </c>
      <c r="I16" s="611" t="s">
        <v>4446</v>
      </c>
      <c r="J16" s="611" t="s">
        <v>4447</v>
      </c>
      <c r="K16" s="611" t="s">
        <v>100</v>
      </c>
      <c r="L16" s="649" t="s">
        <v>4478</v>
      </c>
      <c r="M16" s="668"/>
      <c r="N16" s="675"/>
      <c r="O16" s="676"/>
      <c r="P16" s="676"/>
      <c r="Q16" s="676"/>
      <c r="R16" s="721"/>
      <c r="U16" s="129" t="s">
        <v>4479</v>
      </c>
      <c r="V16" s="129" t="str">
        <f t="shared" si="1"/>
        <v>-220v通电导线</v>
      </c>
      <c r="Y16" s="732"/>
      <c r="Z16" s="732"/>
      <c r="AA16" s="732"/>
      <c r="AB16" s="732"/>
      <c r="AC16" s="732"/>
      <c r="AD16" s="732"/>
      <c r="AE16" s="732"/>
      <c r="AF16" s="737"/>
    </row>
    <row r="17" ht="14.25" customHeight="1" spans="2:32">
      <c r="B17" s="621" t="str">
        <f t="shared" si="0"/>
        <v>催泪瓦斯</v>
      </c>
      <c r="C17" s="622" t="s">
        <v>126</v>
      </c>
      <c r="D17" s="623" t="s">
        <v>4480</v>
      </c>
      <c r="E17" s="623" t="s">
        <v>4481</v>
      </c>
      <c r="F17" s="623" t="s">
        <v>181</v>
      </c>
      <c r="G17" s="623" t="s">
        <v>4427</v>
      </c>
      <c r="H17" s="623" t="s">
        <v>4482</v>
      </c>
      <c r="I17" s="623" t="s">
        <v>100</v>
      </c>
      <c r="J17" s="623" t="s">
        <v>4429</v>
      </c>
      <c r="K17" s="623" t="s">
        <v>4483</v>
      </c>
      <c r="L17" s="653" t="s">
        <v>4484</v>
      </c>
      <c r="M17" s="668"/>
      <c r="N17" s="677"/>
      <c r="O17" s="678"/>
      <c r="P17" s="678"/>
      <c r="Q17" s="678"/>
      <c r="R17" s="722"/>
      <c r="U17" s="129" t="s">
        <v>4485</v>
      </c>
      <c r="V17" s="129" t="str">
        <f t="shared" si="1"/>
        <v>催泪瓦斯</v>
      </c>
      <c r="Y17" s="732"/>
      <c r="Z17" s="732"/>
      <c r="AA17" s="732"/>
      <c r="AB17" s="732"/>
      <c r="AC17" s="732"/>
      <c r="AD17" s="732"/>
      <c r="AE17" s="732"/>
      <c r="AF17" s="737"/>
    </row>
    <row r="18" ht="14.25" customHeight="1" spans="2:32">
      <c r="B18" s="609" t="str">
        <f t="shared" si="0"/>
        <v>双节棍</v>
      </c>
      <c r="C18" s="610" t="s">
        <v>2581</v>
      </c>
      <c r="D18" s="611" t="s">
        <v>4450</v>
      </c>
      <c r="E18" s="611" t="s">
        <v>4435</v>
      </c>
      <c r="F18" s="611" t="s">
        <v>181</v>
      </c>
      <c r="G18" s="611" t="s">
        <v>4427</v>
      </c>
      <c r="H18" s="611" t="s">
        <v>100</v>
      </c>
      <c r="I18" s="611" t="s">
        <v>100</v>
      </c>
      <c r="J18" s="611" t="s">
        <v>4429</v>
      </c>
      <c r="K18" s="611" t="s">
        <v>4436</v>
      </c>
      <c r="L18" s="649" t="s">
        <v>4486</v>
      </c>
      <c r="M18" s="668"/>
      <c r="N18" s="679" t="s">
        <v>4487</v>
      </c>
      <c r="O18" s="680"/>
      <c r="P18" s="680"/>
      <c r="Q18" s="680"/>
      <c r="R18" s="723"/>
      <c r="U18" s="129" t="s">
        <v>3904</v>
      </c>
      <c r="V18" s="129" t="str">
        <f t="shared" si="1"/>
        <v>双节棍</v>
      </c>
      <c r="Y18" s="732"/>
      <c r="Z18" s="732"/>
      <c r="AA18" s="732"/>
      <c r="AB18" s="732"/>
      <c r="AC18" s="732"/>
      <c r="AD18" s="732"/>
      <c r="AE18" s="732"/>
      <c r="AF18" s="737"/>
    </row>
    <row r="19" ht="14.25" customHeight="1" spans="2:32">
      <c r="B19" s="606" t="str">
        <f t="shared" si="0"/>
        <v>投石</v>
      </c>
      <c r="C19" s="607" t="s">
        <v>144</v>
      </c>
      <c r="D19" s="608" t="s">
        <v>4488</v>
      </c>
      <c r="E19" s="608" t="s">
        <v>4489</v>
      </c>
      <c r="F19" s="608" t="s">
        <v>181</v>
      </c>
      <c r="G19" s="608" t="s">
        <v>4427</v>
      </c>
      <c r="H19" s="608" t="s">
        <v>100</v>
      </c>
      <c r="I19" s="608" t="s">
        <v>100</v>
      </c>
      <c r="J19" s="608" t="s">
        <v>4429</v>
      </c>
      <c r="K19" s="608" t="s">
        <v>100</v>
      </c>
      <c r="L19" s="648" t="s">
        <v>100</v>
      </c>
      <c r="M19" s="668"/>
      <c r="N19" s="681"/>
      <c r="O19" s="682"/>
      <c r="P19" s="682"/>
      <c r="Q19" s="682"/>
      <c r="R19" s="724"/>
      <c r="U19" s="129" t="s">
        <v>4490</v>
      </c>
      <c r="V19" s="129" t="str">
        <f t="shared" si="1"/>
        <v>投石</v>
      </c>
      <c r="Y19" s="732"/>
      <c r="Z19" s="732"/>
      <c r="AA19" s="732"/>
      <c r="AB19" s="732"/>
      <c r="AC19" s="732"/>
      <c r="AD19" s="732"/>
      <c r="AE19" s="732"/>
      <c r="AF19" s="737"/>
    </row>
    <row r="20" ht="14.25" customHeight="1" spans="2:32">
      <c r="B20" s="609" t="str">
        <f t="shared" si="0"/>
        <v>手里剑</v>
      </c>
      <c r="C20" s="610" t="s">
        <v>144</v>
      </c>
      <c r="D20" s="611" t="s">
        <v>4438</v>
      </c>
      <c r="E20" s="611" t="s">
        <v>4491</v>
      </c>
      <c r="F20" s="611" t="s">
        <v>515</v>
      </c>
      <c r="G20" s="611" t="s">
        <v>4492</v>
      </c>
      <c r="H20" s="611" t="s">
        <v>4493</v>
      </c>
      <c r="I20" s="611" t="s">
        <v>1207</v>
      </c>
      <c r="J20" s="611" t="s">
        <v>4429</v>
      </c>
      <c r="K20" s="611" t="s">
        <v>4465</v>
      </c>
      <c r="L20" s="649" t="s">
        <v>100</v>
      </c>
      <c r="M20" s="668"/>
      <c r="N20" s="681"/>
      <c r="O20" s="682"/>
      <c r="P20" s="682"/>
      <c r="Q20" s="682"/>
      <c r="R20" s="724"/>
      <c r="U20" s="129" t="s">
        <v>4494</v>
      </c>
      <c r="V20" s="129" t="str">
        <f t="shared" si="1"/>
        <v>手里剑</v>
      </c>
      <c r="Y20" s="732"/>
      <c r="Z20" s="732"/>
      <c r="AA20" s="732"/>
      <c r="AB20" s="732"/>
      <c r="AC20" s="732"/>
      <c r="AD20" s="732"/>
      <c r="AE20" s="732"/>
      <c r="AF20" s="737"/>
    </row>
    <row r="21" ht="14.25" customHeight="1" spans="2:32">
      <c r="B21" s="606" t="str">
        <f t="shared" si="0"/>
        <v>矛、骑士长枪</v>
      </c>
      <c r="C21" s="607" t="s">
        <v>2588</v>
      </c>
      <c r="D21" s="608" t="s">
        <v>4495</v>
      </c>
      <c r="E21" s="608" t="s">
        <v>4435</v>
      </c>
      <c r="F21" s="608" t="s">
        <v>515</v>
      </c>
      <c r="G21" s="608" t="s">
        <v>4427</v>
      </c>
      <c r="H21" s="608" t="s">
        <v>100</v>
      </c>
      <c r="I21" s="608" t="s">
        <v>100</v>
      </c>
      <c r="J21" s="608" t="s">
        <v>4429</v>
      </c>
      <c r="K21" s="608" t="s">
        <v>4496</v>
      </c>
      <c r="L21" s="648" t="s">
        <v>100</v>
      </c>
      <c r="M21" s="668"/>
      <c r="N21" s="683"/>
      <c r="O21" s="684"/>
      <c r="P21" s="684"/>
      <c r="Q21" s="684"/>
      <c r="R21" s="725"/>
      <c r="U21" s="129" t="s">
        <v>4497</v>
      </c>
      <c r="V21" s="129" t="str">
        <f t="shared" si="1"/>
        <v>矛、骑士长枪</v>
      </c>
      <c r="Y21" s="732"/>
      <c r="Z21" s="732"/>
      <c r="AA21" s="732"/>
      <c r="AB21" s="732"/>
      <c r="AC21" s="732"/>
      <c r="AD21" s="732"/>
      <c r="AE21" s="732"/>
      <c r="AF21" s="737"/>
    </row>
    <row r="22" ht="14.25" customHeight="1" spans="2:32">
      <c r="B22" s="609" t="str">
        <f t="shared" si="0"/>
        <v>*掷矛</v>
      </c>
      <c r="C22" s="610" t="s">
        <v>144</v>
      </c>
      <c r="D22" s="611" t="s">
        <v>4498</v>
      </c>
      <c r="E22" s="611" t="s">
        <v>4499</v>
      </c>
      <c r="F22" s="611" t="s">
        <v>515</v>
      </c>
      <c r="G22" s="611" t="s">
        <v>4427</v>
      </c>
      <c r="H22" s="611" t="s">
        <v>100</v>
      </c>
      <c r="I22" s="611" t="s">
        <v>100</v>
      </c>
      <c r="J22" s="611" t="s">
        <v>4500</v>
      </c>
      <c r="K22" s="611" t="s">
        <v>4501</v>
      </c>
      <c r="L22" s="649" t="s">
        <v>100</v>
      </c>
      <c r="M22" s="668"/>
      <c r="N22" s="685" t="s">
        <v>4502</v>
      </c>
      <c r="O22" s="686"/>
      <c r="P22" s="686"/>
      <c r="Q22" s="686"/>
      <c r="R22" s="726"/>
      <c r="U22" s="129" t="s">
        <v>4503</v>
      </c>
      <c r="V22" s="129" t="s">
        <v>4503</v>
      </c>
      <c r="Y22" s="732"/>
      <c r="Z22" s="732"/>
      <c r="AA22" s="732"/>
      <c r="AB22" s="732"/>
      <c r="AC22" s="732"/>
      <c r="AD22" s="732"/>
      <c r="AE22" s="732"/>
      <c r="AF22" s="737"/>
    </row>
    <row r="23" ht="14.25" customHeight="1" spans="2:32">
      <c r="B23" s="606" t="str">
        <f t="shared" si="0"/>
        <v>大型剑（马刀）</v>
      </c>
      <c r="C23" s="607" t="s">
        <v>2565</v>
      </c>
      <c r="D23" s="608" t="s">
        <v>4504</v>
      </c>
      <c r="E23" s="608" t="s">
        <v>4435</v>
      </c>
      <c r="F23" s="608" t="s">
        <v>515</v>
      </c>
      <c r="G23" s="608" t="s">
        <v>4427</v>
      </c>
      <c r="H23" s="608" t="s">
        <v>100</v>
      </c>
      <c r="I23" s="608" t="s">
        <v>100</v>
      </c>
      <c r="J23" s="608" t="s">
        <v>4429</v>
      </c>
      <c r="K23" s="608" t="s">
        <v>4505</v>
      </c>
      <c r="L23" s="648" t="s">
        <v>100</v>
      </c>
      <c r="M23" s="668"/>
      <c r="N23" s="687"/>
      <c r="O23" s="688"/>
      <c r="P23" s="688"/>
      <c r="Q23" s="688"/>
      <c r="R23" s="727"/>
      <c r="U23" s="129" t="s">
        <v>4506</v>
      </c>
      <c r="V23" s="129" t="str">
        <f>IF(OR(J23="1920s,现代",$U$1="其他",J23=$U$1,AND(J23="1920s,罕见",$U$1="1920s"),J23="罕见"),U23,"-"&amp;U23)</f>
        <v>大型剑（马刀）</v>
      </c>
      <c r="Y23" s="732"/>
      <c r="Z23" s="732"/>
      <c r="AA23" s="732"/>
      <c r="AB23" s="732"/>
      <c r="AC23" s="732"/>
      <c r="AD23" s="732"/>
      <c r="AE23" s="732"/>
      <c r="AF23" s="737"/>
    </row>
    <row r="24" ht="14.25" customHeight="1" spans="2:32">
      <c r="B24" s="609" t="str">
        <f t="shared" si="0"/>
        <v>中型剑（佩剑、重剑）</v>
      </c>
      <c r="C24" s="610" t="s">
        <v>2565</v>
      </c>
      <c r="D24" s="611" t="s">
        <v>4467</v>
      </c>
      <c r="E24" s="611" t="s">
        <v>4435</v>
      </c>
      <c r="F24" s="611" t="s">
        <v>515</v>
      </c>
      <c r="G24" s="611" t="s">
        <v>4427</v>
      </c>
      <c r="H24" s="611" t="s">
        <v>100</v>
      </c>
      <c r="I24" s="611" t="s">
        <v>100</v>
      </c>
      <c r="J24" s="611" t="s">
        <v>4429</v>
      </c>
      <c r="K24" s="611" t="s">
        <v>4507</v>
      </c>
      <c r="L24" s="649" t="s">
        <v>100</v>
      </c>
      <c r="M24" s="668"/>
      <c r="N24" s="687"/>
      <c r="O24" s="688"/>
      <c r="P24" s="688"/>
      <c r="Q24" s="688"/>
      <c r="R24" s="727"/>
      <c r="U24" s="129" t="s">
        <v>4508</v>
      </c>
      <c r="V24" s="129" t="str">
        <f>IF(OR(J24="1920s,现代",$U$1="其他",J24=$U$1,AND(J24="1920s,罕见",$U$1="1920s"),J24="罕见"),U24,"-"&amp;U24)</f>
        <v>中型剑（佩剑、重剑）</v>
      </c>
      <c r="Y24" s="732"/>
      <c r="Z24" s="732"/>
      <c r="AA24" s="732"/>
      <c r="AB24" s="732"/>
      <c r="AC24" s="732"/>
      <c r="AD24" s="732"/>
      <c r="AE24" s="732"/>
      <c r="AF24" s="737"/>
    </row>
    <row r="25" ht="14.25" customHeight="1" spans="2:32">
      <c r="B25" s="606" t="str">
        <f t="shared" si="0"/>
        <v>轻型剑（花剑、剑杖）</v>
      </c>
      <c r="C25" s="607" t="s">
        <v>2565</v>
      </c>
      <c r="D25" s="608" t="s">
        <v>4456</v>
      </c>
      <c r="E25" s="608" t="s">
        <v>4435</v>
      </c>
      <c r="F25" s="608" t="s">
        <v>515</v>
      </c>
      <c r="G25" s="608" t="s">
        <v>4427</v>
      </c>
      <c r="H25" s="608" t="s">
        <v>100</v>
      </c>
      <c r="I25" s="608" t="s">
        <v>100</v>
      </c>
      <c r="J25" s="608" t="s">
        <v>4429</v>
      </c>
      <c r="K25" s="608" t="s">
        <v>4509</v>
      </c>
      <c r="L25" s="648" t="s">
        <v>100</v>
      </c>
      <c r="M25" s="668"/>
      <c r="N25" s="689"/>
      <c r="O25" s="690"/>
      <c r="P25" s="690"/>
      <c r="Q25" s="690"/>
      <c r="R25" s="728"/>
      <c r="U25" s="129" t="s">
        <v>4510</v>
      </c>
      <c r="V25" s="129" t="str">
        <f>IF(OR(J25="1920s,现代",$U$1="其他",J25=$U$1,AND(J25="1920s,罕见",$U$1="1920s"),J25="罕见"),U25,"-"&amp;U25)</f>
        <v>轻型剑（花剑、剑杖）</v>
      </c>
      <c r="Y25" s="732"/>
      <c r="Z25" s="732"/>
      <c r="AA25" s="732"/>
      <c r="AB25" s="732"/>
      <c r="AC25" s="732"/>
      <c r="AD25" s="732"/>
      <c r="AE25" s="732"/>
      <c r="AF25" s="737"/>
    </row>
    <row r="26" ht="14.25" customHeight="1" spans="2:32">
      <c r="B26" s="624" t="str">
        <f t="shared" si="0"/>
        <v>-电棍、电击枪(接触)</v>
      </c>
      <c r="C26" s="625" t="s">
        <v>126</v>
      </c>
      <c r="D26" s="626" t="s">
        <v>4511</v>
      </c>
      <c r="E26" s="626" t="s">
        <v>4435</v>
      </c>
      <c r="F26" s="626" t="s">
        <v>181</v>
      </c>
      <c r="G26" s="626" t="s">
        <v>4427</v>
      </c>
      <c r="H26" s="626" t="s">
        <v>100</v>
      </c>
      <c r="I26" s="626" t="s">
        <v>4428</v>
      </c>
      <c r="J26" s="626" t="s">
        <v>4447</v>
      </c>
      <c r="K26" s="626" t="s">
        <v>4512</v>
      </c>
      <c r="L26" s="654" t="s">
        <v>4513</v>
      </c>
      <c r="M26" s="668"/>
      <c r="U26" s="129" t="s">
        <v>4514</v>
      </c>
      <c r="V26" s="129" t="str">
        <f>IF(OR(J26="1920s,现代",$U$1="其他",J26=$U$1,AND(J26="1920s,罕见",$U$1="1920s"),J26="罕见"),U26,"-"&amp;U26)</f>
        <v>-电棍、电击枪(接触)</v>
      </c>
      <c r="Y26" s="732"/>
      <c r="Z26" s="732"/>
      <c r="AA26" s="732"/>
      <c r="AB26" s="732"/>
      <c r="AC26" s="732"/>
      <c r="AD26" s="732"/>
      <c r="AE26" s="732"/>
      <c r="AF26" s="737"/>
    </row>
    <row r="27" ht="14.25" customHeight="1" spans="2:32">
      <c r="B27" s="624" t="str">
        <f t="shared" si="0"/>
        <v>-电击枪(远程)</v>
      </c>
      <c r="C27" s="625" t="s">
        <v>140</v>
      </c>
      <c r="D27" s="626" t="s">
        <v>4511</v>
      </c>
      <c r="E27" s="626" t="s">
        <v>4515</v>
      </c>
      <c r="F27" s="626" t="s">
        <v>181</v>
      </c>
      <c r="G27" s="626" t="s">
        <v>4427</v>
      </c>
      <c r="H27" s="626" t="s">
        <v>4516</v>
      </c>
      <c r="I27" s="626" t="s">
        <v>4446</v>
      </c>
      <c r="J27" s="626" t="s">
        <v>4447</v>
      </c>
      <c r="K27" s="626" t="s">
        <v>4517</v>
      </c>
      <c r="L27" s="654" t="s">
        <v>4518</v>
      </c>
      <c r="M27" s="668"/>
      <c r="U27" s="129" t="s">
        <v>4519</v>
      </c>
      <c r="V27" s="129" t="str">
        <f>IF(OR(J27="1920s,现代",$U$1="其他",J27=$U$1,AND(J27="1920s,罕见",$U$1="1920s"),J27="罕见"),U27,"-"&amp;U27)</f>
        <v>-电击枪(远程)</v>
      </c>
      <c r="Y27" s="732"/>
      <c r="Z27" s="732"/>
      <c r="AA27" s="732"/>
      <c r="AB27" s="732"/>
      <c r="AC27" s="732"/>
      <c r="AD27" s="732"/>
      <c r="AE27" s="732"/>
      <c r="AF27" s="737"/>
    </row>
    <row r="28" ht="14.25" customHeight="1" spans="2:32">
      <c r="B28" s="609" t="str">
        <f t="shared" si="0"/>
        <v>*战斗回力镖</v>
      </c>
      <c r="C28" s="610" t="s">
        <v>144</v>
      </c>
      <c r="D28" s="611" t="s">
        <v>4498</v>
      </c>
      <c r="E28" s="611" t="s">
        <v>4491</v>
      </c>
      <c r="F28" s="611" t="s">
        <v>181</v>
      </c>
      <c r="G28" s="611" t="s">
        <v>4427</v>
      </c>
      <c r="H28" s="611" t="s">
        <v>100</v>
      </c>
      <c r="I28" s="611" t="s">
        <v>100</v>
      </c>
      <c r="J28" s="611" t="s">
        <v>4500</v>
      </c>
      <c r="K28" s="611" t="s">
        <v>4520</v>
      </c>
      <c r="L28" s="649" t="s">
        <v>100</v>
      </c>
      <c r="M28" s="668"/>
      <c r="U28" s="129" t="s">
        <v>4521</v>
      </c>
      <c r="V28" s="129" t="s">
        <v>4521</v>
      </c>
      <c r="AF28" s="737"/>
    </row>
    <row r="29" ht="14.25" customHeight="1" spans="2:32">
      <c r="B29" s="627" t="str">
        <f t="shared" si="0"/>
        <v>伐木斧</v>
      </c>
      <c r="C29" s="628" t="s">
        <v>2554</v>
      </c>
      <c r="D29" s="629" t="s">
        <v>4522</v>
      </c>
      <c r="E29" s="629" t="s">
        <v>4435</v>
      </c>
      <c r="F29" s="629" t="s">
        <v>515</v>
      </c>
      <c r="G29" s="629" t="s">
        <v>4427</v>
      </c>
      <c r="H29" s="629" t="s">
        <v>100</v>
      </c>
      <c r="I29" s="629" t="s">
        <v>100</v>
      </c>
      <c r="J29" s="629" t="s">
        <v>4429</v>
      </c>
      <c r="K29" s="629" t="s">
        <v>4523</v>
      </c>
      <c r="L29" s="655" t="s">
        <v>100</v>
      </c>
      <c r="M29" s="668"/>
      <c r="U29" s="129" t="s">
        <v>4524</v>
      </c>
      <c r="V29" s="129" t="str">
        <f>IF(OR(J29="1920s,现代",$U$1="其他",J29=$U$1,AND(J29="1920s,罕见",$U$1="1920s"),J29="罕见"),U29,"-"&amp;U29)</f>
        <v>伐木斧</v>
      </c>
      <c r="Y29" s="298"/>
      <c r="Z29" s="732"/>
      <c r="AA29" s="732"/>
      <c r="AB29" s="732"/>
      <c r="AC29" s="732"/>
      <c r="AD29" s="732"/>
      <c r="AE29" s="732"/>
      <c r="AF29" s="737"/>
    </row>
    <row r="30" ht="14.25" customHeight="1" spans="2:32">
      <c r="B30" s="630" t="str">
        <f t="shared" si="0"/>
        <v>*遂发枪</v>
      </c>
      <c r="C30" s="631" t="s">
        <v>140</v>
      </c>
      <c r="D30" s="632" t="s">
        <v>4525</v>
      </c>
      <c r="E30" s="632" t="s">
        <v>4526</v>
      </c>
      <c r="F30" s="632" t="s">
        <v>515</v>
      </c>
      <c r="G30" s="632" t="s">
        <v>4527</v>
      </c>
      <c r="H30" s="632" t="s">
        <v>4427</v>
      </c>
      <c r="I30" s="632" t="s">
        <v>4446</v>
      </c>
      <c r="J30" s="632" t="s">
        <v>4500</v>
      </c>
      <c r="K30" s="632" t="s">
        <v>4528</v>
      </c>
      <c r="L30" s="656" t="s">
        <v>4529</v>
      </c>
      <c r="M30" s="691" t="s">
        <v>4530</v>
      </c>
      <c r="N30" s="692" t="s">
        <v>4531</v>
      </c>
      <c r="O30" s="693" t="s">
        <v>4532</v>
      </c>
      <c r="P30" s="694"/>
      <c r="R30" s="729"/>
      <c r="U30" s="129" t="s">
        <v>4533</v>
      </c>
      <c r="V30" s="129" t="s">
        <v>4533</v>
      </c>
      <c r="Y30" s="732"/>
      <c r="Z30" s="732"/>
      <c r="AA30" s="732"/>
      <c r="AB30" s="732"/>
      <c r="AC30" s="732"/>
      <c r="AD30" s="732"/>
      <c r="AE30" s="732"/>
      <c r="AF30" s="737"/>
    </row>
    <row r="31" ht="14.25" customHeight="1" spans="2:37">
      <c r="B31" s="609" t="str">
        <f t="shared" si="0"/>
        <v>.22(5.6mm)小型自动手枪</v>
      </c>
      <c r="C31" s="610" t="s">
        <v>140</v>
      </c>
      <c r="D31" s="611" t="s">
        <v>4534</v>
      </c>
      <c r="E31" s="611" t="s">
        <v>4526</v>
      </c>
      <c r="F31" s="611" t="s">
        <v>515</v>
      </c>
      <c r="G31" s="611" t="s">
        <v>4535</v>
      </c>
      <c r="H31" s="611" t="s">
        <v>4536</v>
      </c>
      <c r="I31" s="611" t="s">
        <v>1207</v>
      </c>
      <c r="J31" s="611" t="s">
        <v>4429</v>
      </c>
      <c r="K31" s="611" t="s">
        <v>4537</v>
      </c>
      <c r="L31" s="649" t="s">
        <v>4538</v>
      </c>
      <c r="M31" s="695"/>
      <c r="N31" s="696"/>
      <c r="O31" s="697"/>
      <c r="P31" s="698"/>
      <c r="Q31" s="729"/>
      <c r="R31" s="729"/>
      <c r="U31" s="129" t="s">
        <v>4539</v>
      </c>
      <c r="V31" s="129" t="str">
        <f t="shared" ref="V31:V45" si="2">IF(OR(J31="1920s,现代",$U$1="其他",J31=$U$1,AND(J31="1920s,罕见",$U$1="1920s"),J31="罕见"),U31,"-"&amp;U31)</f>
        <v>.22(5.6mm)小型自动手枪</v>
      </c>
      <c r="Y31" s="732"/>
      <c r="Z31" s="732"/>
      <c r="AA31" s="732"/>
      <c r="AB31" s="732"/>
      <c r="AC31" s="732"/>
      <c r="AD31" s="732"/>
      <c r="AE31" s="732"/>
      <c r="AF31" s="737"/>
      <c r="AG31" s="182"/>
      <c r="AH31" s="182"/>
      <c r="AI31" s="182"/>
      <c r="AJ31" s="182"/>
      <c r="AK31" s="182"/>
    </row>
    <row r="32" ht="14.25" customHeight="1" spans="2:37">
      <c r="B32" s="633" t="str">
        <f t="shared" si="0"/>
        <v>.25(6.35mm)短口手枪(单管)</v>
      </c>
      <c r="C32" s="634" t="s">
        <v>140</v>
      </c>
      <c r="D32" s="635" t="s">
        <v>4534</v>
      </c>
      <c r="E32" s="635" t="s">
        <v>4516</v>
      </c>
      <c r="F32" s="635" t="s">
        <v>515</v>
      </c>
      <c r="G32" s="635" t="s">
        <v>4427</v>
      </c>
      <c r="H32" s="635">
        <v>1</v>
      </c>
      <c r="I32" s="635" t="s">
        <v>1207</v>
      </c>
      <c r="J32" s="635" t="s">
        <v>15</v>
      </c>
      <c r="K32" s="635" t="s">
        <v>4540</v>
      </c>
      <c r="L32" s="657" t="s">
        <v>4541</v>
      </c>
      <c r="M32" s="695"/>
      <c r="N32" s="696"/>
      <c r="O32" s="697"/>
      <c r="P32" s="698"/>
      <c r="Q32" s="729"/>
      <c r="R32" s="729"/>
      <c r="U32" s="129" t="s">
        <v>4542</v>
      </c>
      <c r="V32" s="129" t="str">
        <f t="shared" si="2"/>
        <v>.25(6.35mm)短口手枪(单管)</v>
      </c>
      <c r="Y32" s="732"/>
      <c r="Z32" s="732"/>
      <c r="AA32" s="732"/>
      <c r="AB32" s="732"/>
      <c r="AC32" s="732"/>
      <c r="AD32" s="732"/>
      <c r="AE32" s="732"/>
      <c r="AF32" s="737"/>
      <c r="AG32" s="182"/>
      <c r="AH32" s="182"/>
      <c r="AI32" s="182"/>
      <c r="AJ32" s="182"/>
      <c r="AK32" s="182"/>
    </row>
    <row r="33" ht="14.25" customHeight="1" spans="2:37">
      <c r="B33" s="609" t="str">
        <f t="shared" si="0"/>
        <v>.32(7.65mm)左轮手枪</v>
      </c>
      <c r="C33" s="610" t="s">
        <v>140</v>
      </c>
      <c r="D33" s="611" t="s">
        <v>4543</v>
      </c>
      <c r="E33" s="611" t="s">
        <v>4544</v>
      </c>
      <c r="F33" s="611" t="s">
        <v>515</v>
      </c>
      <c r="G33" s="611" t="s">
        <v>4535</v>
      </c>
      <c r="H33" s="611" t="s">
        <v>4536</v>
      </c>
      <c r="I33" s="611" t="s">
        <v>1207</v>
      </c>
      <c r="J33" s="611" t="s">
        <v>4429</v>
      </c>
      <c r="K33" s="611" t="s">
        <v>4545</v>
      </c>
      <c r="L33" s="649" t="s">
        <v>4546</v>
      </c>
      <c r="M33" s="695"/>
      <c r="N33" s="696"/>
      <c r="O33" s="697"/>
      <c r="P33" s="698"/>
      <c r="Q33" s="729"/>
      <c r="R33" s="729"/>
      <c r="U33" s="129" t="s">
        <v>4547</v>
      </c>
      <c r="V33" s="129" t="str">
        <f t="shared" si="2"/>
        <v>.32(7.65mm)左轮手枪</v>
      </c>
      <c r="Y33" s="732"/>
      <c r="Z33" s="732"/>
      <c r="AA33" s="732"/>
      <c r="AB33" s="732"/>
      <c r="AC33" s="732"/>
      <c r="AD33" s="732"/>
      <c r="AE33" s="732"/>
      <c r="AF33" s="737"/>
      <c r="AG33" s="182"/>
      <c r="AH33" s="182"/>
      <c r="AI33" s="182"/>
      <c r="AJ33" s="182"/>
      <c r="AK33" s="182"/>
    </row>
    <row r="34" ht="14.25" customHeight="1" spans="2:37">
      <c r="B34" s="633" t="str">
        <f t="shared" ref="B34:B65" si="3">IF(OR(J34="1920s,现代",$U$1="其他",J34=$U$1,J34="罕见"),U34,"-"&amp;U34)</f>
        <v>.32(7.65mm)自动手枪</v>
      </c>
      <c r="C34" s="634" t="s">
        <v>140</v>
      </c>
      <c r="D34" s="635" t="s">
        <v>4543</v>
      </c>
      <c r="E34" s="635" t="s">
        <v>4544</v>
      </c>
      <c r="F34" s="635" t="s">
        <v>515</v>
      </c>
      <c r="G34" s="635" t="s">
        <v>4535</v>
      </c>
      <c r="H34" s="635" t="s">
        <v>4548</v>
      </c>
      <c r="I34" s="635" t="s">
        <v>4549</v>
      </c>
      <c r="J34" s="635" t="s">
        <v>4429</v>
      </c>
      <c r="K34" s="635" t="s">
        <v>4550</v>
      </c>
      <c r="L34" s="657" t="s">
        <v>4546</v>
      </c>
      <c r="M34" s="695"/>
      <c r="N34" s="696"/>
      <c r="O34" s="697"/>
      <c r="P34" s="698"/>
      <c r="Q34" s="729"/>
      <c r="R34" s="729"/>
      <c r="U34" s="129" t="s">
        <v>4551</v>
      </c>
      <c r="V34" s="129" t="str">
        <f t="shared" si="2"/>
        <v>.32(7.65mm)自动手枪</v>
      </c>
      <c r="Y34" s="732"/>
      <c r="Z34" s="732"/>
      <c r="AA34" s="732"/>
      <c r="AB34" s="732"/>
      <c r="AC34" s="732"/>
      <c r="AD34" s="732"/>
      <c r="AE34" s="732"/>
      <c r="AF34" s="737"/>
      <c r="AG34" s="182"/>
      <c r="AH34" s="182"/>
      <c r="AI34" s="182"/>
      <c r="AJ34" s="182"/>
      <c r="AK34" s="182"/>
    </row>
    <row r="35" ht="14.25" customHeight="1" spans="2:37">
      <c r="B35" s="609" t="str">
        <f t="shared" si="3"/>
        <v>-.357 马格南左轮</v>
      </c>
      <c r="C35" s="610" t="s">
        <v>140</v>
      </c>
      <c r="D35" s="611" t="s">
        <v>4552</v>
      </c>
      <c r="E35" s="611" t="s">
        <v>4544</v>
      </c>
      <c r="F35" s="611" t="s">
        <v>515</v>
      </c>
      <c r="G35" s="611" t="s">
        <v>4535</v>
      </c>
      <c r="H35" s="611" t="s">
        <v>4536</v>
      </c>
      <c r="I35" s="611" t="s">
        <v>1207</v>
      </c>
      <c r="J35" s="611" t="s">
        <v>4447</v>
      </c>
      <c r="K35" s="611" t="s">
        <v>4553</v>
      </c>
      <c r="L35" s="649" t="s">
        <v>4554</v>
      </c>
      <c r="M35" s="695"/>
      <c r="N35" s="696"/>
      <c r="O35" s="697"/>
      <c r="P35" s="698"/>
      <c r="Q35" s="729"/>
      <c r="R35" s="729"/>
      <c r="U35" s="129" t="s">
        <v>4555</v>
      </c>
      <c r="V35" s="129" t="str">
        <f t="shared" si="2"/>
        <v>-.357 马格南左轮</v>
      </c>
      <c r="Y35" s="732"/>
      <c r="Z35" s="732"/>
      <c r="AA35" s="732"/>
      <c r="AB35" s="732"/>
      <c r="AC35" s="732"/>
      <c r="AD35" s="732"/>
      <c r="AE35" s="732"/>
      <c r="AF35" s="737"/>
      <c r="AG35" s="182"/>
      <c r="AH35" s="182"/>
      <c r="AI35" s="182"/>
      <c r="AJ35" s="182"/>
      <c r="AK35" s="182"/>
    </row>
    <row r="36" ht="14.25" customHeight="1" spans="2:37">
      <c r="B36" s="633" t="str">
        <f t="shared" si="3"/>
        <v>.38(9mm)左轮手枪</v>
      </c>
      <c r="C36" s="634" t="s">
        <v>140</v>
      </c>
      <c r="D36" s="635" t="s">
        <v>433</v>
      </c>
      <c r="E36" s="635" t="s">
        <v>4544</v>
      </c>
      <c r="F36" s="635" t="s">
        <v>515</v>
      </c>
      <c r="G36" s="635" t="s">
        <v>4535</v>
      </c>
      <c r="H36" s="635" t="s">
        <v>4536</v>
      </c>
      <c r="I36" s="635" t="s">
        <v>1207</v>
      </c>
      <c r="J36" s="635" t="s">
        <v>4429</v>
      </c>
      <c r="K36" s="635" t="s">
        <v>4556</v>
      </c>
      <c r="L36" s="657" t="s">
        <v>4557</v>
      </c>
      <c r="M36" s="695"/>
      <c r="N36" s="696"/>
      <c r="O36" s="697"/>
      <c r="P36" s="698"/>
      <c r="Q36" s="729"/>
      <c r="R36" s="729"/>
      <c r="U36" s="129" t="s">
        <v>4558</v>
      </c>
      <c r="V36" s="129" t="str">
        <f t="shared" si="2"/>
        <v>.38(9mm)左轮手枪</v>
      </c>
      <c r="Y36" s="732"/>
      <c r="Z36" s="732"/>
      <c r="AA36" s="732"/>
      <c r="AB36" s="732"/>
      <c r="AC36" s="732"/>
      <c r="AD36" s="732"/>
      <c r="AE36" s="732"/>
      <c r="AF36" s="737"/>
      <c r="AG36" s="182"/>
      <c r="AH36" s="182"/>
      <c r="AI36" s="182"/>
      <c r="AJ36" s="182"/>
      <c r="AK36" s="182"/>
    </row>
    <row r="37" ht="14.25" customHeight="1" spans="2:37">
      <c r="B37" s="609" t="str">
        <f t="shared" si="3"/>
        <v>.38(9mm)自动手枪</v>
      </c>
      <c r="C37" s="610" t="s">
        <v>140</v>
      </c>
      <c r="D37" s="611" t="s">
        <v>433</v>
      </c>
      <c r="E37" s="611" t="s">
        <v>4544</v>
      </c>
      <c r="F37" s="611" t="s">
        <v>515</v>
      </c>
      <c r="G37" s="611" t="s">
        <v>4535</v>
      </c>
      <c r="H37" s="611" t="s">
        <v>4548</v>
      </c>
      <c r="I37" s="611" t="s">
        <v>4549</v>
      </c>
      <c r="J37" s="611" t="s">
        <v>4429</v>
      </c>
      <c r="K37" s="611" t="s">
        <v>4559</v>
      </c>
      <c r="L37" s="649" t="s">
        <v>4557</v>
      </c>
      <c r="M37" s="695"/>
      <c r="N37" s="696"/>
      <c r="O37" s="697"/>
      <c r="P37" s="698"/>
      <c r="Q37" s="729"/>
      <c r="R37" s="729"/>
      <c r="U37" s="129" t="s">
        <v>4560</v>
      </c>
      <c r="V37" s="129" t="str">
        <f t="shared" si="2"/>
        <v>.38(9mm)自动手枪</v>
      </c>
      <c r="Y37" s="732"/>
      <c r="Z37" s="732"/>
      <c r="AA37" s="732"/>
      <c r="AB37" s="732"/>
      <c r="AC37" s="732"/>
      <c r="AD37" s="732"/>
      <c r="AE37" s="732"/>
      <c r="AF37" s="737"/>
      <c r="AG37" s="182"/>
      <c r="AH37" s="182"/>
      <c r="AI37" s="182"/>
      <c r="AJ37" s="182"/>
      <c r="AK37" s="182"/>
    </row>
    <row r="38" ht="14.25" customHeight="1" spans="2:37">
      <c r="B38" s="633" t="str">
        <f t="shared" si="3"/>
        <v>-贝瑞塔 M9</v>
      </c>
      <c r="C38" s="634" t="s">
        <v>140</v>
      </c>
      <c r="D38" s="635" t="s">
        <v>433</v>
      </c>
      <c r="E38" s="635" t="s">
        <v>4544</v>
      </c>
      <c r="F38" s="635" t="s">
        <v>515</v>
      </c>
      <c r="G38" s="635" t="s">
        <v>4535</v>
      </c>
      <c r="H38" s="635" t="s">
        <v>4544</v>
      </c>
      <c r="I38" s="635" t="s">
        <v>4561</v>
      </c>
      <c r="J38" s="635" t="s">
        <v>4447</v>
      </c>
      <c r="K38" s="635" t="s">
        <v>4562</v>
      </c>
      <c r="L38" s="657" t="s">
        <v>4563</v>
      </c>
      <c r="M38" s="695"/>
      <c r="N38" s="696" t="s">
        <v>4564</v>
      </c>
      <c r="O38" s="697"/>
      <c r="P38" s="698"/>
      <c r="Q38" s="729"/>
      <c r="R38" s="729"/>
      <c r="U38" s="129" t="s">
        <v>4565</v>
      </c>
      <c r="V38" s="129" t="str">
        <f t="shared" si="2"/>
        <v>-贝瑞塔 M9</v>
      </c>
      <c r="Y38" s="732"/>
      <c r="Z38" s="732"/>
      <c r="AA38" s="732"/>
      <c r="AB38" s="732"/>
      <c r="AC38" s="732"/>
      <c r="AD38" s="732"/>
      <c r="AE38" s="732"/>
      <c r="AF38" s="737"/>
      <c r="AG38" s="182"/>
      <c r="AH38" s="182"/>
      <c r="AI38" s="182"/>
      <c r="AJ38" s="182"/>
      <c r="AK38" s="182"/>
    </row>
    <row r="39" ht="14.25" customHeight="1" spans="2:37">
      <c r="B39" s="609" t="str">
        <f t="shared" si="3"/>
        <v>-9mm 格洛克 17</v>
      </c>
      <c r="C39" s="610" t="s">
        <v>140</v>
      </c>
      <c r="D39" s="611" t="s">
        <v>433</v>
      </c>
      <c r="E39" s="611" t="s">
        <v>4544</v>
      </c>
      <c r="F39" s="611" t="s">
        <v>515</v>
      </c>
      <c r="G39" s="611" t="s">
        <v>4535</v>
      </c>
      <c r="H39" s="611" t="s">
        <v>4566</v>
      </c>
      <c r="I39" s="611" t="s">
        <v>4561</v>
      </c>
      <c r="J39" s="611" t="s">
        <v>4447</v>
      </c>
      <c r="K39" s="611" t="s">
        <v>4562</v>
      </c>
      <c r="L39" s="649" t="s">
        <v>4567</v>
      </c>
      <c r="M39" s="695"/>
      <c r="N39" s="696"/>
      <c r="O39" s="697"/>
      <c r="P39" s="698"/>
      <c r="Q39" s="729"/>
      <c r="R39" s="729"/>
      <c r="U39" s="129" t="s">
        <v>4568</v>
      </c>
      <c r="V39" s="129" t="str">
        <f t="shared" si="2"/>
        <v>-9mm 格洛克 17</v>
      </c>
      <c r="Y39" s="732"/>
      <c r="Z39" s="732"/>
      <c r="AA39" s="732"/>
      <c r="AB39" s="732"/>
      <c r="AC39" s="732"/>
      <c r="AD39" s="732"/>
      <c r="AE39" s="732"/>
      <c r="AF39" s="737"/>
      <c r="AG39" s="182"/>
      <c r="AH39" s="182"/>
      <c r="AI39" s="182"/>
      <c r="AJ39" s="182"/>
      <c r="AK39" s="182"/>
    </row>
    <row r="40" ht="14.25" customHeight="1" spans="2:33">
      <c r="B40" s="633" t="str">
        <f t="shared" si="3"/>
        <v>9mm 鲁格 P08</v>
      </c>
      <c r="C40" s="634" t="s">
        <v>140</v>
      </c>
      <c r="D40" s="635" t="s">
        <v>433</v>
      </c>
      <c r="E40" s="635" t="s">
        <v>4544</v>
      </c>
      <c r="F40" s="635" t="s">
        <v>515</v>
      </c>
      <c r="G40" s="635" t="s">
        <v>4535</v>
      </c>
      <c r="H40" s="635" t="s">
        <v>4548</v>
      </c>
      <c r="I40" s="635" t="s">
        <v>4549</v>
      </c>
      <c r="J40" s="635" t="s">
        <v>4429</v>
      </c>
      <c r="K40" s="635" t="s">
        <v>4569</v>
      </c>
      <c r="L40" s="657" t="s">
        <v>4570</v>
      </c>
      <c r="M40" s="695"/>
      <c r="N40" s="696"/>
      <c r="O40" s="697"/>
      <c r="P40" s="698"/>
      <c r="Q40" s="729"/>
      <c r="R40" s="729"/>
      <c r="U40" s="129" t="s">
        <v>4571</v>
      </c>
      <c r="V40" s="129" t="str">
        <f t="shared" si="2"/>
        <v>9mm 鲁格 P08</v>
      </c>
      <c r="Y40" s="732"/>
      <c r="Z40" s="732"/>
      <c r="AA40" s="732"/>
      <c r="AB40" s="732"/>
      <c r="AC40" s="732"/>
      <c r="AD40" s="732"/>
      <c r="AE40" s="732"/>
      <c r="AF40" s="737"/>
      <c r="AG40" s="182"/>
    </row>
    <row r="41" ht="14.25" customHeight="1" spans="2:33">
      <c r="B41" s="609" t="str">
        <f t="shared" si="3"/>
        <v>-*.41(10.4mm) 左轮手枪</v>
      </c>
      <c r="C41" s="610" t="s">
        <v>140</v>
      </c>
      <c r="D41" s="611" t="s">
        <v>433</v>
      </c>
      <c r="E41" s="611" t="s">
        <v>4544</v>
      </c>
      <c r="F41" s="611" t="s">
        <v>515</v>
      </c>
      <c r="G41" s="611" t="s">
        <v>4535</v>
      </c>
      <c r="H41" s="611" t="s">
        <v>4548</v>
      </c>
      <c r="I41" s="611" t="s">
        <v>1207</v>
      </c>
      <c r="J41" s="658" t="s">
        <v>4572</v>
      </c>
      <c r="K41" s="611" t="s">
        <v>4573</v>
      </c>
      <c r="L41" s="649" t="s">
        <v>4574</v>
      </c>
      <c r="M41" s="695"/>
      <c r="N41" s="696"/>
      <c r="O41" s="697"/>
      <c r="P41" s="698"/>
      <c r="Q41" s="729"/>
      <c r="R41" s="729"/>
      <c r="U41" s="129" t="s">
        <v>4575</v>
      </c>
      <c r="V41" s="129" t="str">
        <f t="shared" si="2"/>
        <v>*.41(10.4mm) 左轮手枪</v>
      </c>
      <c r="Y41" s="732"/>
      <c r="Z41" s="732"/>
      <c r="AA41" s="732"/>
      <c r="AB41" s="732"/>
      <c r="AC41" s="732"/>
      <c r="AD41" s="732"/>
      <c r="AE41" s="732"/>
      <c r="AF41" s="737"/>
      <c r="AG41" s="182"/>
    </row>
    <row r="42" ht="14.25" customHeight="1" spans="2:33">
      <c r="B42" s="633" t="str">
        <f t="shared" si="3"/>
        <v>-.44(11.2mm) 马格南左轮手枪</v>
      </c>
      <c r="C42" s="634" t="s">
        <v>140</v>
      </c>
      <c r="D42" s="635" t="s">
        <v>4576</v>
      </c>
      <c r="E42" s="635" t="s">
        <v>4544</v>
      </c>
      <c r="F42" s="635" t="s">
        <v>515</v>
      </c>
      <c r="G42" s="635" t="s">
        <v>4535</v>
      </c>
      <c r="H42" s="635" t="s">
        <v>4536</v>
      </c>
      <c r="I42" s="635" t="s">
        <v>1207</v>
      </c>
      <c r="J42" s="635" t="s">
        <v>4447</v>
      </c>
      <c r="K42" s="635">
        <v>475</v>
      </c>
      <c r="L42" s="657" t="s">
        <v>4577</v>
      </c>
      <c r="M42" s="695"/>
      <c r="N42" s="696"/>
      <c r="O42" s="697"/>
      <c r="P42" s="698"/>
      <c r="Q42" s="729"/>
      <c r="R42" s="729"/>
      <c r="U42" s="129" t="s">
        <v>4578</v>
      </c>
      <c r="V42" s="129" t="str">
        <f t="shared" si="2"/>
        <v>-.44(11.2mm) 马格南左轮手枪</v>
      </c>
      <c r="Y42" s="732"/>
      <c r="Z42" s="732"/>
      <c r="AA42" s="732"/>
      <c r="AB42" s="732"/>
      <c r="AC42" s="732"/>
      <c r="AD42" s="732"/>
      <c r="AE42" s="732"/>
      <c r="AF42" s="737"/>
      <c r="AG42" s="182"/>
    </row>
    <row r="43" ht="14.25" customHeight="1" spans="2:33">
      <c r="B43" s="609" t="str">
        <f t="shared" si="3"/>
        <v>.45(11.43mm) 左轮手枪</v>
      </c>
      <c r="C43" s="610" t="s">
        <v>140</v>
      </c>
      <c r="D43" s="611" t="s">
        <v>4579</v>
      </c>
      <c r="E43" s="611" t="s">
        <v>4544</v>
      </c>
      <c r="F43" s="611" t="s">
        <v>515</v>
      </c>
      <c r="G43" s="611" t="s">
        <v>4535</v>
      </c>
      <c r="H43" s="611" t="s">
        <v>4536</v>
      </c>
      <c r="I43" s="611" t="s">
        <v>1207</v>
      </c>
      <c r="J43" s="611" t="s">
        <v>4429</v>
      </c>
      <c r="K43" s="611" t="s">
        <v>4528</v>
      </c>
      <c r="L43" s="649" t="s">
        <v>4580</v>
      </c>
      <c r="M43" s="695"/>
      <c r="N43" s="696"/>
      <c r="O43" s="697"/>
      <c r="P43" s="698"/>
      <c r="Q43" s="729"/>
      <c r="R43" s="729"/>
      <c r="U43" s="129" t="s">
        <v>4581</v>
      </c>
      <c r="V43" s="129" t="str">
        <f t="shared" si="2"/>
        <v>.45(11.43mm) 左轮手枪</v>
      </c>
      <c r="Y43" s="732"/>
      <c r="Z43" s="732"/>
      <c r="AA43" s="732"/>
      <c r="AB43" s="732"/>
      <c r="AC43" s="732"/>
      <c r="AD43" s="732"/>
      <c r="AE43" s="732"/>
      <c r="AF43" s="737"/>
      <c r="AG43" s="182"/>
    </row>
    <row r="44" ht="14.25" customHeight="1" spans="2:33">
      <c r="B44" s="633" t="str">
        <f t="shared" si="3"/>
        <v>.45(11.43mm) 自动手枪</v>
      </c>
      <c r="C44" s="634" t="s">
        <v>140</v>
      </c>
      <c r="D44" s="635" t="s">
        <v>4579</v>
      </c>
      <c r="E44" s="635" t="s">
        <v>4544</v>
      </c>
      <c r="F44" s="635" t="s">
        <v>515</v>
      </c>
      <c r="G44" s="635" t="s">
        <v>4535</v>
      </c>
      <c r="H44" s="635" t="s">
        <v>4582</v>
      </c>
      <c r="I44" s="635" t="s">
        <v>1207</v>
      </c>
      <c r="J44" s="635" t="s">
        <v>4429</v>
      </c>
      <c r="K44" s="635" t="s">
        <v>4583</v>
      </c>
      <c r="L44" s="657" t="s">
        <v>4580</v>
      </c>
      <c r="M44" s="695"/>
      <c r="N44" s="696"/>
      <c r="O44" s="697"/>
      <c r="P44" s="698"/>
      <c r="Q44" s="729"/>
      <c r="R44" s="729"/>
      <c r="U44" s="129" t="s">
        <v>4584</v>
      </c>
      <c r="V44" s="129" t="str">
        <f t="shared" si="2"/>
        <v>.45(11.43mm) 自动手枪</v>
      </c>
      <c r="Y44" s="732"/>
      <c r="Z44" s="732"/>
      <c r="AA44" s="732"/>
      <c r="AB44" s="732"/>
      <c r="AC44" s="732"/>
      <c r="AD44" s="732"/>
      <c r="AE44" s="732"/>
      <c r="AF44" s="737"/>
      <c r="AG44" s="182"/>
    </row>
    <row r="45" ht="14.25" customHeight="1" spans="2:33">
      <c r="B45" s="636" t="str">
        <f t="shared" si="3"/>
        <v>-IMI 沙漠之鹰</v>
      </c>
      <c r="C45" s="637" t="s">
        <v>140</v>
      </c>
      <c r="D45" s="638" t="s">
        <v>4585</v>
      </c>
      <c r="E45" s="638" t="s">
        <v>4544</v>
      </c>
      <c r="F45" s="638" t="s">
        <v>515</v>
      </c>
      <c r="G45" s="638" t="s">
        <v>4535</v>
      </c>
      <c r="H45" s="638" t="s">
        <v>4582</v>
      </c>
      <c r="I45" s="638" t="s">
        <v>4586</v>
      </c>
      <c r="J45" s="638" t="s">
        <v>4447</v>
      </c>
      <c r="K45" s="638">
        <v>650</v>
      </c>
      <c r="L45" s="659" t="s">
        <v>4587</v>
      </c>
      <c r="M45" s="699"/>
      <c r="N45" s="700"/>
      <c r="O45" s="701"/>
      <c r="P45" s="702"/>
      <c r="Q45" s="729"/>
      <c r="R45" s="729"/>
      <c r="U45" s="129" t="s">
        <v>4588</v>
      </c>
      <c r="V45" s="129" t="str">
        <f t="shared" si="2"/>
        <v>-IMI 沙漠之鹰</v>
      </c>
      <c r="Y45" s="732"/>
      <c r="Z45" s="732"/>
      <c r="AA45" s="732"/>
      <c r="AB45" s="732"/>
      <c r="AC45" s="732"/>
      <c r="AD45" s="732"/>
      <c r="AE45" s="732"/>
      <c r="AF45" s="737"/>
      <c r="AG45" s="182"/>
    </row>
    <row r="46" ht="14.25" customHeight="1" spans="2:33">
      <c r="B46" s="639" t="str">
        <f t="shared" si="3"/>
        <v>*.58 (14.7mm)1855 年式春田步枪</v>
      </c>
      <c r="C46" s="640" t="s">
        <v>394</v>
      </c>
      <c r="D46" s="641" t="s">
        <v>4589</v>
      </c>
      <c r="E46" s="641" t="s">
        <v>4590</v>
      </c>
      <c r="F46" s="641" t="s">
        <v>515</v>
      </c>
      <c r="G46" s="641" t="s">
        <v>4527</v>
      </c>
      <c r="H46" s="641" t="s">
        <v>4427</v>
      </c>
      <c r="I46" s="641" t="s">
        <v>4446</v>
      </c>
      <c r="J46" s="641" t="s">
        <v>4500</v>
      </c>
      <c r="K46" s="641" t="s">
        <v>4591</v>
      </c>
      <c r="L46" s="660" t="s">
        <v>4592</v>
      </c>
      <c r="M46" s="703" t="s">
        <v>4593</v>
      </c>
      <c r="N46" s="704" t="s">
        <v>4594</v>
      </c>
      <c r="O46" s="705" t="s">
        <v>4595</v>
      </c>
      <c r="P46" s="706"/>
      <c r="Q46" s="730"/>
      <c r="R46" s="729"/>
      <c r="U46" s="129" t="s">
        <v>4596</v>
      </c>
      <c r="V46" s="129" t="s">
        <v>4596</v>
      </c>
      <c r="Y46" s="732"/>
      <c r="Z46" s="732"/>
      <c r="AA46" s="732"/>
      <c r="AB46" s="732"/>
      <c r="AC46" s="732"/>
      <c r="AD46" s="732"/>
      <c r="AE46" s="732"/>
      <c r="AF46" s="737"/>
      <c r="AG46" s="182"/>
    </row>
    <row r="47" ht="14.25" customHeight="1" spans="2:33">
      <c r="B47" s="609" t="str">
        <f t="shared" si="3"/>
        <v>.22 (5.6mm)栓式枪机步枪</v>
      </c>
      <c r="C47" s="610" t="s">
        <v>394</v>
      </c>
      <c r="D47" s="611" t="s">
        <v>4525</v>
      </c>
      <c r="E47" s="611" t="s">
        <v>4597</v>
      </c>
      <c r="F47" s="611" t="s">
        <v>515</v>
      </c>
      <c r="G47" s="611" t="s">
        <v>4427</v>
      </c>
      <c r="H47" s="611" t="s">
        <v>4536</v>
      </c>
      <c r="I47" s="611" t="s">
        <v>4549</v>
      </c>
      <c r="J47" s="611" t="s">
        <v>4429</v>
      </c>
      <c r="K47" s="611" t="s">
        <v>4598</v>
      </c>
      <c r="L47" s="649" t="s">
        <v>4538</v>
      </c>
      <c r="M47" s="707"/>
      <c r="N47" s="708"/>
      <c r="O47" s="709"/>
      <c r="P47" s="710"/>
      <c r="Q47" s="730"/>
      <c r="R47" s="729"/>
      <c r="U47" s="129" t="s">
        <v>4599</v>
      </c>
      <c r="V47" s="129" t="str">
        <f t="shared" ref="V47:V78" si="4">IF(OR(J47="1920s,现代",$U$1="其他",J47=$U$1,AND(J47="1920s,罕见",$U$1="1920s"),J47="罕见"),U47,"-"&amp;U47)</f>
        <v>.22 (5.6mm)栓式枪机步枪</v>
      </c>
      <c r="Y47" s="732"/>
      <c r="Z47" s="732"/>
      <c r="AA47" s="732"/>
      <c r="AB47" s="732"/>
      <c r="AC47" s="732"/>
      <c r="AD47" s="732"/>
      <c r="AE47" s="732"/>
      <c r="AF47" s="737"/>
      <c r="AG47" s="182"/>
    </row>
    <row r="48" ht="14.25" customHeight="1" spans="2:33">
      <c r="B48" s="606" t="str">
        <f t="shared" si="3"/>
        <v>.30 (7.62mm)杠杆式枪机步枪</v>
      </c>
      <c r="C48" s="607" t="s">
        <v>394</v>
      </c>
      <c r="D48" s="608" t="s">
        <v>4600</v>
      </c>
      <c r="E48" s="608" t="s">
        <v>455</v>
      </c>
      <c r="F48" s="608" t="s">
        <v>515</v>
      </c>
      <c r="G48" s="608" t="s">
        <v>4427</v>
      </c>
      <c r="H48" s="608" t="s">
        <v>4536</v>
      </c>
      <c r="I48" s="608" t="s">
        <v>4561</v>
      </c>
      <c r="J48" s="608" t="s">
        <v>4429</v>
      </c>
      <c r="K48" s="608" t="s">
        <v>4601</v>
      </c>
      <c r="L48" s="648" t="s">
        <v>4602</v>
      </c>
      <c r="M48" s="707"/>
      <c r="N48" s="708"/>
      <c r="O48" s="709"/>
      <c r="P48" s="710"/>
      <c r="Q48" s="730"/>
      <c r="R48" s="729"/>
      <c r="U48" s="129" t="s">
        <v>4603</v>
      </c>
      <c r="V48" s="129" t="str">
        <f t="shared" si="4"/>
        <v>.30 (7.62mm)杠杆式枪机步枪</v>
      </c>
      <c r="Y48" s="732"/>
      <c r="Z48" s="732"/>
      <c r="AA48" s="732"/>
      <c r="AB48" s="732"/>
      <c r="AC48" s="732"/>
      <c r="AD48" s="732"/>
      <c r="AE48" s="732"/>
      <c r="AF48" s="737"/>
      <c r="AG48" s="182"/>
    </row>
    <row r="49" ht="14.25" customHeight="1" spans="2:33">
      <c r="B49" s="609" t="str">
        <f t="shared" si="3"/>
        <v>.45 马提尼·亨利步枪</v>
      </c>
      <c r="C49" s="610" t="s">
        <v>394</v>
      </c>
      <c r="D49" s="611" t="s">
        <v>4604</v>
      </c>
      <c r="E49" s="611" t="s">
        <v>4605</v>
      </c>
      <c r="F49" s="611" t="s">
        <v>515</v>
      </c>
      <c r="G49" s="611" t="s">
        <v>4606</v>
      </c>
      <c r="H49" s="611" t="s">
        <v>4427</v>
      </c>
      <c r="I49" s="611" t="s">
        <v>1207</v>
      </c>
      <c r="J49" s="611" t="s">
        <v>15</v>
      </c>
      <c r="K49" s="611" t="s">
        <v>4607</v>
      </c>
      <c r="L49" s="649" t="s">
        <v>4608</v>
      </c>
      <c r="M49" s="707"/>
      <c r="N49" s="708"/>
      <c r="O49" s="709"/>
      <c r="P49" s="710"/>
      <c r="Q49" s="730"/>
      <c r="R49" s="729"/>
      <c r="U49" s="129" t="s">
        <v>4609</v>
      </c>
      <c r="V49" s="129" t="str">
        <f t="shared" si="4"/>
        <v>.45 马提尼·亨利步枪</v>
      </c>
      <c r="Y49" s="732"/>
      <c r="Z49" s="732"/>
      <c r="AA49" s="732"/>
      <c r="AB49" s="732"/>
      <c r="AC49" s="732"/>
      <c r="AD49" s="732"/>
      <c r="AE49" s="732"/>
      <c r="AF49" s="737"/>
      <c r="AG49" s="182"/>
    </row>
    <row r="50" ht="14.25" customHeight="1" spans="2:33">
      <c r="B50" s="642" t="str">
        <f t="shared" si="3"/>
        <v>莫兰上校的气动步枪</v>
      </c>
      <c r="C50" s="643" t="s">
        <v>394</v>
      </c>
      <c r="D50" s="644" t="s">
        <v>4610</v>
      </c>
      <c r="E50" s="644" t="s">
        <v>4611</v>
      </c>
      <c r="F50" s="644" t="s">
        <v>515</v>
      </c>
      <c r="G50" s="644" t="s">
        <v>4606</v>
      </c>
      <c r="H50" s="644" t="s">
        <v>4427</v>
      </c>
      <c r="I50" s="644" t="s">
        <v>4612</v>
      </c>
      <c r="J50" s="644" t="s">
        <v>15</v>
      </c>
      <c r="K50" s="644" t="s">
        <v>4613</v>
      </c>
      <c r="L50" s="661" t="s">
        <v>4580</v>
      </c>
      <c r="M50" s="707"/>
      <c r="N50" s="708"/>
      <c r="O50" s="709"/>
      <c r="P50" s="710"/>
      <c r="Q50" s="730"/>
      <c r="R50" s="729"/>
      <c r="U50" s="129" t="s">
        <v>4614</v>
      </c>
      <c r="V50" s="129" t="str">
        <f t="shared" si="4"/>
        <v>莫兰上校的气动步枪</v>
      </c>
      <c r="Y50" s="732"/>
      <c r="Z50" s="732"/>
      <c r="AA50" s="732"/>
      <c r="AB50" s="732"/>
      <c r="AC50" s="732"/>
      <c r="AD50" s="732"/>
      <c r="AE50" s="732"/>
      <c r="AF50" s="737"/>
      <c r="AG50" s="182"/>
    </row>
    <row r="51" ht="14.25" customHeight="1" spans="2:33">
      <c r="B51" s="606" t="str">
        <f t="shared" si="3"/>
        <v>加兰德M1、M2步枪</v>
      </c>
      <c r="C51" s="607" t="s">
        <v>394</v>
      </c>
      <c r="D51" s="608" t="s">
        <v>4615</v>
      </c>
      <c r="E51" s="608" t="s">
        <v>4616</v>
      </c>
      <c r="F51" s="608" t="s">
        <v>515</v>
      </c>
      <c r="G51" s="608" t="s">
        <v>4427</v>
      </c>
      <c r="H51" s="608" t="s">
        <v>4548</v>
      </c>
      <c r="I51" s="608" t="s">
        <v>1207</v>
      </c>
      <c r="J51" s="608" t="s">
        <v>4429</v>
      </c>
      <c r="K51" s="608" t="s">
        <v>4617</v>
      </c>
      <c r="L51" s="648" t="s">
        <v>4618</v>
      </c>
      <c r="M51" s="707"/>
      <c r="N51" s="708"/>
      <c r="O51" s="709"/>
      <c r="P51" s="710"/>
      <c r="Q51" s="730"/>
      <c r="R51" s="729"/>
      <c r="U51" s="129" t="s">
        <v>4619</v>
      </c>
      <c r="V51" s="129" t="str">
        <f t="shared" si="4"/>
        <v>加兰德M1、M2步枪</v>
      </c>
      <c r="AF51" s="737"/>
      <c r="AG51" s="182"/>
    </row>
    <row r="52" ht="14.25" customHeight="1" spans="2:34">
      <c r="B52" s="609" t="str">
        <f t="shared" si="3"/>
        <v>-SKS 半自动步枪(56 半)</v>
      </c>
      <c r="C52" s="645" t="s">
        <v>394</v>
      </c>
      <c r="D52" s="380" t="s">
        <v>4610</v>
      </c>
      <c r="E52" s="380" t="s">
        <v>4620</v>
      </c>
      <c r="F52" s="380" t="s">
        <v>515</v>
      </c>
      <c r="G52" s="380" t="s">
        <v>4621</v>
      </c>
      <c r="H52" s="380" t="s">
        <v>4526</v>
      </c>
      <c r="I52" s="380" t="s">
        <v>4428</v>
      </c>
      <c r="J52" s="380" t="s">
        <v>4447</v>
      </c>
      <c r="K52" s="380" t="s">
        <v>1216</v>
      </c>
      <c r="L52" s="662" t="s">
        <v>4622</v>
      </c>
      <c r="M52" s="707"/>
      <c r="N52" s="708"/>
      <c r="O52" s="709"/>
      <c r="P52" s="710"/>
      <c r="Q52" s="730"/>
      <c r="R52" s="729"/>
      <c r="U52" s="129" t="s">
        <v>4623</v>
      </c>
      <c r="V52" s="129" t="str">
        <f t="shared" si="4"/>
        <v>-SKS 半自动步枪(56 半)</v>
      </c>
      <c r="Y52" s="732"/>
      <c r="Z52" s="732"/>
      <c r="AA52" s="732"/>
      <c r="AB52" s="732"/>
      <c r="AC52" s="732"/>
      <c r="AD52" s="732"/>
      <c r="AE52" s="732"/>
      <c r="AF52" s="737"/>
      <c r="AG52" s="740"/>
      <c r="AH52" s="740"/>
    </row>
    <row r="53" ht="14.25" customHeight="1" spans="2:34">
      <c r="B53" s="606" t="str">
        <f t="shared" si="3"/>
        <v>.303 (7.7mm) 李·恩菲尔德</v>
      </c>
      <c r="C53" s="607" t="s">
        <v>394</v>
      </c>
      <c r="D53" s="608" t="s">
        <v>4615</v>
      </c>
      <c r="E53" s="608" t="s">
        <v>4616</v>
      </c>
      <c r="F53" s="608" t="s">
        <v>515</v>
      </c>
      <c r="G53" s="608" t="s">
        <v>4427</v>
      </c>
      <c r="H53" s="608">
        <v>10</v>
      </c>
      <c r="I53" s="608" t="s">
        <v>1207</v>
      </c>
      <c r="J53" s="608" t="s">
        <v>4429</v>
      </c>
      <c r="K53" s="608" t="s">
        <v>4624</v>
      </c>
      <c r="L53" s="648" t="s">
        <v>4625</v>
      </c>
      <c r="M53" s="707"/>
      <c r="N53" s="708"/>
      <c r="O53" s="709"/>
      <c r="P53" s="710"/>
      <c r="Q53" s="730"/>
      <c r="R53" s="729"/>
      <c r="U53" s="129" t="s">
        <v>4626</v>
      </c>
      <c r="V53" s="129" t="str">
        <f t="shared" si="4"/>
        <v>.303 (7.7mm) 李·恩菲尔德</v>
      </c>
      <c r="Y53" s="732"/>
      <c r="Z53" s="732"/>
      <c r="AA53" s="732"/>
      <c r="AB53" s="732"/>
      <c r="AC53" s="732"/>
      <c r="AD53" s="732"/>
      <c r="AE53" s="732"/>
      <c r="AF53" s="738"/>
      <c r="AG53" s="740"/>
      <c r="AH53" s="740"/>
    </row>
    <row r="54" ht="14.25" customHeight="1" spans="2:34">
      <c r="B54" s="609" t="str">
        <f t="shared" si="3"/>
        <v>.30——06 (7.62mm) 栓式枪机步枪</v>
      </c>
      <c r="C54" s="645" t="s">
        <v>394</v>
      </c>
      <c r="D54" s="380" t="s">
        <v>4615</v>
      </c>
      <c r="E54" s="380" t="s">
        <v>4616</v>
      </c>
      <c r="F54" s="380" t="s">
        <v>515</v>
      </c>
      <c r="G54" s="380" t="s">
        <v>4427</v>
      </c>
      <c r="H54" s="380" t="s">
        <v>4627</v>
      </c>
      <c r="I54" s="380" t="s">
        <v>1207</v>
      </c>
      <c r="J54" s="380" t="s">
        <v>4429</v>
      </c>
      <c r="K54" s="380" t="s">
        <v>4628</v>
      </c>
      <c r="L54" s="662" t="s">
        <v>4602</v>
      </c>
      <c r="M54" s="707"/>
      <c r="N54" s="708"/>
      <c r="O54" s="709"/>
      <c r="P54" s="710"/>
      <c r="Q54" s="730"/>
      <c r="R54" s="729"/>
      <c r="U54" s="129" t="s">
        <v>4629</v>
      </c>
      <c r="V54" s="129" t="str">
        <f t="shared" si="4"/>
        <v>.30——06 (7.62mm) 栓式枪机步枪</v>
      </c>
      <c r="Y54" s="732"/>
      <c r="Z54" s="732"/>
      <c r="AA54" s="732"/>
      <c r="AB54" s="732"/>
      <c r="AC54" s="732"/>
      <c r="AD54" s="732"/>
      <c r="AE54" s="732"/>
      <c r="AF54" s="738"/>
      <c r="AG54" s="740"/>
      <c r="AH54" s="740"/>
    </row>
    <row r="55" ht="14.25" customHeight="1" spans="2:34">
      <c r="B55" s="606" t="str">
        <f t="shared" si="3"/>
        <v>-.30——06 (7.62mm) 半自动步枪</v>
      </c>
      <c r="C55" s="607" t="s">
        <v>394</v>
      </c>
      <c r="D55" s="608" t="s">
        <v>4615</v>
      </c>
      <c r="E55" s="608" t="s">
        <v>4616</v>
      </c>
      <c r="F55" s="608" t="s">
        <v>515</v>
      </c>
      <c r="G55" s="608" t="s">
        <v>4427</v>
      </c>
      <c r="H55" s="608" t="s">
        <v>4627</v>
      </c>
      <c r="I55" s="608" t="s">
        <v>1207</v>
      </c>
      <c r="J55" s="608" t="s">
        <v>4447</v>
      </c>
      <c r="K55" s="608" t="s">
        <v>4630</v>
      </c>
      <c r="L55" s="648" t="s">
        <v>4631</v>
      </c>
      <c r="M55" s="707"/>
      <c r="N55" s="708"/>
      <c r="O55" s="709"/>
      <c r="P55" s="710"/>
      <c r="Q55" s="730"/>
      <c r="R55" s="729"/>
      <c r="U55" s="129" t="s">
        <v>4632</v>
      </c>
      <c r="V55" s="129" t="str">
        <f t="shared" si="4"/>
        <v>-.30——06 (7.62mm) 半自动步枪</v>
      </c>
      <c r="Y55" s="732"/>
      <c r="Z55" s="732"/>
      <c r="AA55" s="732"/>
      <c r="AB55" s="732"/>
      <c r="AC55" s="732"/>
      <c r="AD55" s="732"/>
      <c r="AE55" s="732"/>
      <c r="AF55" s="738"/>
      <c r="AG55" s="182"/>
      <c r="AH55" s="740"/>
    </row>
    <row r="56" ht="14.25" customHeight="1" spans="2:34">
      <c r="B56" s="609" t="str">
        <f t="shared" si="3"/>
        <v>-.444 (11.28mm) 马林步枪</v>
      </c>
      <c r="C56" s="645" t="s">
        <v>394</v>
      </c>
      <c r="D56" s="380" t="s">
        <v>4633</v>
      </c>
      <c r="E56" s="380" t="s">
        <v>4616</v>
      </c>
      <c r="F56" s="380" t="s">
        <v>515</v>
      </c>
      <c r="G56" s="380" t="s">
        <v>4427</v>
      </c>
      <c r="H56" s="380" t="s">
        <v>4627</v>
      </c>
      <c r="I56" s="380" t="s">
        <v>4561</v>
      </c>
      <c r="J56" s="380" t="s">
        <v>4447</v>
      </c>
      <c r="K56" s="380">
        <v>400</v>
      </c>
      <c r="L56" s="662" t="s">
        <v>4478</v>
      </c>
      <c r="M56" s="707"/>
      <c r="N56" s="708"/>
      <c r="O56" s="709"/>
      <c r="P56" s="710"/>
      <c r="Q56" s="730"/>
      <c r="R56" s="729"/>
      <c r="U56" s="129" t="s">
        <v>4634</v>
      </c>
      <c r="V56" s="129" t="str">
        <f t="shared" si="4"/>
        <v>-.444 (11.28mm) 马林步枪</v>
      </c>
      <c r="Y56" s="732"/>
      <c r="Z56" s="732"/>
      <c r="AA56" s="732"/>
      <c r="AB56" s="732"/>
      <c r="AC56" s="732"/>
      <c r="AD56" s="732"/>
      <c r="AE56" s="732"/>
      <c r="AF56" s="738"/>
      <c r="AG56" s="182"/>
      <c r="AH56" s="740"/>
    </row>
    <row r="57" ht="14.25" customHeight="1" spans="2:34">
      <c r="B57" s="606" t="str">
        <f t="shared" si="3"/>
        <v>猎象枪(双管)</v>
      </c>
      <c r="C57" s="607" t="s">
        <v>394</v>
      </c>
      <c r="D57" s="608" t="s">
        <v>4635</v>
      </c>
      <c r="E57" s="608" t="s">
        <v>1207</v>
      </c>
      <c r="F57" s="608" t="s">
        <v>515</v>
      </c>
      <c r="G57" s="608" t="s">
        <v>4636</v>
      </c>
      <c r="H57" s="608" t="s">
        <v>4492</v>
      </c>
      <c r="I57" s="608" t="s">
        <v>1207</v>
      </c>
      <c r="J57" s="608" t="s">
        <v>4429</v>
      </c>
      <c r="K57" s="608" t="s">
        <v>4637</v>
      </c>
      <c r="L57" s="648" t="s">
        <v>4638</v>
      </c>
      <c r="M57" s="711" t="s">
        <v>4639</v>
      </c>
      <c r="N57" s="712" t="s">
        <v>4640</v>
      </c>
      <c r="O57" s="713" t="s">
        <v>4641</v>
      </c>
      <c r="P57" s="712" t="s">
        <v>4642</v>
      </c>
      <c r="Q57" s="730"/>
      <c r="R57" s="729"/>
      <c r="U57" s="129" t="s">
        <v>4643</v>
      </c>
      <c r="V57" s="129" t="str">
        <f t="shared" si="4"/>
        <v>猎象枪(双管)</v>
      </c>
      <c r="Y57" s="732"/>
      <c r="Z57" s="732"/>
      <c r="AA57" s="732"/>
      <c r="AB57" s="732"/>
      <c r="AC57" s="732"/>
      <c r="AD57" s="732"/>
      <c r="AE57" s="732"/>
      <c r="AF57" s="738"/>
      <c r="AG57" s="182"/>
      <c r="AH57" s="740"/>
    </row>
    <row r="58" ht="14.25" customHeight="1" spans="2:34">
      <c r="B58" s="606" t="str">
        <f t="shared" si="3"/>
        <v>20 号霰弹枪(双管)</v>
      </c>
      <c r="C58" s="607" t="s">
        <v>394</v>
      </c>
      <c r="D58" s="608" t="s">
        <v>4644</v>
      </c>
      <c r="E58" s="608" t="s">
        <v>4645</v>
      </c>
      <c r="F58" s="608" t="s">
        <v>181</v>
      </c>
      <c r="G58" s="608" t="s">
        <v>4636</v>
      </c>
      <c r="H58" s="608" t="s">
        <v>4492</v>
      </c>
      <c r="I58" s="608" t="s">
        <v>1207</v>
      </c>
      <c r="J58" s="608" t="s">
        <v>15</v>
      </c>
      <c r="K58" s="608" t="s">
        <v>4646</v>
      </c>
      <c r="L58" s="663" t="s">
        <v>4647</v>
      </c>
      <c r="M58" s="714"/>
      <c r="N58" s="715"/>
      <c r="O58" s="716"/>
      <c r="P58" s="715"/>
      <c r="Q58" s="730"/>
      <c r="R58" s="729"/>
      <c r="U58" s="129" t="s">
        <v>4648</v>
      </c>
      <c r="V58" s="129" t="str">
        <f t="shared" si="4"/>
        <v>20 号霰弹枪(双管)</v>
      </c>
      <c r="Y58" s="732"/>
      <c r="Z58" s="732"/>
      <c r="AA58" s="732"/>
      <c r="AB58" s="732"/>
      <c r="AC58" s="732"/>
      <c r="AD58" s="732"/>
      <c r="AE58" s="732"/>
      <c r="AF58" s="738"/>
      <c r="AG58" s="182"/>
      <c r="AH58" s="740"/>
    </row>
    <row r="59" ht="14.25" customHeight="1" spans="2:33">
      <c r="B59" s="609" t="str">
        <f t="shared" si="3"/>
        <v>16 号霰弹枪(双管)</v>
      </c>
      <c r="C59" s="610" t="s">
        <v>394</v>
      </c>
      <c r="D59" s="611" t="s">
        <v>4649</v>
      </c>
      <c r="E59" s="611" t="s">
        <v>4645</v>
      </c>
      <c r="F59" s="611" t="s">
        <v>181</v>
      </c>
      <c r="G59" s="611" t="s">
        <v>4636</v>
      </c>
      <c r="H59" s="611" t="s">
        <v>4492</v>
      </c>
      <c r="I59" s="611" t="s">
        <v>1207</v>
      </c>
      <c r="J59" s="611" t="s">
        <v>15</v>
      </c>
      <c r="K59" s="611" t="s">
        <v>4650</v>
      </c>
      <c r="L59" s="664" t="s">
        <v>4647</v>
      </c>
      <c r="M59" s="714"/>
      <c r="N59" s="715"/>
      <c r="O59" s="716"/>
      <c r="P59" s="715"/>
      <c r="Q59" s="730"/>
      <c r="R59" s="729"/>
      <c r="U59" s="129" t="s">
        <v>4651</v>
      </c>
      <c r="V59" s="129" t="str">
        <f t="shared" si="4"/>
        <v>16 号霰弹枪(双管)</v>
      </c>
      <c r="Y59" s="732"/>
      <c r="Z59" s="732"/>
      <c r="AA59" s="732"/>
      <c r="AB59" s="732"/>
      <c r="AC59" s="732"/>
      <c r="AD59" s="732"/>
      <c r="AE59" s="732"/>
      <c r="AF59" s="738"/>
      <c r="AG59" s="182"/>
    </row>
    <row r="60" ht="14.25" customHeight="1" spans="2:33">
      <c r="B60" s="606" t="str">
        <f t="shared" si="3"/>
        <v>12 号霰弹枪(双管)</v>
      </c>
      <c r="C60" s="607" t="s">
        <v>394</v>
      </c>
      <c r="D60" s="608" t="s">
        <v>4652</v>
      </c>
      <c r="E60" s="608" t="s">
        <v>4645</v>
      </c>
      <c r="F60" s="608" t="s">
        <v>181</v>
      </c>
      <c r="G60" s="608" t="s">
        <v>4636</v>
      </c>
      <c r="H60" s="608" t="s">
        <v>4492</v>
      </c>
      <c r="I60" s="608" t="s">
        <v>1207</v>
      </c>
      <c r="J60" s="608" t="s">
        <v>4429</v>
      </c>
      <c r="K60" s="608" t="s">
        <v>4653</v>
      </c>
      <c r="L60" s="663" t="s">
        <v>4647</v>
      </c>
      <c r="M60" s="714"/>
      <c r="N60" s="715"/>
      <c r="O60" s="716"/>
      <c r="P60" s="715"/>
      <c r="Q60" s="730"/>
      <c r="R60" s="729"/>
      <c r="U60" s="129" t="s">
        <v>4654</v>
      </c>
      <c r="V60" s="129" t="str">
        <f t="shared" si="4"/>
        <v>12 号霰弹枪(双管)</v>
      </c>
      <c r="Y60" s="732"/>
      <c r="Z60" s="732"/>
      <c r="AA60" s="732"/>
      <c r="AB60" s="732"/>
      <c r="AC60" s="732"/>
      <c r="AD60" s="732"/>
      <c r="AE60" s="732"/>
      <c r="AF60" s="738"/>
      <c r="AG60" s="182"/>
    </row>
    <row r="61" ht="14.25" customHeight="1" spans="2:33">
      <c r="B61" s="609" t="str">
        <f t="shared" si="3"/>
        <v>-12 号霰弹枪(泵动)</v>
      </c>
      <c r="C61" s="610" t="s">
        <v>394</v>
      </c>
      <c r="D61" s="611" t="s">
        <v>4652</v>
      </c>
      <c r="E61" s="611" t="s">
        <v>4645</v>
      </c>
      <c r="F61" s="611" t="s">
        <v>181</v>
      </c>
      <c r="G61" s="611" t="s">
        <v>4427</v>
      </c>
      <c r="H61" s="611" t="s">
        <v>4627</v>
      </c>
      <c r="I61" s="611" t="s">
        <v>1207</v>
      </c>
      <c r="J61" s="611" t="s">
        <v>4447</v>
      </c>
      <c r="K61" s="611" t="s">
        <v>4655</v>
      </c>
      <c r="L61" s="664" t="s">
        <v>4656</v>
      </c>
      <c r="M61" s="714"/>
      <c r="N61" s="715"/>
      <c r="O61" s="716"/>
      <c r="P61" s="715"/>
      <c r="Q61" s="730"/>
      <c r="R61" s="729"/>
      <c r="U61" s="129" t="s">
        <v>4657</v>
      </c>
      <c r="V61" s="129" t="str">
        <f t="shared" si="4"/>
        <v>-12 号霰弹枪(泵动)</v>
      </c>
      <c r="AF61" s="738"/>
      <c r="AG61" s="182"/>
    </row>
    <row r="62" ht="14.25" customHeight="1" spans="2:33">
      <c r="B62" s="606" t="str">
        <f t="shared" si="3"/>
        <v>-12 号霰弹枪(半自动)</v>
      </c>
      <c r="C62" s="607" t="s">
        <v>394</v>
      </c>
      <c r="D62" s="608" t="s">
        <v>4652</v>
      </c>
      <c r="E62" s="608" t="s">
        <v>4645</v>
      </c>
      <c r="F62" s="608" t="s">
        <v>181</v>
      </c>
      <c r="G62" s="608" t="s">
        <v>4621</v>
      </c>
      <c r="H62" s="608" t="s">
        <v>4627</v>
      </c>
      <c r="I62" s="608" t="s">
        <v>1207</v>
      </c>
      <c r="J62" s="608" t="s">
        <v>4447</v>
      </c>
      <c r="K62" s="608" t="s">
        <v>4655</v>
      </c>
      <c r="L62" s="663" t="s">
        <v>4570</v>
      </c>
      <c r="M62" s="714"/>
      <c r="N62" s="715"/>
      <c r="O62" s="716"/>
      <c r="P62" s="715"/>
      <c r="Q62" s="730"/>
      <c r="R62" s="729"/>
      <c r="U62" s="129" t="s">
        <v>4658</v>
      </c>
      <c r="V62" s="129" t="str">
        <f t="shared" si="4"/>
        <v>-12 号霰弹枪(半自动)</v>
      </c>
      <c r="Y62" s="732"/>
      <c r="Z62" s="732"/>
      <c r="AA62" s="732"/>
      <c r="AB62" s="732"/>
      <c r="AC62" s="732"/>
      <c r="AD62" s="732"/>
      <c r="AE62" s="732"/>
      <c r="AF62" s="738"/>
      <c r="AG62" s="182"/>
    </row>
    <row r="63" ht="14.25" customHeight="1" spans="2:33">
      <c r="B63" s="609" t="str">
        <f t="shared" si="3"/>
        <v>12 号霰弹枪(双管,锯短)</v>
      </c>
      <c r="C63" s="610" t="s">
        <v>394</v>
      </c>
      <c r="D63" s="611" t="s">
        <v>4659</v>
      </c>
      <c r="E63" s="611" t="s">
        <v>4523</v>
      </c>
      <c r="F63" s="611" t="s">
        <v>181</v>
      </c>
      <c r="G63" s="611" t="s">
        <v>4636</v>
      </c>
      <c r="H63" s="611" t="s">
        <v>4492</v>
      </c>
      <c r="I63" s="611" t="s">
        <v>1207</v>
      </c>
      <c r="J63" s="611" t="s">
        <v>15</v>
      </c>
      <c r="K63" s="611" t="s">
        <v>4660</v>
      </c>
      <c r="L63" s="664" t="s">
        <v>4661</v>
      </c>
      <c r="M63" s="714"/>
      <c r="N63" s="715"/>
      <c r="O63" s="716"/>
      <c r="P63" s="715"/>
      <c r="Q63" s="730"/>
      <c r="R63" s="729"/>
      <c r="U63" s="129" t="s">
        <v>4662</v>
      </c>
      <c r="V63" s="129" t="str">
        <f t="shared" si="4"/>
        <v>12 号霰弹枪(双管,锯短)</v>
      </c>
      <c r="AF63" s="739"/>
      <c r="AG63" s="182"/>
    </row>
    <row r="64" ht="14.25" customHeight="1" spans="2:33">
      <c r="B64" s="606" t="str">
        <f t="shared" si="3"/>
        <v>-*10 号霰弹枪(双管)</v>
      </c>
      <c r="C64" s="607" t="s">
        <v>394</v>
      </c>
      <c r="D64" s="608" t="s">
        <v>4663</v>
      </c>
      <c r="E64" s="608" t="s">
        <v>4645</v>
      </c>
      <c r="F64" s="608" t="s">
        <v>181</v>
      </c>
      <c r="G64" s="608" t="s">
        <v>4636</v>
      </c>
      <c r="H64" s="608" t="s">
        <v>4492</v>
      </c>
      <c r="I64" s="608" t="s">
        <v>1207</v>
      </c>
      <c r="J64" s="608" t="s">
        <v>4572</v>
      </c>
      <c r="K64" s="608" t="s">
        <v>4664</v>
      </c>
      <c r="L64" s="663" t="s">
        <v>4661</v>
      </c>
      <c r="M64" s="714"/>
      <c r="N64" s="715"/>
      <c r="O64" s="716"/>
      <c r="P64" s="715"/>
      <c r="Q64" s="730"/>
      <c r="R64" s="729"/>
      <c r="U64" s="129" t="s">
        <v>4665</v>
      </c>
      <c r="V64" s="129" t="str">
        <f t="shared" si="4"/>
        <v>*10 号霰弹枪(双管)</v>
      </c>
      <c r="AF64" s="739"/>
      <c r="AG64" s="182"/>
    </row>
    <row r="65" ht="14.25" customHeight="1" spans="2:37">
      <c r="B65" s="609" t="str">
        <f t="shared" si="3"/>
        <v>-12 号贝里尼 M3(折叠式枪托)</v>
      </c>
      <c r="C65" s="610" t="s">
        <v>394</v>
      </c>
      <c r="D65" s="611" t="s">
        <v>4652</v>
      </c>
      <c r="E65" s="611" t="s">
        <v>4645</v>
      </c>
      <c r="F65" s="611" t="s">
        <v>181</v>
      </c>
      <c r="G65" s="611" t="s">
        <v>4621</v>
      </c>
      <c r="H65" s="611" t="s">
        <v>4582</v>
      </c>
      <c r="I65" s="611" t="s">
        <v>1207</v>
      </c>
      <c r="J65" s="611" t="s">
        <v>4447</v>
      </c>
      <c r="K65" s="611" t="s">
        <v>4666</v>
      </c>
      <c r="L65" s="664" t="s">
        <v>4667</v>
      </c>
      <c r="M65" s="714"/>
      <c r="N65" s="715"/>
      <c r="O65" s="716"/>
      <c r="P65" s="715"/>
      <c r="Q65" s="730"/>
      <c r="R65" s="729"/>
      <c r="U65" s="129" t="s">
        <v>4668</v>
      </c>
      <c r="V65" s="129" t="str">
        <f t="shared" si="4"/>
        <v>-12 号贝里尼 M3(折叠式枪托)</v>
      </c>
      <c r="AF65" s="739"/>
      <c r="AG65" s="182"/>
      <c r="AH65" s="182"/>
      <c r="AI65" s="182"/>
      <c r="AJ65" s="182"/>
      <c r="AK65" s="182"/>
    </row>
    <row r="66" ht="14.25" customHeight="1" spans="2:37">
      <c r="B66" s="627" t="str">
        <f t="shared" ref="B66:B97" si="5">IF(OR(J66="1920s,现代",$U$1="其他",J66=$U$1,J66="罕见"),U66,"-"&amp;U66)</f>
        <v>-12 号 SPAS (折叠式枪托)</v>
      </c>
      <c r="C66" s="628" t="s">
        <v>394</v>
      </c>
      <c r="D66" s="629" t="s">
        <v>4652</v>
      </c>
      <c r="E66" s="629" t="s">
        <v>4645</v>
      </c>
      <c r="F66" s="629" t="s">
        <v>181</v>
      </c>
      <c r="G66" s="629" t="s">
        <v>4427</v>
      </c>
      <c r="H66" s="629" t="s">
        <v>4548</v>
      </c>
      <c r="I66" s="629" t="s">
        <v>4561</v>
      </c>
      <c r="J66" s="629" t="s">
        <v>4447</v>
      </c>
      <c r="K66" s="629" t="s">
        <v>4669</v>
      </c>
      <c r="L66" s="655" t="s">
        <v>4670</v>
      </c>
      <c r="M66" s="795"/>
      <c r="N66" s="796"/>
      <c r="O66" s="716"/>
      <c r="P66" s="715"/>
      <c r="Q66" s="730"/>
      <c r="R66" s="729"/>
      <c r="U66" s="129" t="s">
        <v>4671</v>
      </c>
      <c r="V66" s="129" t="str">
        <f t="shared" si="4"/>
        <v>-12 号 SPAS (折叠式枪托)</v>
      </c>
      <c r="AF66" s="739"/>
      <c r="AG66" s="182"/>
      <c r="AH66" s="182"/>
      <c r="AI66" s="182"/>
      <c r="AJ66" s="182"/>
      <c r="AK66" s="182"/>
    </row>
    <row r="67" ht="14.25" customHeight="1" spans="1:37">
      <c r="A67" s="741"/>
      <c r="B67" s="742" t="str">
        <f t="shared" si="5"/>
        <v>-AK-47 或 AKM</v>
      </c>
      <c r="C67" s="743" t="s">
        <v>394</v>
      </c>
      <c r="D67" s="744" t="s">
        <v>4610</v>
      </c>
      <c r="E67" s="744" t="s">
        <v>1207</v>
      </c>
      <c r="F67" s="744" t="s">
        <v>515</v>
      </c>
      <c r="G67" s="744" t="s">
        <v>4672</v>
      </c>
      <c r="H67" s="744" t="s">
        <v>4597</v>
      </c>
      <c r="I67" s="744" t="s">
        <v>1207</v>
      </c>
      <c r="J67" s="744" t="s">
        <v>4447</v>
      </c>
      <c r="K67" s="744" t="s">
        <v>4512</v>
      </c>
      <c r="L67" s="779" t="s">
        <v>4673</v>
      </c>
      <c r="M67" s="797" t="s">
        <v>4674</v>
      </c>
      <c r="N67" s="798" t="s">
        <v>4675</v>
      </c>
      <c r="O67" s="214" t="s">
        <v>4676</v>
      </c>
      <c r="P67" s="249"/>
      <c r="Q67" s="853" t="s">
        <v>4677</v>
      </c>
      <c r="R67" s="854"/>
      <c r="U67" s="129" t="s">
        <v>4678</v>
      </c>
      <c r="V67" s="129" t="str">
        <f t="shared" si="4"/>
        <v>-AK-47 或 AKM</v>
      </c>
      <c r="AF67" s="739"/>
      <c r="AH67" s="182"/>
      <c r="AI67" s="182"/>
      <c r="AJ67" s="182"/>
      <c r="AK67" s="182"/>
    </row>
    <row r="68" ht="14.25" customHeight="1" spans="2:32">
      <c r="B68" s="745" t="str">
        <f t="shared" si="5"/>
        <v>-AK-74</v>
      </c>
      <c r="C68" s="645" t="s">
        <v>394</v>
      </c>
      <c r="D68" s="380" t="s">
        <v>4610</v>
      </c>
      <c r="E68" s="380" t="s">
        <v>4616</v>
      </c>
      <c r="F68" s="380" t="s">
        <v>515</v>
      </c>
      <c r="G68" s="380" t="s">
        <v>4672</v>
      </c>
      <c r="H68" s="380" t="s">
        <v>4597</v>
      </c>
      <c r="I68" s="380" t="s">
        <v>4428</v>
      </c>
      <c r="J68" s="380" t="s">
        <v>4447</v>
      </c>
      <c r="K68" s="380" t="s">
        <v>4679</v>
      </c>
      <c r="L68" s="662" t="s">
        <v>4518</v>
      </c>
      <c r="M68" s="799"/>
      <c r="N68" s="800"/>
      <c r="O68" s="801" t="s">
        <v>4680</v>
      </c>
      <c r="P68" s="802"/>
      <c r="Q68" s="855"/>
      <c r="R68" s="856"/>
      <c r="U68" s="129" t="s">
        <v>4681</v>
      </c>
      <c r="V68" s="129" t="str">
        <f t="shared" si="4"/>
        <v>-AK-74</v>
      </c>
      <c r="AF68" s="739"/>
    </row>
    <row r="69" ht="14.25" customHeight="1" spans="2:32">
      <c r="B69" s="746" t="str">
        <f t="shared" si="5"/>
        <v>-巴雷特M82</v>
      </c>
      <c r="C69" s="747" t="s">
        <v>394</v>
      </c>
      <c r="D69" s="748" t="s">
        <v>4682</v>
      </c>
      <c r="E69" s="748" t="s">
        <v>4683</v>
      </c>
      <c r="F69" s="748" t="s">
        <v>515</v>
      </c>
      <c r="G69" s="748" t="s">
        <v>4427</v>
      </c>
      <c r="H69" s="748" t="s">
        <v>4684</v>
      </c>
      <c r="I69" s="748" t="s">
        <v>4461</v>
      </c>
      <c r="J69" s="748" t="s">
        <v>4447</v>
      </c>
      <c r="K69" s="748" t="s">
        <v>4685</v>
      </c>
      <c r="L69" s="780" t="s">
        <v>4686</v>
      </c>
      <c r="M69" s="799"/>
      <c r="N69" s="800"/>
      <c r="O69" s="801"/>
      <c r="P69" s="802"/>
      <c r="Q69" s="855"/>
      <c r="R69" s="856"/>
      <c r="U69" s="129" t="s">
        <v>4687</v>
      </c>
      <c r="V69" s="129" t="str">
        <f t="shared" si="4"/>
        <v>-巴雷特M82</v>
      </c>
      <c r="AF69" s="739"/>
    </row>
    <row r="70" ht="14.25" customHeight="1" spans="2:32">
      <c r="B70" s="745" t="str">
        <f t="shared" si="5"/>
        <v>-FN FAL</v>
      </c>
      <c r="C70" s="645" t="s">
        <v>394</v>
      </c>
      <c r="D70" s="380" t="s">
        <v>4615</v>
      </c>
      <c r="E70" s="380" t="s">
        <v>4616</v>
      </c>
      <c r="F70" s="380" t="s">
        <v>515</v>
      </c>
      <c r="G70" s="380" t="s">
        <v>4688</v>
      </c>
      <c r="H70" s="380" t="s">
        <v>4611</v>
      </c>
      <c r="I70" s="380" t="s">
        <v>4428</v>
      </c>
      <c r="J70" s="380" t="s">
        <v>4447</v>
      </c>
      <c r="K70" s="380" t="s">
        <v>4689</v>
      </c>
      <c r="L70" s="662" t="s">
        <v>4690</v>
      </c>
      <c r="M70" s="799"/>
      <c r="N70" s="800"/>
      <c r="O70" s="801"/>
      <c r="P70" s="802"/>
      <c r="Q70" s="855"/>
      <c r="R70" s="856"/>
      <c r="U70" s="129" t="s">
        <v>4691</v>
      </c>
      <c r="V70" s="129" t="str">
        <f t="shared" si="4"/>
        <v>-FN FAL</v>
      </c>
      <c r="AF70" s="739"/>
    </row>
    <row r="71" ht="14.25" customHeight="1" spans="2:33">
      <c r="B71" s="746" t="str">
        <f t="shared" si="5"/>
        <v>-加利尔突击步枪</v>
      </c>
      <c r="C71" s="747" t="s">
        <v>394</v>
      </c>
      <c r="D71" s="748" t="s">
        <v>4600</v>
      </c>
      <c r="E71" s="748" t="s">
        <v>4616</v>
      </c>
      <c r="F71" s="748" t="s">
        <v>515</v>
      </c>
      <c r="G71" s="748" t="s">
        <v>4692</v>
      </c>
      <c r="H71" s="748" t="s">
        <v>4611</v>
      </c>
      <c r="I71" s="748" t="s">
        <v>4561</v>
      </c>
      <c r="J71" s="748" t="s">
        <v>4447</v>
      </c>
      <c r="K71" s="748" t="s">
        <v>4693</v>
      </c>
      <c r="L71" s="780" t="s">
        <v>4694</v>
      </c>
      <c r="M71" s="799"/>
      <c r="N71" s="800"/>
      <c r="O71" s="801"/>
      <c r="P71" s="802"/>
      <c r="Q71" s="855"/>
      <c r="R71" s="856"/>
      <c r="U71" s="129" t="s">
        <v>4695</v>
      </c>
      <c r="V71" s="129" t="str">
        <f t="shared" si="4"/>
        <v>-加利尔突击步枪</v>
      </c>
      <c r="AF71" s="739"/>
      <c r="AG71" s="182"/>
    </row>
    <row r="72" ht="14.25" customHeight="1" spans="2:33">
      <c r="B72" s="745" t="str">
        <f t="shared" si="5"/>
        <v>-M16A2</v>
      </c>
      <c r="C72" s="645" t="s">
        <v>394</v>
      </c>
      <c r="D72" s="380" t="s">
        <v>4600</v>
      </c>
      <c r="E72" s="380" t="s">
        <v>4616</v>
      </c>
      <c r="F72" s="380" t="s">
        <v>515</v>
      </c>
      <c r="G72" s="380" t="s">
        <v>4688</v>
      </c>
      <c r="H72" s="380" t="s">
        <v>4597</v>
      </c>
      <c r="I72" s="380" t="s">
        <v>4428</v>
      </c>
      <c r="J72" s="380" t="s">
        <v>4447</v>
      </c>
      <c r="K72" s="380" t="s">
        <v>4660</v>
      </c>
      <c r="L72" s="662" t="s">
        <v>4696</v>
      </c>
      <c r="M72" s="799"/>
      <c r="N72" s="800"/>
      <c r="O72" s="801"/>
      <c r="P72" s="802"/>
      <c r="Q72" s="855"/>
      <c r="R72" s="856"/>
      <c r="U72" s="129" t="s">
        <v>4697</v>
      </c>
      <c r="V72" s="129" t="str">
        <f t="shared" si="4"/>
        <v>-M16A2</v>
      </c>
      <c r="AF72" s="739"/>
      <c r="AG72" s="182"/>
    </row>
    <row r="73" ht="14.25" customHeight="1" spans="2:33">
      <c r="B73" s="746" t="str">
        <f t="shared" si="5"/>
        <v>-M4</v>
      </c>
      <c r="C73" s="747" t="s">
        <v>394</v>
      </c>
      <c r="D73" s="748" t="s">
        <v>4600</v>
      </c>
      <c r="E73" s="748" t="s">
        <v>4620</v>
      </c>
      <c r="F73" s="748" t="s">
        <v>515</v>
      </c>
      <c r="G73" s="748" t="s">
        <v>4698</v>
      </c>
      <c r="H73" s="748" t="s">
        <v>4597</v>
      </c>
      <c r="I73" s="748" t="s">
        <v>4428</v>
      </c>
      <c r="J73" s="748" t="s">
        <v>4447</v>
      </c>
      <c r="K73" s="748" t="s">
        <v>4660</v>
      </c>
      <c r="L73" s="780" t="s">
        <v>4699</v>
      </c>
      <c r="M73" s="799"/>
      <c r="N73" s="800"/>
      <c r="O73" s="801"/>
      <c r="P73" s="802"/>
      <c r="Q73" s="855"/>
      <c r="R73" s="856"/>
      <c r="U73" s="129" t="s">
        <v>4700</v>
      </c>
      <c r="V73" s="129" t="str">
        <f t="shared" si="4"/>
        <v>-M4</v>
      </c>
      <c r="AF73" s="739"/>
      <c r="AG73" s="182"/>
    </row>
    <row r="74" ht="14.25" customHeight="1" spans="2:33">
      <c r="B74" s="745" t="str">
        <f t="shared" si="5"/>
        <v>-斯泰尔 AUG</v>
      </c>
      <c r="C74" s="645" t="s">
        <v>394</v>
      </c>
      <c r="D74" s="380" t="s">
        <v>4600</v>
      </c>
      <c r="E74" s="380" t="s">
        <v>4616</v>
      </c>
      <c r="F74" s="380" t="s">
        <v>515</v>
      </c>
      <c r="G74" s="380" t="s">
        <v>4672</v>
      </c>
      <c r="H74" s="380" t="s">
        <v>4597</v>
      </c>
      <c r="I74" s="380" t="s">
        <v>4549</v>
      </c>
      <c r="J74" s="380" t="s">
        <v>4447</v>
      </c>
      <c r="K74" s="380" t="s">
        <v>4701</v>
      </c>
      <c r="L74" s="662" t="s">
        <v>4702</v>
      </c>
      <c r="M74" s="799"/>
      <c r="N74" s="800"/>
      <c r="O74" s="801"/>
      <c r="P74" s="802"/>
      <c r="Q74" s="855"/>
      <c r="R74" s="856"/>
      <c r="U74" s="129" t="s">
        <v>4703</v>
      </c>
      <c r="V74" s="129" t="str">
        <f t="shared" si="4"/>
        <v>-斯泰尔 AUG</v>
      </c>
      <c r="AF74" s="739"/>
      <c r="AG74" s="182"/>
    </row>
    <row r="75" ht="14.25" customHeight="1" spans="2:37">
      <c r="B75" s="746" t="str">
        <f t="shared" si="5"/>
        <v>-贝雷塔 M70/90</v>
      </c>
      <c r="C75" s="747" t="s">
        <v>394</v>
      </c>
      <c r="D75" s="748" t="s">
        <v>4600</v>
      </c>
      <c r="E75" s="748" t="s">
        <v>4616</v>
      </c>
      <c r="F75" s="748" t="s">
        <v>515</v>
      </c>
      <c r="G75" s="748" t="s">
        <v>4704</v>
      </c>
      <c r="H75" s="748" t="s">
        <v>4597</v>
      </c>
      <c r="I75" s="748" t="s">
        <v>4549</v>
      </c>
      <c r="J75" s="748" t="s">
        <v>4447</v>
      </c>
      <c r="K75" s="748" t="s">
        <v>4705</v>
      </c>
      <c r="L75" s="780" t="s">
        <v>4706</v>
      </c>
      <c r="M75" s="803"/>
      <c r="N75" s="800"/>
      <c r="O75" s="801"/>
      <c r="P75" s="802"/>
      <c r="Q75" s="855"/>
      <c r="R75" s="856"/>
      <c r="U75" s="129" t="s">
        <v>4707</v>
      </c>
      <c r="V75" s="129" t="str">
        <f t="shared" si="4"/>
        <v>-贝雷塔 M70/90</v>
      </c>
      <c r="Y75" s="732"/>
      <c r="Z75" s="732"/>
      <c r="AA75" s="878"/>
      <c r="AB75" s="732"/>
      <c r="AC75" s="732"/>
      <c r="AD75" s="732"/>
      <c r="AE75" s="732"/>
      <c r="AF75" s="739"/>
      <c r="AG75" s="182"/>
      <c r="AH75" s="182"/>
      <c r="AI75" s="182"/>
      <c r="AJ75" s="182"/>
      <c r="AK75" s="182"/>
    </row>
    <row r="76" ht="14.25" customHeight="1" spans="2:37">
      <c r="B76" s="745" t="str">
        <f t="shared" si="5"/>
        <v>MP18I/MP28II</v>
      </c>
      <c r="C76" s="645" t="s">
        <v>2631</v>
      </c>
      <c r="D76" s="380" t="s">
        <v>433</v>
      </c>
      <c r="E76" s="380" t="s">
        <v>4611</v>
      </c>
      <c r="F76" s="380" t="s">
        <v>515</v>
      </c>
      <c r="G76" s="380" t="s">
        <v>4672</v>
      </c>
      <c r="H76" s="380" t="s">
        <v>4708</v>
      </c>
      <c r="I76" s="380" t="s">
        <v>4461</v>
      </c>
      <c r="J76" s="380" t="s">
        <v>15</v>
      </c>
      <c r="K76" s="380" t="s">
        <v>4709</v>
      </c>
      <c r="L76" s="662" t="s">
        <v>4710</v>
      </c>
      <c r="M76" s="804" t="s">
        <v>4711</v>
      </c>
      <c r="N76" s="800"/>
      <c r="O76" s="801"/>
      <c r="P76" s="802"/>
      <c r="Q76" s="855"/>
      <c r="R76" s="856"/>
      <c r="U76" s="129" t="s">
        <v>4712</v>
      </c>
      <c r="V76" s="129" t="str">
        <f t="shared" si="4"/>
        <v>MP18I/MP28II</v>
      </c>
      <c r="Y76" s="732"/>
      <c r="Z76" s="732"/>
      <c r="AA76" s="878"/>
      <c r="AB76" s="732"/>
      <c r="AC76" s="732"/>
      <c r="AD76" s="732"/>
      <c r="AE76" s="732"/>
      <c r="AF76" s="739"/>
      <c r="AG76" s="182"/>
      <c r="AH76" s="182"/>
      <c r="AI76" s="182"/>
      <c r="AJ76" s="182"/>
      <c r="AK76" s="182"/>
    </row>
    <row r="77" ht="14.25" customHeight="1" spans="2:37">
      <c r="B77" s="746" t="str">
        <f t="shared" si="5"/>
        <v>-MP5</v>
      </c>
      <c r="C77" s="747" t="s">
        <v>2631</v>
      </c>
      <c r="D77" s="748" t="s">
        <v>433</v>
      </c>
      <c r="E77" s="748" t="s">
        <v>4611</v>
      </c>
      <c r="F77" s="748" t="s">
        <v>515</v>
      </c>
      <c r="G77" s="748" t="s">
        <v>4672</v>
      </c>
      <c r="H77" s="748" t="s">
        <v>4713</v>
      </c>
      <c r="I77" s="748" t="s">
        <v>4428</v>
      </c>
      <c r="J77" s="748" t="s">
        <v>4447</v>
      </c>
      <c r="K77" s="748" t="s">
        <v>4660</v>
      </c>
      <c r="L77" s="780" t="s">
        <v>4714</v>
      </c>
      <c r="M77" s="804"/>
      <c r="N77" s="800"/>
      <c r="O77" s="801"/>
      <c r="P77" s="802"/>
      <c r="Q77" s="855"/>
      <c r="R77" s="856"/>
      <c r="U77" s="129" t="s">
        <v>4715</v>
      </c>
      <c r="V77" s="129" t="str">
        <f t="shared" si="4"/>
        <v>-MP5</v>
      </c>
      <c r="Y77" s="732"/>
      <c r="Z77" s="732"/>
      <c r="AA77" s="878"/>
      <c r="AB77" s="732"/>
      <c r="AC77" s="732"/>
      <c r="AD77" s="732"/>
      <c r="AE77" s="732"/>
      <c r="AF77" s="739"/>
      <c r="AG77" s="182"/>
      <c r="AH77" s="182"/>
      <c r="AI77" s="182"/>
      <c r="AJ77" s="182"/>
      <c r="AK77" s="182"/>
    </row>
    <row r="78" ht="14.25" customHeight="1" spans="2:37">
      <c r="B78" s="745" t="str">
        <f t="shared" si="5"/>
        <v>-MAC-11</v>
      </c>
      <c r="C78" s="645" t="s">
        <v>2631</v>
      </c>
      <c r="D78" s="380" t="s">
        <v>433</v>
      </c>
      <c r="E78" s="380" t="s">
        <v>4544</v>
      </c>
      <c r="F78" s="380" t="s">
        <v>515</v>
      </c>
      <c r="G78" s="380" t="s">
        <v>4716</v>
      </c>
      <c r="H78" s="380" t="s">
        <v>4717</v>
      </c>
      <c r="I78" s="380" t="s">
        <v>4461</v>
      </c>
      <c r="J78" s="380" t="s">
        <v>4447</v>
      </c>
      <c r="K78" s="380" t="s">
        <v>4718</v>
      </c>
      <c r="L78" s="662" t="s">
        <v>4706</v>
      </c>
      <c r="M78" s="804"/>
      <c r="N78" s="800"/>
      <c r="O78" s="801"/>
      <c r="P78" s="802"/>
      <c r="Q78" s="855"/>
      <c r="R78" s="856"/>
      <c r="U78" s="129" t="s">
        <v>4719</v>
      </c>
      <c r="V78" s="129" t="str">
        <f t="shared" si="4"/>
        <v>-MAC-11</v>
      </c>
      <c r="Y78" s="732"/>
      <c r="Z78" s="732"/>
      <c r="AA78" s="878"/>
      <c r="AB78" s="732"/>
      <c r="AC78" s="732"/>
      <c r="AD78" s="732"/>
      <c r="AE78" s="732"/>
      <c r="AF78" s="739"/>
      <c r="AG78" s="182"/>
      <c r="AH78" s="182"/>
      <c r="AI78" s="182"/>
      <c r="AJ78" s="182"/>
      <c r="AK78" s="182"/>
    </row>
    <row r="79" ht="14.25" customHeight="1" spans="2:37">
      <c r="B79" s="746" t="str">
        <f t="shared" si="5"/>
        <v>-蝎式冲锋枪</v>
      </c>
      <c r="C79" s="747" t="s">
        <v>2631</v>
      </c>
      <c r="D79" s="748" t="s">
        <v>4543</v>
      </c>
      <c r="E79" s="748" t="s">
        <v>4544</v>
      </c>
      <c r="F79" s="748" t="s">
        <v>515</v>
      </c>
      <c r="G79" s="748" t="s">
        <v>4716</v>
      </c>
      <c r="H79" s="748" t="s">
        <v>4611</v>
      </c>
      <c r="I79" s="748" t="s">
        <v>4461</v>
      </c>
      <c r="J79" s="748" t="s">
        <v>4447</v>
      </c>
      <c r="K79" s="748" t="s">
        <v>4660</v>
      </c>
      <c r="L79" s="780" t="s">
        <v>4720</v>
      </c>
      <c r="M79" s="804"/>
      <c r="N79" s="800"/>
      <c r="O79" s="801"/>
      <c r="P79" s="802"/>
      <c r="Q79" s="855"/>
      <c r="R79" s="856"/>
      <c r="U79" s="129" t="s">
        <v>4721</v>
      </c>
      <c r="V79" s="129" t="str">
        <f t="shared" ref="V79:V110" si="6">IF(OR(J79="1920s,现代",$U$1="其他",J79=$U$1,AND(J79="1920s,罕见",$U$1="1920s"),J79="罕见"),U79,"-"&amp;U79)</f>
        <v>-蝎式冲锋枪</v>
      </c>
      <c r="AF79" s="739"/>
      <c r="AG79" s="182"/>
      <c r="AH79" s="182"/>
      <c r="AI79" s="182"/>
      <c r="AJ79" s="182"/>
      <c r="AK79" s="182"/>
    </row>
    <row r="80" ht="14.25" customHeight="1" spans="2:37">
      <c r="B80" s="745" t="str">
        <f t="shared" si="5"/>
        <v>汤普森冲锋枪</v>
      </c>
      <c r="C80" s="645" t="s">
        <v>2631</v>
      </c>
      <c r="D80" s="380" t="s">
        <v>4579</v>
      </c>
      <c r="E80" s="380" t="s">
        <v>4611</v>
      </c>
      <c r="F80" s="380" t="s">
        <v>515</v>
      </c>
      <c r="G80" s="380" t="s">
        <v>4704</v>
      </c>
      <c r="H80" s="380" t="s">
        <v>4722</v>
      </c>
      <c r="I80" s="380" t="s">
        <v>4461</v>
      </c>
      <c r="J80" s="380" t="s">
        <v>15</v>
      </c>
      <c r="K80" s="380" t="s">
        <v>4723</v>
      </c>
      <c r="L80" s="662" t="s">
        <v>4724</v>
      </c>
      <c r="M80" s="804"/>
      <c r="N80" s="800"/>
      <c r="O80" s="801"/>
      <c r="P80" s="802"/>
      <c r="Q80" s="855"/>
      <c r="R80" s="856"/>
      <c r="U80" s="129" t="s">
        <v>4118</v>
      </c>
      <c r="V80" s="129" t="str">
        <f t="shared" si="6"/>
        <v>汤普森冲锋枪</v>
      </c>
      <c r="Y80" s="732"/>
      <c r="Z80" s="732"/>
      <c r="AA80" s="878"/>
      <c r="AB80" s="732"/>
      <c r="AC80" s="732"/>
      <c r="AD80" s="732"/>
      <c r="AE80" s="732"/>
      <c r="AF80" s="739"/>
      <c r="AG80" s="182"/>
      <c r="AH80" s="182"/>
      <c r="AI80" s="182"/>
      <c r="AJ80" s="182"/>
      <c r="AK80" s="182"/>
    </row>
    <row r="81" ht="14.25" customHeight="1" spans="2:37">
      <c r="B81" s="746" t="str">
        <f t="shared" si="5"/>
        <v>-乌兹微型冲锋枪</v>
      </c>
      <c r="C81" s="747" t="s">
        <v>2631</v>
      </c>
      <c r="D81" s="748" t="s">
        <v>433</v>
      </c>
      <c r="E81" s="748" t="s">
        <v>4611</v>
      </c>
      <c r="F81" s="748" t="s">
        <v>515</v>
      </c>
      <c r="G81" s="748" t="s">
        <v>4672</v>
      </c>
      <c r="H81" s="748" t="s">
        <v>4717</v>
      </c>
      <c r="I81" s="748" t="s">
        <v>4561</v>
      </c>
      <c r="J81" s="748" t="s">
        <v>4447</v>
      </c>
      <c r="K81" s="748" t="s">
        <v>4679</v>
      </c>
      <c r="L81" s="780" t="s">
        <v>4690</v>
      </c>
      <c r="M81" s="804"/>
      <c r="N81" s="800"/>
      <c r="O81" s="805"/>
      <c r="P81" s="806"/>
      <c r="Q81" s="855"/>
      <c r="R81" s="856"/>
      <c r="U81" s="129" t="s">
        <v>4725</v>
      </c>
      <c r="V81" s="129" t="str">
        <f t="shared" si="6"/>
        <v>-乌兹微型冲锋枪</v>
      </c>
      <c r="Y81" s="732"/>
      <c r="Z81" s="732"/>
      <c r="AA81" s="732"/>
      <c r="AB81" s="732"/>
      <c r="AC81" s="732"/>
      <c r="AD81" s="732"/>
      <c r="AE81" s="878"/>
      <c r="AF81" s="739"/>
      <c r="AG81" s="182"/>
      <c r="AH81" s="182"/>
      <c r="AI81" s="182"/>
      <c r="AJ81" s="182"/>
      <c r="AK81" s="182"/>
    </row>
    <row r="82" ht="14.25" customHeight="1" spans="2:37">
      <c r="B82" s="745" t="str">
        <f t="shared" si="5"/>
        <v>-*1882 年式加特林</v>
      </c>
      <c r="C82" s="645" t="s">
        <v>2664</v>
      </c>
      <c r="D82" s="380" t="s">
        <v>4615</v>
      </c>
      <c r="E82" s="380" t="s">
        <v>1207</v>
      </c>
      <c r="F82" s="380" t="s">
        <v>515</v>
      </c>
      <c r="G82" s="380" t="s">
        <v>4726</v>
      </c>
      <c r="H82" s="380" t="s">
        <v>4613</v>
      </c>
      <c r="I82" s="380" t="s">
        <v>4461</v>
      </c>
      <c r="J82" s="380" t="s">
        <v>4572</v>
      </c>
      <c r="K82" s="380" t="s">
        <v>4727</v>
      </c>
      <c r="L82" s="662" t="s">
        <v>4728</v>
      </c>
      <c r="M82" s="807" t="s">
        <v>4729</v>
      </c>
      <c r="N82" s="808"/>
      <c r="O82" s="809" t="s">
        <v>4730</v>
      </c>
      <c r="P82" s="810"/>
      <c r="Q82" s="800"/>
      <c r="R82" s="856"/>
      <c r="U82" s="129" t="s">
        <v>4731</v>
      </c>
      <c r="V82" s="129" t="str">
        <f t="shared" si="6"/>
        <v>*1882 年式加特林</v>
      </c>
      <c r="Y82" s="732"/>
      <c r="Z82" s="732"/>
      <c r="AA82" s="732"/>
      <c r="AB82" s="732"/>
      <c r="AC82" s="732"/>
      <c r="AD82" s="732"/>
      <c r="AE82" s="878"/>
      <c r="AF82" s="739"/>
      <c r="AG82" s="182"/>
      <c r="AH82" s="182"/>
      <c r="AJ82" s="182"/>
      <c r="AK82" s="182"/>
    </row>
    <row r="83" ht="14.25" customHeight="1" spans="2:37">
      <c r="B83" s="746" t="str">
        <f t="shared" si="5"/>
        <v>M1918 式勃朗宁自动步枪</v>
      </c>
      <c r="C83" s="747" t="s">
        <v>2664</v>
      </c>
      <c r="D83" s="748" t="s">
        <v>4615</v>
      </c>
      <c r="E83" s="748" t="s">
        <v>4620</v>
      </c>
      <c r="F83" s="748" t="s">
        <v>515</v>
      </c>
      <c r="G83" s="748" t="s">
        <v>4672</v>
      </c>
      <c r="H83" s="748" t="s">
        <v>4611</v>
      </c>
      <c r="I83" s="748" t="s">
        <v>1207</v>
      </c>
      <c r="J83" s="748" t="s">
        <v>15</v>
      </c>
      <c r="K83" s="748" t="s">
        <v>4732</v>
      </c>
      <c r="L83" s="780" t="s">
        <v>4710</v>
      </c>
      <c r="M83" s="807"/>
      <c r="N83" s="808"/>
      <c r="O83" s="811"/>
      <c r="P83" s="812"/>
      <c r="Q83" s="800"/>
      <c r="R83" s="856"/>
      <c r="U83" s="129" t="s">
        <v>4733</v>
      </c>
      <c r="V83" s="129" t="str">
        <f t="shared" si="6"/>
        <v>M1918 式勃朗宁自动步枪</v>
      </c>
      <c r="Y83" s="732"/>
      <c r="Z83" s="732"/>
      <c r="AA83" s="732"/>
      <c r="AB83" s="732"/>
      <c r="AC83" s="732"/>
      <c r="AD83" s="732"/>
      <c r="AE83" s="878"/>
      <c r="AF83" s="739"/>
      <c r="AG83" s="182"/>
      <c r="AH83" s="182"/>
      <c r="AJ83" s="182"/>
      <c r="AK83" s="182"/>
    </row>
    <row r="84" ht="14.25" customHeight="1" spans="2:37">
      <c r="B84" s="745" t="str">
        <f t="shared" si="5"/>
        <v>勃朗宁 M1917A1(7.62mm)</v>
      </c>
      <c r="C84" s="645" t="s">
        <v>2664</v>
      </c>
      <c r="D84" s="380" t="s">
        <v>4615</v>
      </c>
      <c r="E84" s="380" t="s">
        <v>1214</v>
      </c>
      <c r="F84" s="380" t="s">
        <v>515</v>
      </c>
      <c r="G84" s="380" t="s">
        <v>4726</v>
      </c>
      <c r="H84" s="380" t="s">
        <v>4683</v>
      </c>
      <c r="I84" s="380" t="s">
        <v>4461</v>
      </c>
      <c r="J84" s="380" t="s">
        <v>15</v>
      </c>
      <c r="K84" s="380" t="s">
        <v>4734</v>
      </c>
      <c r="L84" s="662" t="s">
        <v>4735</v>
      </c>
      <c r="M84" s="807"/>
      <c r="N84" s="808"/>
      <c r="O84" s="811"/>
      <c r="P84" s="812"/>
      <c r="Q84" s="800"/>
      <c r="R84" s="856"/>
      <c r="U84" s="129" t="s">
        <v>4736</v>
      </c>
      <c r="V84" s="129" t="str">
        <f t="shared" si="6"/>
        <v>勃朗宁 M1917A1(7.62mm)</v>
      </c>
      <c r="Y84" s="732"/>
      <c r="Z84" s="732"/>
      <c r="AA84" s="732"/>
      <c r="AB84" s="732"/>
      <c r="AC84" s="732"/>
      <c r="AD84" s="732"/>
      <c r="AE84" s="878"/>
      <c r="AF84" s="739"/>
      <c r="AG84" s="182"/>
      <c r="AH84" s="182"/>
      <c r="AJ84" s="182"/>
      <c r="AK84" s="182"/>
    </row>
    <row r="85" ht="14.25" customHeight="1" spans="2:37">
      <c r="B85" s="746" t="str">
        <f t="shared" si="5"/>
        <v>布伦轻机枪</v>
      </c>
      <c r="C85" s="747" t="s">
        <v>2664</v>
      </c>
      <c r="D85" s="748" t="s">
        <v>4615</v>
      </c>
      <c r="E85" s="748" t="s">
        <v>4616</v>
      </c>
      <c r="F85" s="748" t="s">
        <v>515</v>
      </c>
      <c r="G85" s="748" t="s">
        <v>4704</v>
      </c>
      <c r="H85" s="748" t="s">
        <v>4737</v>
      </c>
      <c r="I85" s="748" t="s">
        <v>4461</v>
      </c>
      <c r="J85" s="748" t="s">
        <v>15</v>
      </c>
      <c r="K85" s="748" t="s">
        <v>4738</v>
      </c>
      <c r="L85" s="780" t="s">
        <v>4724</v>
      </c>
      <c r="M85" s="807"/>
      <c r="N85" s="808"/>
      <c r="O85" s="811"/>
      <c r="P85" s="812"/>
      <c r="Q85" s="800"/>
      <c r="R85" s="856"/>
      <c r="U85" s="129" t="s">
        <v>4739</v>
      </c>
      <c r="V85" s="129" t="str">
        <f t="shared" si="6"/>
        <v>布伦轻机枪</v>
      </c>
      <c r="Y85" s="732"/>
      <c r="Z85" s="732"/>
      <c r="AA85" s="732"/>
      <c r="AB85" s="732"/>
      <c r="AC85" s="732"/>
      <c r="AD85" s="732"/>
      <c r="AE85" s="878"/>
      <c r="AF85" s="739"/>
      <c r="AG85" s="182"/>
      <c r="AH85" s="182"/>
      <c r="AJ85" s="182"/>
      <c r="AK85" s="182"/>
    </row>
    <row r="86" ht="14.25" customHeight="1" spans="2:37">
      <c r="B86" s="745" t="str">
        <f t="shared" si="5"/>
        <v>路易斯Ⅰ型机枪</v>
      </c>
      <c r="C86" s="645" t="s">
        <v>2664</v>
      </c>
      <c r="D86" s="380" t="s">
        <v>4615</v>
      </c>
      <c r="E86" s="380" t="s">
        <v>4616</v>
      </c>
      <c r="F86" s="380" t="s">
        <v>515</v>
      </c>
      <c r="G86" s="380" t="s">
        <v>4726</v>
      </c>
      <c r="H86" s="380" t="s">
        <v>4740</v>
      </c>
      <c r="I86" s="380" t="s">
        <v>4461</v>
      </c>
      <c r="J86" s="380" t="s">
        <v>15</v>
      </c>
      <c r="K86" s="380" t="s">
        <v>4741</v>
      </c>
      <c r="L86" s="662" t="s">
        <v>4647</v>
      </c>
      <c r="M86" s="807"/>
      <c r="N86" s="808"/>
      <c r="O86" s="811"/>
      <c r="P86" s="812"/>
      <c r="Q86" s="800"/>
      <c r="R86" s="856"/>
      <c r="U86" s="129" t="s">
        <v>4742</v>
      </c>
      <c r="V86" s="129" t="str">
        <f t="shared" si="6"/>
        <v>路易斯Ⅰ型机枪</v>
      </c>
      <c r="Y86" s="732"/>
      <c r="Z86" s="732"/>
      <c r="AA86" s="732"/>
      <c r="AB86" s="732"/>
      <c r="AC86" s="732"/>
      <c r="AD86" s="732"/>
      <c r="AE86" s="878"/>
      <c r="AF86" s="739"/>
      <c r="AH86" s="182"/>
      <c r="AJ86" s="182"/>
      <c r="AK86" s="182"/>
    </row>
    <row r="87" ht="14.25" customHeight="1" spans="2:37">
      <c r="B87" s="749" t="str">
        <f t="shared" si="5"/>
        <v>-GE M134 式 7.62mm 速射机枪</v>
      </c>
      <c r="C87" s="750" t="s">
        <v>2664</v>
      </c>
      <c r="D87" s="751" t="s">
        <v>4615</v>
      </c>
      <c r="E87" s="751" t="s">
        <v>4613</v>
      </c>
      <c r="F87" s="751" t="s">
        <v>515</v>
      </c>
      <c r="G87" s="751" t="s">
        <v>4726</v>
      </c>
      <c r="H87" s="751" t="s">
        <v>4743</v>
      </c>
      <c r="I87" s="751" t="s">
        <v>4561</v>
      </c>
      <c r="J87" s="751" t="s">
        <v>4447</v>
      </c>
      <c r="K87" s="751" t="s">
        <v>4660</v>
      </c>
      <c r="L87" s="781" t="s">
        <v>4744</v>
      </c>
      <c r="M87" s="807"/>
      <c r="N87" s="808"/>
      <c r="O87" s="811"/>
      <c r="P87" s="812"/>
      <c r="Q87" s="800"/>
      <c r="R87" s="856"/>
      <c r="U87" s="129" t="s">
        <v>4745</v>
      </c>
      <c r="V87" s="129" t="str">
        <f t="shared" si="6"/>
        <v>-GE M134 式 7.62mm 速射机枪</v>
      </c>
      <c r="Y87" s="732"/>
      <c r="Z87" s="732"/>
      <c r="AA87" s="732"/>
      <c r="AB87" s="732"/>
      <c r="AC87" s="732"/>
      <c r="AD87" s="732"/>
      <c r="AE87" s="878"/>
      <c r="AF87" s="739"/>
      <c r="AH87" s="182"/>
      <c r="AJ87" s="182"/>
      <c r="AK87" s="182"/>
    </row>
    <row r="88" ht="14.25" customHeight="1" spans="2:37">
      <c r="B88" s="745" t="str">
        <f t="shared" si="5"/>
        <v>-FN 米尼米(5.56mm)，弹夹/弹带</v>
      </c>
      <c r="C88" s="645" t="s">
        <v>2664</v>
      </c>
      <c r="D88" s="380" t="s">
        <v>4600</v>
      </c>
      <c r="E88" s="380" t="s">
        <v>4616</v>
      </c>
      <c r="F88" s="380" t="s">
        <v>515</v>
      </c>
      <c r="G88" s="380" t="s">
        <v>4726</v>
      </c>
      <c r="H88" s="380" t="s">
        <v>4746</v>
      </c>
      <c r="I88" s="380" t="s">
        <v>4549</v>
      </c>
      <c r="J88" s="380" t="s">
        <v>4447</v>
      </c>
      <c r="K88" s="380" t="s">
        <v>4660</v>
      </c>
      <c r="L88" s="662" t="s">
        <v>4587</v>
      </c>
      <c r="M88" s="807"/>
      <c r="N88" s="808"/>
      <c r="O88" s="811"/>
      <c r="P88" s="812"/>
      <c r="Q88" s="800"/>
      <c r="R88" s="856"/>
      <c r="U88" s="129" t="s">
        <v>4747</v>
      </c>
      <c r="V88" s="129" t="str">
        <f t="shared" si="6"/>
        <v>-FN 米尼米(5.56mm)，弹夹/弹带</v>
      </c>
      <c r="Y88" s="732"/>
      <c r="Z88" s="732"/>
      <c r="AA88" s="732"/>
      <c r="AB88" s="732"/>
      <c r="AC88" s="732"/>
      <c r="AD88" s="732"/>
      <c r="AE88" s="732"/>
      <c r="AF88" s="737"/>
      <c r="AH88" s="182"/>
      <c r="AJ88" s="182"/>
      <c r="AK88" s="182"/>
    </row>
    <row r="89" ht="14.25" customHeight="1" spans="2:37">
      <c r="B89" s="752" t="str">
        <f t="shared" si="5"/>
        <v>维克斯.303 机枪</v>
      </c>
      <c r="C89" s="753" t="s">
        <v>2664</v>
      </c>
      <c r="D89" s="754" t="s">
        <v>4615</v>
      </c>
      <c r="E89" s="754" t="s">
        <v>4616</v>
      </c>
      <c r="F89" s="754" t="s">
        <v>515</v>
      </c>
      <c r="G89" s="754" t="s">
        <v>4726</v>
      </c>
      <c r="H89" s="754" t="s">
        <v>4683</v>
      </c>
      <c r="I89" s="754" t="s">
        <v>4549</v>
      </c>
      <c r="J89" s="754" t="s">
        <v>15</v>
      </c>
      <c r="K89" s="754" t="s">
        <v>4660</v>
      </c>
      <c r="L89" s="782" t="s">
        <v>4484</v>
      </c>
      <c r="M89" s="807"/>
      <c r="N89" s="813"/>
      <c r="O89" s="811"/>
      <c r="P89" s="814"/>
      <c r="Q89" s="857"/>
      <c r="R89" s="858"/>
      <c r="U89" s="129" t="s">
        <v>4748</v>
      </c>
      <c r="V89" s="129" t="str">
        <f t="shared" si="6"/>
        <v>维克斯.303 机枪</v>
      </c>
      <c r="Y89" s="732"/>
      <c r="Z89" s="732"/>
      <c r="AA89" s="732"/>
      <c r="AB89" s="732"/>
      <c r="AC89" s="732"/>
      <c r="AD89" s="732"/>
      <c r="AE89" s="732"/>
      <c r="AF89" s="737"/>
      <c r="AH89" s="182"/>
      <c r="AJ89" s="182"/>
      <c r="AK89" s="182"/>
    </row>
    <row r="90" ht="14.25" customHeight="1" spans="1:32">
      <c r="A90" s="755"/>
      <c r="B90" s="639" t="str">
        <f t="shared" si="5"/>
        <v>莫洛托夫燃烧瓶</v>
      </c>
      <c r="C90" s="640" t="s">
        <v>144</v>
      </c>
      <c r="D90" s="641" t="s">
        <v>4749</v>
      </c>
      <c r="E90" s="641" t="s">
        <v>4499</v>
      </c>
      <c r="F90" s="641" t="s">
        <v>515</v>
      </c>
      <c r="G90" s="641" t="s">
        <v>4460</v>
      </c>
      <c r="H90" s="641" t="s">
        <v>4493</v>
      </c>
      <c r="I90" s="641" t="s">
        <v>4446</v>
      </c>
      <c r="J90" s="641" t="s">
        <v>4429</v>
      </c>
      <c r="K90" s="641" t="s">
        <v>4660</v>
      </c>
      <c r="L90" s="660" t="s">
        <v>4618</v>
      </c>
      <c r="M90" s="707" t="s">
        <v>4750</v>
      </c>
      <c r="N90" s="815" t="s">
        <v>4751</v>
      </c>
      <c r="O90" s="815"/>
      <c r="P90" s="816" t="s">
        <v>4752</v>
      </c>
      <c r="Q90" s="859" t="s">
        <v>4753</v>
      </c>
      <c r="R90" s="859"/>
      <c r="U90" s="129" t="s">
        <v>4754</v>
      </c>
      <c r="V90" s="129" t="str">
        <f t="shared" si="6"/>
        <v>莫洛托夫燃烧瓶</v>
      </c>
      <c r="Y90" s="732"/>
      <c r="Z90" s="732"/>
      <c r="AA90" s="732"/>
      <c r="AB90" s="732"/>
      <c r="AC90" s="732"/>
      <c r="AD90" s="732"/>
      <c r="AE90" s="732"/>
      <c r="AF90" s="737"/>
    </row>
    <row r="91" ht="14.25" customHeight="1" spans="2:32">
      <c r="B91" s="609" t="str">
        <f t="shared" si="5"/>
        <v>信号枪(信号弹枪)</v>
      </c>
      <c r="C91" s="610" t="s">
        <v>140</v>
      </c>
      <c r="D91" s="611" t="s">
        <v>4755</v>
      </c>
      <c r="E91" s="611" t="s">
        <v>4526</v>
      </c>
      <c r="F91" s="611" t="s">
        <v>515</v>
      </c>
      <c r="G91" s="611" t="s">
        <v>4460</v>
      </c>
      <c r="H91" s="611" t="s">
        <v>4427</v>
      </c>
      <c r="I91" s="611" t="s">
        <v>1207</v>
      </c>
      <c r="J91" s="611" t="s">
        <v>4429</v>
      </c>
      <c r="K91" s="611" t="s">
        <v>4756</v>
      </c>
      <c r="L91" s="649" t="s">
        <v>4757</v>
      </c>
      <c r="M91" s="707"/>
      <c r="N91" s="815"/>
      <c r="O91" s="815"/>
      <c r="P91" s="816" t="s">
        <v>4758</v>
      </c>
      <c r="Q91" s="859"/>
      <c r="R91" s="859"/>
      <c r="U91" s="129" t="s">
        <v>4759</v>
      </c>
      <c r="V91" s="129" t="str">
        <f t="shared" si="6"/>
        <v>信号枪(信号弹枪)</v>
      </c>
      <c r="Y91" s="732"/>
      <c r="Z91" s="732"/>
      <c r="AA91" s="732"/>
      <c r="AB91" s="732"/>
      <c r="AC91" s="732"/>
      <c r="AD91" s="732"/>
      <c r="AE91" s="732"/>
      <c r="AF91" s="737"/>
    </row>
    <row r="92" ht="14.25" customHeight="1" spans="2:32">
      <c r="B92" s="756" t="str">
        <f t="shared" si="5"/>
        <v>-M79 40mm 榴弹发射器</v>
      </c>
      <c r="C92" s="607" t="s">
        <v>2678</v>
      </c>
      <c r="D92" s="608" t="s">
        <v>4760</v>
      </c>
      <c r="E92" s="608" t="s">
        <v>4611</v>
      </c>
      <c r="F92" s="608" t="s">
        <v>515</v>
      </c>
      <c r="G92" s="608" t="s">
        <v>4606</v>
      </c>
      <c r="H92" s="608" t="s">
        <v>4427</v>
      </c>
      <c r="I92" s="608" t="s">
        <v>4549</v>
      </c>
      <c r="J92" s="608" t="s">
        <v>4447</v>
      </c>
      <c r="K92" s="608" t="s">
        <v>4660</v>
      </c>
      <c r="L92" s="648" t="s">
        <v>4647</v>
      </c>
      <c r="M92" s="817"/>
      <c r="N92" s="815"/>
      <c r="O92" s="815"/>
      <c r="P92" s="816" t="s">
        <v>1460</v>
      </c>
      <c r="Q92" s="859"/>
      <c r="R92" s="859"/>
      <c r="U92" s="129" t="s">
        <v>4761</v>
      </c>
      <c r="V92" s="129" t="str">
        <f t="shared" si="6"/>
        <v>-M79 40mm 榴弹发射器</v>
      </c>
      <c r="Y92" s="732"/>
      <c r="Z92" s="732"/>
      <c r="AA92" s="732"/>
      <c r="AB92" s="732"/>
      <c r="AC92" s="732"/>
      <c r="AD92" s="732"/>
      <c r="AE92" s="732"/>
      <c r="AF92" s="737"/>
    </row>
    <row r="93" ht="14.25" customHeight="1" spans="2:32">
      <c r="B93" s="756" t="str">
        <f t="shared" si="5"/>
        <v>炸药棒</v>
      </c>
      <c r="C93" s="645" t="s">
        <v>144</v>
      </c>
      <c r="D93" s="380" t="s">
        <v>4762</v>
      </c>
      <c r="E93" s="380" t="s">
        <v>4489</v>
      </c>
      <c r="F93" s="380" t="s">
        <v>515</v>
      </c>
      <c r="G93" s="380" t="s">
        <v>4460</v>
      </c>
      <c r="H93" s="380" t="s">
        <v>4493</v>
      </c>
      <c r="I93" s="380" t="s">
        <v>4549</v>
      </c>
      <c r="J93" s="380" t="s">
        <v>4429</v>
      </c>
      <c r="K93" s="380" t="s">
        <v>4763</v>
      </c>
      <c r="L93" s="662" t="s">
        <v>4764</v>
      </c>
      <c r="M93" s="707"/>
      <c r="N93" s="815"/>
      <c r="O93" s="815"/>
      <c r="P93" s="816" t="s">
        <v>1568</v>
      </c>
      <c r="Q93" s="860"/>
      <c r="R93" s="860"/>
      <c r="U93" s="129" t="s">
        <v>4765</v>
      </c>
      <c r="V93" s="129" t="str">
        <f t="shared" si="6"/>
        <v>炸药棒</v>
      </c>
      <c r="Y93" s="732"/>
      <c r="Z93" s="732"/>
      <c r="AA93" s="732"/>
      <c r="AB93" s="732"/>
      <c r="AC93" s="732"/>
      <c r="AD93" s="732"/>
      <c r="AE93" s="732"/>
      <c r="AF93" s="737"/>
    </row>
    <row r="94" ht="14.25" customHeight="1" spans="2:32">
      <c r="B94" s="756" t="str">
        <f t="shared" si="5"/>
        <v>雷管</v>
      </c>
      <c r="C94" s="607" t="s">
        <v>118</v>
      </c>
      <c r="D94" s="608" t="s">
        <v>4766</v>
      </c>
      <c r="E94" s="608" t="s">
        <v>4660</v>
      </c>
      <c r="F94" s="608" t="s">
        <v>515</v>
      </c>
      <c r="G94" s="608" t="s">
        <v>4660</v>
      </c>
      <c r="H94" s="608" t="s">
        <v>4493</v>
      </c>
      <c r="I94" s="608" t="s">
        <v>1207</v>
      </c>
      <c r="J94" s="608" t="s">
        <v>4429</v>
      </c>
      <c r="K94" s="608" t="s">
        <v>4767</v>
      </c>
      <c r="L94" s="648" t="s">
        <v>4768</v>
      </c>
      <c r="M94" s="707"/>
      <c r="N94" s="815"/>
      <c r="O94" s="815"/>
      <c r="P94" s="816" t="s">
        <v>433</v>
      </c>
      <c r="Q94" s="861" t="s">
        <v>4769</v>
      </c>
      <c r="R94" s="861"/>
      <c r="U94" s="129" t="s">
        <v>4770</v>
      </c>
      <c r="V94" s="129" t="str">
        <f t="shared" si="6"/>
        <v>雷管</v>
      </c>
      <c r="Y94" s="732"/>
      <c r="Z94" s="732"/>
      <c r="AA94" s="732"/>
      <c r="AB94" s="732"/>
      <c r="AC94" s="732"/>
      <c r="AD94" s="732"/>
      <c r="AE94" s="732"/>
      <c r="AF94" s="737"/>
    </row>
    <row r="95" ht="14.25" customHeight="1" spans="2:32">
      <c r="B95" s="756" t="str">
        <f t="shared" si="5"/>
        <v>爆破筒</v>
      </c>
      <c r="C95" s="645" t="s">
        <v>152</v>
      </c>
      <c r="D95" s="380" t="s">
        <v>4771</v>
      </c>
      <c r="E95" s="380" t="s">
        <v>4772</v>
      </c>
      <c r="F95" s="380" t="s">
        <v>515</v>
      </c>
      <c r="G95" s="380" t="s">
        <v>4773</v>
      </c>
      <c r="H95" s="380" t="s">
        <v>4493</v>
      </c>
      <c r="I95" s="380" t="s">
        <v>4446</v>
      </c>
      <c r="J95" s="380" t="s">
        <v>4429</v>
      </c>
      <c r="K95" s="380" t="s">
        <v>4660</v>
      </c>
      <c r="L95" s="662" t="s">
        <v>4774</v>
      </c>
      <c r="M95" s="707"/>
      <c r="N95" s="818" t="s">
        <v>4775</v>
      </c>
      <c r="O95" s="818"/>
      <c r="P95" s="816" t="s">
        <v>4543</v>
      </c>
      <c r="Q95" s="862"/>
      <c r="R95" s="862"/>
      <c r="U95" s="129" t="s">
        <v>4776</v>
      </c>
      <c r="V95" s="129" t="str">
        <f t="shared" si="6"/>
        <v>爆破筒</v>
      </c>
      <c r="Y95" s="732"/>
      <c r="Z95" s="732"/>
      <c r="AA95" s="732"/>
      <c r="AB95" s="732"/>
      <c r="AC95" s="732"/>
      <c r="AD95" s="732"/>
      <c r="AE95" s="732"/>
      <c r="AF95" s="737"/>
    </row>
    <row r="96" ht="14.25" customHeight="1" spans="2:32">
      <c r="B96" s="756" t="str">
        <f t="shared" si="5"/>
        <v>-塑胶炸弹(C4) 100克</v>
      </c>
      <c r="C96" s="607" t="s">
        <v>152</v>
      </c>
      <c r="D96" s="608" t="s">
        <v>4777</v>
      </c>
      <c r="E96" s="608" t="s">
        <v>4772</v>
      </c>
      <c r="F96" s="608" t="s">
        <v>515</v>
      </c>
      <c r="G96" s="608" t="s">
        <v>4773</v>
      </c>
      <c r="H96" s="608" t="s">
        <v>4493</v>
      </c>
      <c r="I96" s="608" t="s">
        <v>4549</v>
      </c>
      <c r="J96" s="608" t="s">
        <v>4447</v>
      </c>
      <c r="K96" s="608" t="s">
        <v>4660</v>
      </c>
      <c r="L96" s="648" t="s">
        <v>4778</v>
      </c>
      <c r="M96" s="707"/>
      <c r="N96" s="818"/>
      <c r="O96" s="818"/>
      <c r="P96" s="816" t="s">
        <v>4534</v>
      </c>
      <c r="Q96" s="862"/>
      <c r="R96" s="862"/>
      <c r="U96" s="129" t="s">
        <v>4779</v>
      </c>
      <c r="V96" s="129" t="str">
        <f t="shared" si="6"/>
        <v>-塑胶炸弹(C4) 100克</v>
      </c>
      <c r="Y96" s="732"/>
      <c r="Z96" s="732"/>
      <c r="AA96" s="732"/>
      <c r="AB96" s="732"/>
      <c r="AC96" s="732"/>
      <c r="AD96" s="732"/>
      <c r="AE96" s="732"/>
      <c r="AF96" s="737"/>
    </row>
    <row r="97" ht="14.25" customHeight="1" spans="2:32">
      <c r="B97" s="756" t="str">
        <f t="shared" si="5"/>
        <v>手榴弹</v>
      </c>
      <c r="C97" s="645" t="s">
        <v>144</v>
      </c>
      <c r="D97" s="380" t="s">
        <v>4762</v>
      </c>
      <c r="E97" s="380" t="s">
        <v>4489</v>
      </c>
      <c r="F97" s="380" t="s">
        <v>515</v>
      </c>
      <c r="G97" s="380" t="s">
        <v>4460</v>
      </c>
      <c r="H97" s="380" t="s">
        <v>4493</v>
      </c>
      <c r="I97" s="380" t="s">
        <v>4549</v>
      </c>
      <c r="J97" s="380" t="s">
        <v>4429</v>
      </c>
      <c r="K97" s="380" t="s">
        <v>4660</v>
      </c>
      <c r="L97" s="662" t="s">
        <v>4780</v>
      </c>
      <c r="M97" s="707"/>
      <c r="N97" s="818"/>
      <c r="O97" s="818"/>
      <c r="P97" s="816" t="s">
        <v>4781</v>
      </c>
      <c r="Q97" s="862"/>
      <c r="R97" s="862"/>
      <c r="U97" s="129" t="s">
        <v>4782</v>
      </c>
      <c r="V97" s="129" t="str">
        <f t="shared" si="6"/>
        <v>手榴弹</v>
      </c>
      <c r="Y97" s="732"/>
      <c r="Z97" s="732"/>
      <c r="AA97" s="732"/>
      <c r="AB97" s="732"/>
      <c r="AC97" s="732"/>
      <c r="AD97" s="732"/>
      <c r="AE97" s="732"/>
      <c r="AF97" s="737"/>
    </row>
    <row r="98" ht="14.25" customHeight="1" spans="2:32">
      <c r="B98" s="756" t="str">
        <f t="shared" ref="B98:B105" si="7">IF(OR(J98="1920s,现代",$U$1="其他",J98=$U$1,J98="罕见"),U98,"-"&amp;U98)</f>
        <v>-81mm迫击炮</v>
      </c>
      <c r="C98" s="607" t="s">
        <v>159</v>
      </c>
      <c r="D98" s="608" t="s">
        <v>4783</v>
      </c>
      <c r="E98" s="608" t="s">
        <v>4784</v>
      </c>
      <c r="F98" s="608" t="s">
        <v>515</v>
      </c>
      <c r="G98" s="608" t="s">
        <v>4492</v>
      </c>
      <c r="H98" s="608" t="s">
        <v>4785</v>
      </c>
      <c r="I98" s="608" t="s">
        <v>1207</v>
      </c>
      <c r="J98" s="608" t="s">
        <v>4447</v>
      </c>
      <c r="K98" s="608" t="s">
        <v>4660</v>
      </c>
      <c r="L98" s="648" t="s">
        <v>4580</v>
      </c>
      <c r="M98" s="707"/>
      <c r="N98" s="819" t="s">
        <v>4786</v>
      </c>
      <c r="O98" s="819"/>
      <c r="P98" s="819"/>
      <c r="Q98" s="819"/>
      <c r="R98" s="819"/>
      <c r="U98" s="129" t="s">
        <v>4787</v>
      </c>
      <c r="V98" s="129" t="str">
        <f t="shared" si="6"/>
        <v>-81mm迫击炮</v>
      </c>
      <c r="Y98" s="732"/>
      <c r="Z98" s="732"/>
      <c r="AA98" s="732"/>
      <c r="AB98" s="732"/>
      <c r="AC98" s="732"/>
      <c r="AD98" s="732"/>
      <c r="AE98" s="732"/>
      <c r="AF98" s="737"/>
    </row>
    <row r="99" ht="14.25" customHeight="1" spans="2:32">
      <c r="B99" s="756" t="str">
        <f t="shared" si="7"/>
        <v>75mm野战火炮</v>
      </c>
      <c r="C99" s="610" t="s">
        <v>159</v>
      </c>
      <c r="D99" s="611" t="s">
        <v>4788</v>
      </c>
      <c r="E99" s="611" t="s">
        <v>4784</v>
      </c>
      <c r="F99" s="611" t="s">
        <v>515</v>
      </c>
      <c r="G99" s="611" t="s">
        <v>4527</v>
      </c>
      <c r="H99" s="611" t="s">
        <v>4785</v>
      </c>
      <c r="I99" s="611" t="s">
        <v>4549</v>
      </c>
      <c r="J99" s="611" t="s">
        <v>4429</v>
      </c>
      <c r="K99" s="611" t="s">
        <v>4789</v>
      </c>
      <c r="L99" s="649" t="s">
        <v>4790</v>
      </c>
      <c r="M99" s="707"/>
      <c r="N99" s="815" t="s">
        <v>4791</v>
      </c>
      <c r="O99" s="815"/>
      <c r="P99" s="815"/>
      <c r="Q99" s="863" t="s">
        <v>4792</v>
      </c>
      <c r="R99" s="863"/>
      <c r="U99" s="129" t="s">
        <v>4793</v>
      </c>
      <c r="V99" s="129" t="str">
        <f t="shared" si="6"/>
        <v>75mm野战火炮</v>
      </c>
      <c r="Y99" s="732"/>
      <c r="Z99" s="732"/>
      <c r="AA99" s="732"/>
      <c r="AB99" s="732"/>
      <c r="AC99" s="732"/>
      <c r="AD99" s="732"/>
      <c r="AE99" s="732"/>
      <c r="AF99" s="737"/>
    </row>
    <row r="100" ht="14.25" customHeight="1" spans="2:32">
      <c r="B100" s="756" t="str">
        <f t="shared" si="7"/>
        <v>-120mm坦克炮(稳定)</v>
      </c>
      <c r="C100" s="607" t="s">
        <v>159</v>
      </c>
      <c r="D100" s="608" t="s">
        <v>4788</v>
      </c>
      <c r="E100" s="608" t="s">
        <v>4794</v>
      </c>
      <c r="F100" s="608" t="s">
        <v>515</v>
      </c>
      <c r="G100" s="608" t="s">
        <v>4427</v>
      </c>
      <c r="H100" s="608" t="s">
        <v>4785</v>
      </c>
      <c r="I100" s="608" t="s">
        <v>1207</v>
      </c>
      <c r="J100" s="608" t="s">
        <v>4447</v>
      </c>
      <c r="K100" s="608" t="s">
        <v>4660</v>
      </c>
      <c r="L100" s="648" t="s">
        <v>4735</v>
      </c>
      <c r="M100" s="707"/>
      <c r="N100" s="815"/>
      <c r="O100" s="815"/>
      <c r="P100" s="815"/>
      <c r="Q100" s="863"/>
      <c r="R100" s="863"/>
      <c r="U100" s="129" t="s">
        <v>4795</v>
      </c>
      <c r="V100" s="129" t="str">
        <f t="shared" si="6"/>
        <v>-120mm坦克炮(稳定)</v>
      </c>
      <c r="Y100" s="732"/>
      <c r="Z100" s="732"/>
      <c r="AA100" s="732"/>
      <c r="AB100" s="732"/>
      <c r="AC100" s="732"/>
      <c r="AD100" s="732"/>
      <c r="AE100" s="732"/>
      <c r="AF100" s="737"/>
    </row>
    <row r="101" ht="14.25" customHeight="1" spans="2:32">
      <c r="B101" s="756" t="str">
        <f t="shared" si="7"/>
        <v>-5英寸舰载炮(稳定)</v>
      </c>
      <c r="C101" s="610" t="s">
        <v>159</v>
      </c>
      <c r="D101" s="611" t="s">
        <v>4796</v>
      </c>
      <c r="E101" s="611" t="s">
        <v>4797</v>
      </c>
      <c r="F101" s="611" t="s">
        <v>515</v>
      </c>
      <c r="G101" s="611">
        <v>1</v>
      </c>
      <c r="H101" s="611" t="s">
        <v>4798</v>
      </c>
      <c r="I101" s="611" t="s">
        <v>4561</v>
      </c>
      <c r="J101" s="611" t="s">
        <v>4447</v>
      </c>
      <c r="K101" s="611" t="s">
        <v>4660</v>
      </c>
      <c r="L101" s="649" t="s">
        <v>4799</v>
      </c>
      <c r="M101" s="707"/>
      <c r="N101" s="815"/>
      <c r="O101" s="815"/>
      <c r="P101" s="815"/>
      <c r="Q101" s="863"/>
      <c r="R101" s="863"/>
      <c r="U101" s="129" t="s">
        <v>4800</v>
      </c>
      <c r="V101" s="129" t="str">
        <f t="shared" si="6"/>
        <v>-5英寸舰载炮(稳定)</v>
      </c>
      <c r="Y101" s="732"/>
      <c r="Z101" s="732"/>
      <c r="AA101" s="732"/>
      <c r="AB101" s="732"/>
      <c r="AC101" s="732"/>
      <c r="AD101" s="732"/>
      <c r="AE101" s="732"/>
      <c r="AF101" s="737"/>
    </row>
    <row r="102" ht="14.25" customHeight="1" spans="2:32">
      <c r="B102" s="756" t="str">
        <f t="shared" si="7"/>
        <v>反步兵地雷</v>
      </c>
      <c r="C102" s="607" t="s">
        <v>152</v>
      </c>
      <c r="D102" s="608" t="s">
        <v>4801</v>
      </c>
      <c r="E102" s="608" t="s">
        <v>4772</v>
      </c>
      <c r="F102" s="608" t="s">
        <v>515</v>
      </c>
      <c r="G102" s="608" t="s">
        <v>4802</v>
      </c>
      <c r="H102" s="608" t="s">
        <v>4493</v>
      </c>
      <c r="I102" s="608" t="s">
        <v>4549</v>
      </c>
      <c r="J102" s="608" t="s">
        <v>4429</v>
      </c>
      <c r="K102" s="608" t="s">
        <v>4660</v>
      </c>
      <c r="L102" s="648" t="s">
        <v>4803</v>
      </c>
      <c r="M102" s="707"/>
      <c r="N102" s="815"/>
      <c r="O102" s="815"/>
      <c r="P102" s="815"/>
      <c r="Q102" s="863"/>
      <c r="R102" s="863"/>
      <c r="U102" s="129" t="s">
        <v>4804</v>
      </c>
      <c r="V102" s="129" t="str">
        <f t="shared" si="6"/>
        <v>反步兵地雷</v>
      </c>
      <c r="Y102" s="732"/>
      <c r="Z102" s="732"/>
      <c r="AA102" s="732"/>
      <c r="AB102" s="732"/>
      <c r="AC102" s="732"/>
      <c r="AD102" s="732"/>
      <c r="AE102" s="732"/>
      <c r="AF102" s="737"/>
    </row>
    <row r="103" ht="14.25" customHeight="1" spans="2:32">
      <c r="B103" s="756" t="str">
        <f t="shared" si="7"/>
        <v>-阔剑地雷</v>
      </c>
      <c r="C103" s="757" t="s">
        <v>152</v>
      </c>
      <c r="D103" s="758" t="s">
        <v>4805</v>
      </c>
      <c r="E103" s="758" t="s">
        <v>4772</v>
      </c>
      <c r="F103" s="758" t="s">
        <v>515</v>
      </c>
      <c r="G103" s="758" t="s">
        <v>4802</v>
      </c>
      <c r="H103" s="758" t="s">
        <v>4493</v>
      </c>
      <c r="I103" s="758" t="s">
        <v>4549</v>
      </c>
      <c r="J103" s="758" t="s">
        <v>4447</v>
      </c>
      <c r="K103" s="758" t="s">
        <v>4660</v>
      </c>
      <c r="L103" s="783" t="s">
        <v>4602</v>
      </c>
      <c r="M103" s="707"/>
      <c r="N103" s="815"/>
      <c r="O103" s="815"/>
      <c r="P103" s="815"/>
      <c r="Q103" s="863"/>
      <c r="R103" s="863"/>
      <c r="U103" s="129" t="s">
        <v>4806</v>
      </c>
      <c r="V103" s="129" t="str">
        <f t="shared" si="6"/>
        <v>-阔剑地雷</v>
      </c>
      <c r="Y103" s="732"/>
      <c r="Z103" s="732"/>
      <c r="AA103" s="732"/>
      <c r="AB103" s="732"/>
      <c r="AC103" s="732"/>
      <c r="AD103" s="732"/>
      <c r="AE103" s="732"/>
      <c r="AF103" s="737"/>
    </row>
    <row r="104" ht="14.25" customHeight="1" spans="2:32">
      <c r="B104" s="756" t="str">
        <f t="shared" si="7"/>
        <v>火焰喷射器</v>
      </c>
      <c r="C104" s="607" t="s">
        <v>2651</v>
      </c>
      <c r="D104" s="608" t="s">
        <v>4749</v>
      </c>
      <c r="E104" s="608" t="s">
        <v>4807</v>
      </c>
      <c r="F104" s="608" t="s">
        <v>515</v>
      </c>
      <c r="G104" s="608" t="s">
        <v>4427</v>
      </c>
      <c r="H104" s="608" t="s">
        <v>4808</v>
      </c>
      <c r="I104" s="608" t="s">
        <v>4809</v>
      </c>
      <c r="J104" s="608" t="s">
        <v>4429</v>
      </c>
      <c r="K104" s="608" t="s">
        <v>4660</v>
      </c>
      <c r="L104" s="648" t="s">
        <v>4810</v>
      </c>
      <c r="M104" s="707"/>
      <c r="N104" s="815"/>
      <c r="O104" s="815"/>
      <c r="P104" s="815"/>
      <c r="Q104" s="863"/>
      <c r="R104" s="863"/>
      <c r="U104" s="129" t="s">
        <v>4811</v>
      </c>
      <c r="V104" s="129" t="str">
        <f t="shared" si="6"/>
        <v>火焰喷射器</v>
      </c>
      <c r="Y104" s="732"/>
      <c r="Z104" s="732"/>
      <c r="AA104" s="732"/>
      <c r="AB104" s="732"/>
      <c r="AC104" s="732"/>
      <c r="AD104" s="732"/>
      <c r="AE104" s="732"/>
      <c r="AF104" s="737"/>
    </row>
    <row r="105" ht="17" customHeight="1" spans="1:32">
      <c r="A105" s="339"/>
      <c r="B105" s="759" t="str">
        <f t="shared" si="7"/>
        <v>-M72 式单发轻型反坦克炮</v>
      </c>
      <c r="C105" s="760" t="s">
        <v>2678</v>
      </c>
      <c r="D105" s="761" t="s">
        <v>4812</v>
      </c>
      <c r="E105" s="761" t="s">
        <v>4813</v>
      </c>
      <c r="F105" s="761" t="s">
        <v>515</v>
      </c>
      <c r="G105" s="761" t="s">
        <v>4427</v>
      </c>
      <c r="H105" s="761" t="s">
        <v>4427</v>
      </c>
      <c r="I105" s="761" t="s">
        <v>4561</v>
      </c>
      <c r="J105" s="761" t="s">
        <v>4447</v>
      </c>
      <c r="K105" s="761" t="s">
        <v>4660</v>
      </c>
      <c r="L105" s="784" t="s">
        <v>4744</v>
      </c>
      <c r="M105" s="817"/>
      <c r="N105" s="815"/>
      <c r="O105" s="815"/>
      <c r="P105" s="815"/>
      <c r="Q105" s="863"/>
      <c r="R105" s="863"/>
      <c r="U105" s="129" t="s">
        <v>4814</v>
      </c>
      <c r="V105" s="129" t="str">
        <f t="shared" si="6"/>
        <v>-M72 式单发轻型反坦克炮</v>
      </c>
      <c r="Y105" s="732"/>
      <c r="Z105" s="732"/>
      <c r="AA105" s="732"/>
      <c r="AB105" s="732"/>
      <c r="AC105" s="732"/>
      <c r="AD105" s="732"/>
      <c r="AE105" s="732"/>
      <c r="AF105" s="737"/>
    </row>
    <row r="106" ht="17.55" spans="1:16">
      <c r="A106" s="339"/>
      <c r="B106" s="339"/>
      <c r="C106" s="339"/>
      <c r="N106" s="182"/>
      <c r="O106" s="182"/>
      <c r="P106" s="182"/>
    </row>
    <row r="107" ht="17.55" spans="1:20">
      <c r="A107" s="339"/>
      <c r="B107" s="384" t="s">
        <v>4815</v>
      </c>
      <c r="C107" s="385"/>
      <c r="D107" s="385"/>
      <c r="E107" s="385"/>
      <c r="F107" s="385"/>
      <c r="G107" s="385"/>
      <c r="H107" s="385"/>
      <c r="I107" s="385"/>
      <c r="J107" s="385"/>
      <c r="K107" s="385"/>
      <c r="L107" s="500"/>
      <c r="M107" s="369"/>
      <c r="N107" s="369"/>
      <c r="O107" s="369"/>
      <c r="P107" s="369"/>
      <c r="Q107" s="369"/>
      <c r="R107" s="369"/>
      <c r="S107" s="369"/>
      <c r="T107" s="369"/>
    </row>
    <row r="108" ht="15" customHeight="1" spans="1:20">
      <c r="A108" s="339"/>
      <c r="B108" s="762" t="s">
        <v>4816</v>
      </c>
      <c r="C108" s="569"/>
      <c r="D108" s="569"/>
      <c r="E108" s="569"/>
      <c r="F108" s="569"/>
      <c r="G108" s="569"/>
      <c r="H108" s="569"/>
      <c r="I108" s="569"/>
      <c r="J108" s="569"/>
      <c r="K108" s="569"/>
      <c r="L108" s="785"/>
      <c r="M108" s="369"/>
      <c r="N108" s="820" t="s">
        <v>4817</v>
      </c>
      <c r="O108" s="821"/>
      <c r="P108" s="821"/>
      <c r="Q108" s="821"/>
      <c r="R108" s="864"/>
      <c r="S108" s="369"/>
      <c r="T108" s="369"/>
    </row>
    <row r="109" spans="1:20">
      <c r="A109" s="339"/>
      <c r="B109" s="763" t="s">
        <v>4818</v>
      </c>
      <c r="C109" s="572"/>
      <c r="D109" s="572"/>
      <c r="E109" s="572"/>
      <c r="F109" s="572"/>
      <c r="G109" s="572"/>
      <c r="H109" s="572"/>
      <c r="I109" s="572"/>
      <c r="J109" s="572"/>
      <c r="K109" s="572"/>
      <c r="L109" s="786"/>
      <c r="M109" s="369"/>
      <c r="N109" s="822" t="s">
        <v>4819</v>
      </c>
      <c r="O109" s="823"/>
      <c r="P109" s="824" t="s">
        <v>4820</v>
      </c>
      <c r="Q109" s="823" t="s">
        <v>4821</v>
      </c>
      <c r="R109" s="865"/>
      <c r="S109" s="369"/>
      <c r="T109" s="369"/>
    </row>
    <row r="110" spans="1:20">
      <c r="A110" s="339"/>
      <c r="B110" s="763" t="s">
        <v>4822</v>
      </c>
      <c r="C110" s="572"/>
      <c r="D110" s="572"/>
      <c r="E110" s="572"/>
      <c r="F110" s="572"/>
      <c r="G110" s="572"/>
      <c r="H110" s="572"/>
      <c r="I110" s="572"/>
      <c r="J110" s="572"/>
      <c r="K110" s="572"/>
      <c r="L110" s="786"/>
      <c r="M110" s="369"/>
      <c r="N110" s="825" t="s">
        <v>4823</v>
      </c>
      <c r="O110" s="826"/>
      <c r="P110" s="827" t="s">
        <v>4824</v>
      </c>
      <c r="Q110" s="866" t="s">
        <v>4825</v>
      </c>
      <c r="R110" s="867"/>
      <c r="S110" s="369"/>
      <c r="T110" s="369"/>
    </row>
    <row r="111" ht="16" customHeight="1" spans="1:20">
      <c r="A111" s="339"/>
      <c r="B111" s="764" t="s">
        <v>4826</v>
      </c>
      <c r="C111" s="765"/>
      <c r="D111" s="765"/>
      <c r="E111" s="765"/>
      <c r="F111" s="765"/>
      <c r="G111" s="765"/>
      <c r="H111" s="765"/>
      <c r="I111" s="765"/>
      <c r="J111" s="765"/>
      <c r="K111" s="765"/>
      <c r="L111" s="787"/>
      <c r="M111" s="369"/>
      <c r="N111" s="828"/>
      <c r="O111" s="590"/>
      <c r="P111" s="829" t="s">
        <v>4827</v>
      </c>
      <c r="Q111" s="868"/>
      <c r="R111" s="867"/>
      <c r="S111" s="369"/>
      <c r="T111" s="369"/>
    </row>
    <row r="112" spans="1:20">
      <c r="A112" s="339"/>
      <c r="B112" s="766" t="s">
        <v>4828</v>
      </c>
      <c r="C112" s="570"/>
      <c r="D112" s="570"/>
      <c r="E112" s="570"/>
      <c r="F112" s="570"/>
      <c r="G112" s="570"/>
      <c r="H112" s="570"/>
      <c r="I112" s="570"/>
      <c r="J112" s="570"/>
      <c r="K112" s="570"/>
      <c r="L112" s="788"/>
      <c r="M112" s="369"/>
      <c r="N112" s="830"/>
      <c r="P112" s="829"/>
      <c r="Q112" s="866" t="s">
        <v>4829</v>
      </c>
      <c r="R112" s="867"/>
      <c r="S112" s="369"/>
      <c r="T112" s="369"/>
    </row>
    <row r="113" spans="1:20">
      <c r="A113" s="339"/>
      <c r="B113" s="766" t="s">
        <v>4830</v>
      </c>
      <c r="C113" s="570"/>
      <c r="D113" s="570"/>
      <c r="E113" s="570"/>
      <c r="F113" s="570"/>
      <c r="G113" s="570"/>
      <c r="H113" s="570"/>
      <c r="I113" s="570"/>
      <c r="J113" s="570"/>
      <c r="K113" s="570"/>
      <c r="L113" s="788"/>
      <c r="M113" s="369"/>
      <c r="N113" s="830"/>
      <c r="P113" s="829" t="s">
        <v>4831</v>
      </c>
      <c r="Q113" s="868"/>
      <c r="R113" s="867"/>
      <c r="S113" s="369"/>
      <c r="T113" s="369"/>
    </row>
    <row r="114" spans="1:20">
      <c r="A114" s="339"/>
      <c r="B114" s="767" t="s">
        <v>4832</v>
      </c>
      <c r="C114" s="768"/>
      <c r="D114" s="768"/>
      <c r="E114" s="768"/>
      <c r="F114" s="768"/>
      <c r="G114" s="768"/>
      <c r="H114" s="768"/>
      <c r="I114" s="768"/>
      <c r="J114" s="768"/>
      <c r="K114" s="768"/>
      <c r="L114" s="789"/>
      <c r="M114" s="369"/>
      <c r="N114" s="830"/>
      <c r="P114" s="829" t="s">
        <v>4833</v>
      </c>
      <c r="Q114" s="866" t="s">
        <v>4834</v>
      </c>
      <c r="R114" s="867"/>
      <c r="S114" s="369"/>
      <c r="T114" s="369"/>
    </row>
    <row r="115" spans="1:20">
      <c r="A115" s="339"/>
      <c r="B115" s="764" t="s">
        <v>4835</v>
      </c>
      <c r="C115" s="765"/>
      <c r="D115" s="765"/>
      <c r="E115" s="765"/>
      <c r="F115" s="765"/>
      <c r="G115" s="765"/>
      <c r="H115" s="765"/>
      <c r="I115" s="765"/>
      <c r="J115" s="765"/>
      <c r="K115" s="765"/>
      <c r="L115" s="787"/>
      <c r="M115" s="369"/>
      <c r="N115" s="831" t="s">
        <v>4836</v>
      </c>
      <c r="O115" s="590"/>
      <c r="P115" s="829"/>
      <c r="Q115" s="868"/>
      <c r="R115" s="867"/>
      <c r="S115" s="369"/>
      <c r="T115" s="369"/>
    </row>
    <row r="116" spans="1:20">
      <c r="A116" s="339"/>
      <c r="B116" s="769" t="s">
        <v>4837</v>
      </c>
      <c r="C116" s="770"/>
      <c r="D116" s="770"/>
      <c r="E116" s="770"/>
      <c r="F116" s="770"/>
      <c r="G116" s="770"/>
      <c r="H116" s="770"/>
      <c r="I116" s="770"/>
      <c r="J116" s="770"/>
      <c r="K116" s="770"/>
      <c r="L116" s="790"/>
      <c r="M116" s="369"/>
      <c r="N116" s="828"/>
      <c r="O116" s="590"/>
      <c r="P116" s="829" t="s">
        <v>4838</v>
      </c>
      <c r="Q116" s="868" t="s">
        <v>4839</v>
      </c>
      <c r="R116" s="867"/>
      <c r="S116" s="369"/>
      <c r="T116" s="369"/>
    </row>
    <row r="117" spans="1:20">
      <c r="A117" s="339"/>
      <c r="B117" s="766" t="s">
        <v>4840</v>
      </c>
      <c r="C117" s="570"/>
      <c r="D117" s="570"/>
      <c r="E117" s="570"/>
      <c r="F117" s="570"/>
      <c r="G117" s="570"/>
      <c r="H117" s="570"/>
      <c r="I117" s="570"/>
      <c r="J117" s="570"/>
      <c r="K117" s="570"/>
      <c r="L117" s="788"/>
      <c r="M117" s="369"/>
      <c r="N117" s="832"/>
      <c r="O117" s="369"/>
      <c r="P117" s="829" t="s">
        <v>4841</v>
      </c>
      <c r="Q117" s="868" t="s">
        <v>4842</v>
      </c>
      <c r="R117" s="867"/>
      <c r="S117" s="369"/>
      <c r="T117" s="369"/>
    </row>
    <row r="118" spans="1:20">
      <c r="A118" s="339"/>
      <c r="B118" s="769" t="s">
        <v>4843</v>
      </c>
      <c r="C118" s="770"/>
      <c r="D118" s="770"/>
      <c r="E118" s="770"/>
      <c r="F118" s="770"/>
      <c r="G118" s="770"/>
      <c r="H118" s="770"/>
      <c r="I118" s="770"/>
      <c r="J118" s="770"/>
      <c r="K118" s="770"/>
      <c r="L118" s="790"/>
      <c r="M118" s="369"/>
      <c r="N118" s="833"/>
      <c r="O118" s="368"/>
      <c r="P118" s="834"/>
      <c r="Q118" s="866" t="s">
        <v>4844</v>
      </c>
      <c r="R118" s="869"/>
      <c r="S118" s="369"/>
      <c r="T118" s="369"/>
    </row>
    <row r="119" ht="17.55" spans="1:20">
      <c r="A119" s="339"/>
      <c r="B119" s="771" t="s">
        <v>4845</v>
      </c>
      <c r="C119" s="772"/>
      <c r="D119" s="772"/>
      <c r="E119" s="772"/>
      <c r="F119" s="772"/>
      <c r="G119" s="772"/>
      <c r="H119" s="772"/>
      <c r="I119" s="772"/>
      <c r="J119" s="772"/>
      <c r="K119" s="772"/>
      <c r="L119" s="791"/>
      <c r="M119" s="369"/>
      <c r="N119" s="833"/>
      <c r="O119" s="368"/>
      <c r="P119" s="834"/>
      <c r="Q119" s="866"/>
      <c r="R119" s="869"/>
      <c r="S119" s="369"/>
      <c r="T119" s="369"/>
    </row>
    <row r="120" ht="17.55" spans="1:20">
      <c r="A120" s="339"/>
      <c r="B120" s="567"/>
      <c r="C120" s="567"/>
      <c r="D120" s="340"/>
      <c r="E120" s="340"/>
      <c r="F120" s="340"/>
      <c r="G120" s="340"/>
      <c r="H120" s="340"/>
      <c r="I120" s="340"/>
      <c r="J120" s="340"/>
      <c r="K120" s="369"/>
      <c r="L120" s="369"/>
      <c r="M120" s="369"/>
      <c r="N120" s="831" t="s">
        <v>4846</v>
      </c>
      <c r="O120" s="590"/>
      <c r="P120" s="834"/>
      <c r="Q120" s="866" t="s">
        <v>4847</v>
      </c>
      <c r="R120" s="869"/>
      <c r="S120" s="369"/>
      <c r="T120" s="369"/>
    </row>
    <row r="121" ht="17.55" spans="1:20">
      <c r="A121" s="339"/>
      <c r="B121" s="384" t="s">
        <v>4848</v>
      </c>
      <c r="C121" s="385" t="s">
        <v>4849</v>
      </c>
      <c r="D121" s="385"/>
      <c r="E121" s="333" t="s">
        <v>4850</v>
      </c>
      <c r="F121" s="333"/>
      <c r="G121" s="333"/>
      <c r="H121" s="333"/>
      <c r="I121" s="333"/>
      <c r="J121" s="333"/>
      <c r="K121" s="333"/>
      <c r="L121" s="364"/>
      <c r="M121" s="369"/>
      <c r="N121" s="835"/>
      <c r="O121" s="337"/>
      <c r="P121" s="836"/>
      <c r="Q121" s="870"/>
      <c r="R121" s="871"/>
      <c r="S121" s="369"/>
      <c r="T121" s="369"/>
    </row>
    <row r="122" ht="17.55" spans="1:20">
      <c r="A122" s="339"/>
      <c r="B122" s="773"/>
      <c r="C122" s="774"/>
      <c r="D122" s="774"/>
      <c r="E122" s="777"/>
      <c r="F122" s="777"/>
      <c r="G122" s="777"/>
      <c r="H122" s="777"/>
      <c r="I122" s="777"/>
      <c r="J122" s="777"/>
      <c r="K122" s="777"/>
      <c r="L122" s="792"/>
      <c r="M122" s="369"/>
      <c r="N122" s="369"/>
      <c r="O122" s="369"/>
      <c r="P122" s="369"/>
      <c r="Q122" s="369"/>
      <c r="R122" s="369"/>
      <c r="S122" s="369"/>
      <c r="T122" s="369"/>
    </row>
    <row r="123" spans="1:20">
      <c r="A123" s="339"/>
      <c r="B123" s="763" t="s">
        <v>4851</v>
      </c>
      <c r="C123" s="570" t="s">
        <v>4852</v>
      </c>
      <c r="D123" s="570"/>
      <c r="E123" s="492" t="s">
        <v>4853</v>
      </c>
      <c r="F123" s="492"/>
      <c r="G123" s="492"/>
      <c r="H123" s="492"/>
      <c r="I123" s="492"/>
      <c r="J123" s="492"/>
      <c r="K123" s="492"/>
      <c r="L123" s="793"/>
      <c r="M123" s="369"/>
      <c r="N123" s="820" t="s">
        <v>4854</v>
      </c>
      <c r="O123" s="837"/>
      <c r="P123" s="837"/>
      <c r="Q123" s="837"/>
      <c r="R123" s="837"/>
      <c r="S123" s="837"/>
      <c r="T123" s="872"/>
    </row>
    <row r="124" spans="1:20">
      <c r="A124" s="339"/>
      <c r="B124" s="763"/>
      <c r="C124" s="570"/>
      <c r="D124" s="570"/>
      <c r="E124" s="492"/>
      <c r="F124" s="492"/>
      <c r="G124" s="492"/>
      <c r="H124" s="492"/>
      <c r="I124" s="492"/>
      <c r="J124" s="492"/>
      <c r="K124" s="492"/>
      <c r="L124" s="793"/>
      <c r="M124" s="369"/>
      <c r="N124" s="838" t="s">
        <v>4855</v>
      </c>
      <c r="O124" s="839" t="s">
        <v>4856</v>
      </c>
      <c r="P124" s="840"/>
      <c r="Q124" s="840"/>
      <c r="R124" s="840"/>
      <c r="S124" s="840"/>
      <c r="T124" s="873"/>
    </row>
    <row r="125" spans="1:20">
      <c r="A125" s="339"/>
      <c r="B125" s="763"/>
      <c r="C125" s="570"/>
      <c r="D125" s="570"/>
      <c r="E125" s="492"/>
      <c r="F125" s="492"/>
      <c r="G125" s="492"/>
      <c r="H125" s="492"/>
      <c r="I125" s="492"/>
      <c r="J125" s="492"/>
      <c r="K125" s="492"/>
      <c r="L125" s="793"/>
      <c r="M125" s="369"/>
      <c r="N125" s="841"/>
      <c r="O125" s="842"/>
      <c r="P125" s="843"/>
      <c r="Q125" s="843"/>
      <c r="R125" s="843"/>
      <c r="S125" s="843"/>
      <c r="T125" s="874"/>
    </row>
    <row r="126" spans="1:20">
      <c r="A126" s="339"/>
      <c r="B126" s="775" t="s">
        <v>4857</v>
      </c>
      <c r="C126" s="776" t="s">
        <v>4534</v>
      </c>
      <c r="D126" s="776"/>
      <c r="E126" s="778" t="s">
        <v>4858</v>
      </c>
      <c r="F126" s="778"/>
      <c r="G126" s="778"/>
      <c r="H126" s="778"/>
      <c r="I126" s="778"/>
      <c r="J126" s="778"/>
      <c r="K126" s="778"/>
      <c r="L126" s="794"/>
      <c r="M126" s="369"/>
      <c r="N126" s="844" t="s">
        <v>4859</v>
      </c>
      <c r="O126" s="845" t="s">
        <v>4860</v>
      </c>
      <c r="P126" s="846"/>
      <c r="Q126" s="846"/>
      <c r="R126" s="846"/>
      <c r="S126" s="846"/>
      <c r="T126" s="875"/>
    </row>
    <row r="127" spans="1:20">
      <c r="A127" s="339"/>
      <c r="B127" s="775"/>
      <c r="C127" s="776"/>
      <c r="D127" s="776"/>
      <c r="E127" s="778"/>
      <c r="F127" s="778"/>
      <c r="G127" s="778"/>
      <c r="H127" s="778"/>
      <c r="I127" s="778"/>
      <c r="J127" s="778"/>
      <c r="K127" s="778"/>
      <c r="L127" s="794"/>
      <c r="M127" s="369"/>
      <c r="N127" s="847"/>
      <c r="O127" s="848"/>
      <c r="P127" s="849"/>
      <c r="Q127" s="849"/>
      <c r="R127" s="849"/>
      <c r="S127" s="849"/>
      <c r="T127" s="876"/>
    </row>
    <row r="128" spans="1:20">
      <c r="A128" s="339"/>
      <c r="B128" s="775"/>
      <c r="C128" s="776"/>
      <c r="D128" s="776"/>
      <c r="E128" s="778"/>
      <c r="F128" s="778"/>
      <c r="G128" s="778"/>
      <c r="H128" s="778"/>
      <c r="I128" s="778"/>
      <c r="J128" s="778"/>
      <c r="K128" s="778"/>
      <c r="L128" s="794"/>
      <c r="M128" s="369"/>
      <c r="N128" s="850" t="s">
        <v>4861</v>
      </c>
      <c r="O128" s="851" t="s">
        <v>4862</v>
      </c>
      <c r="P128" s="852"/>
      <c r="Q128" s="852"/>
      <c r="R128" s="852"/>
      <c r="S128" s="852"/>
      <c r="T128" s="877"/>
    </row>
    <row r="129" spans="1:20">
      <c r="A129" s="339"/>
      <c r="B129" s="763" t="s">
        <v>4863</v>
      </c>
      <c r="C129" s="570" t="s">
        <v>433</v>
      </c>
      <c r="D129" s="570"/>
      <c r="E129" s="569" t="s">
        <v>4864</v>
      </c>
      <c r="F129" s="569"/>
      <c r="G129" s="569"/>
      <c r="H129" s="569"/>
      <c r="I129" s="569"/>
      <c r="J129" s="569"/>
      <c r="K129" s="569"/>
      <c r="L129" s="785"/>
      <c r="M129" s="369"/>
      <c r="N129" s="850"/>
      <c r="O129" s="851"/>
      <c r="P129" s="852"/>
      <c r="Q129" s="852"/>
      <c r="R129" s="852"/>
      <c r="S129" s="852"/>
      <c r="T129" s="877"/>
    </row>
    <row r="130" spans="1:20">
      <c r="A130" s="339"/>
      <c r="B130" s="763"/>
      <c r="C130" s="570"/>
      <c r="D130" s="570"/>
      <c r="E130" s="569"/>
      <c r="F130" s="569"/>
      <c r="G130" s="569"/>
      <c r="H130" s="569"/>
      <c r="I130" s="569"/>
      <c r="J130" s="569"/>
      <c r="K130" s="569"/>
      <c r="L130" s="785"/>
      <c r="M130" s="369"/>
      <c r="N130" s="850"/>
      <c r="O130" s="851"/>
      <c r="P130" s="852"/>
      <c r="Q130" s="852"/>
      <c r="R130" s="852"/>
      <c r="S130" s="852"/>
      <c r="T130" s="877"/>
    </row>
    <row r="131" spans="1:20">
      <c r="A131" s="339"/>
      <c r="B131" s="763"/>
      <c r="C131" s="570"/>
      <c r="D131" s="570"/>
      <c r="E131" s="569"/>
      <c r="F131" s="569"/>
      <c r="G131" s="569"/>
      <c r="H131" s="569"/>
      <c r="I131" s="569"/>
      <c r="J131" s="569"/>
      <c r="K131" s="569"/>
      <c r="L131" s="785"/>
      <c r="M131" s="369"/>
      <c r="N131" s="850"/>
      <c r="O131" s="851"/>
      <c r="P131" s="852"/>
      <c r="Q131" s="852"/>
      <c r="R131" s="852"/>
      <c r="S131" s="852"/>
      <c r="T131" s="877"/>
    </row>
    <row r="132" spans="1:20">
      <c r="A132" s="339"/>
      <c r="B132" s="879" t="s">
        <v>4865</v>
      </c>
      <c r="C132" s="776" t="s">
        <v>1568</v>
      </c>
      <c r="D132" s="880"/>
      <c r="E132" s="924" t="s">
        <v>4866</v>
      </c>
      <c r="F132" s="924"/>
      <c r="G132" s="924"/>
      <c r="H132" s="924"/>
      <c r="I132" s="924"/>
      <c r="J132" s="924"/>
      <c r="K132" s="924"/>
      <c r="L132" s="943"/>
      <c r="M132" s="369"/>
      <c r="N132" s="957"/>
      <c r="O132" s="842"/>
      <c r="P132" s="843"/>
      <c r="Q132" s="843"/>
      <c r="R132" s="843"/>
      <c r="S132" s="843"/>
      <c r="T132" s="874"/>
    </row>
    <row r="133" spans="1:20">
      <c r="A133" s="339"/>
      <c r="B133" s="881"/>
      <c r="C133" s="880"/>
      <c r="D133" s="880"/>
      <c r="E133" s="924"/>
      <c r="F133" s="924"/>
      <c r="G133" s="924"/>
      <c r="H133" s="924"/>
      <c r="I133" s="924"/>
      <c r="J133" s="924"/>
      <c r="K133" s="924"/>
      <c r="L133" s="943"/>
      <c r="M133" s="369"/>
      <c r="N133" s="958" t="s">
        <v>4867</v>
      </c>
      <c r="O133" s="845" t="s">
        <v>4868</v>
      </c>
      <c r="P133" s="846"/>
      <c r="Q133" s="846"/>
      <c r="R133" s="846"/>
      <c r="S133" s="846"/>
      <c r="T133" s="875"/>
    </row>
    <row r="134" spans="1:20">
      <c r="A134" s="339"/>
      <c r="B134" s="881"/>
      <c r="C134" s="880"/>
      <c r="D134" s="880"/>
      <c r="E134" s="924"/>
      <c r="F134" s="924"/>
      <c r="G134" s="924"/>
      <c r="H134" s="924"/>
      <c r="I134" s="924"/>
      <c r="J134" s="924"/>
      <c r="K134" s="924"/>
      <c r="L134" s="943"/>
      <c r="M134" s="369"/>
      <c r="N134" s="958"/>
      <c r="O134" s="845"/>
      <c r="P134" s="846"/>
      <c r="Q134" s="846"/>
      <c r="R134" s="846"/>
      <c r="S134" s="846"/>
      <c r="T134" s="875"/>
    </row>
    <row r="135" spans="1:20">
      <c r="A135" s="339"/>
      <c r="B135" s="766" t="s">
        <v>4869</v>
      </c>
      <c r="C135" s="570" t="s">
        <v>1460</v>
      </c>
      <c r="D135" s="570"/>
      <c r="E135" s="571" t="s">
        <v>4870</v>
      </c>
      <c r="F135" s="571"/>
      <c r="G135" s="571"/>
      <c r="H135" s="571"/>
      <c r="I135" s="571"/>
      <c r="J135" s="571"/>
      <c r="K135" s="571"/>
      <c r="L135" s="944"/>
      <c r="M135" s="369"/>
      <c r="N135" s="958"/>
      <c r="O135" s="845"/>
      <c r="P135" s="846"/>
      <c r="Q135" s="846"/>
      <c r="R135" s="846"/>
      <c r="S135" s="846"/>
      <c r="T135" s="875"/>
    </row>
    <row r="136" spans="1:20">
      <c r="A136" s="339"/>
      <c r="B136" s="766"/>
      <c r="C136" s="570"/>
      <c r="D136" s="570"/>
      <c r="E136" s="571"/>
      <c r="F136" s="571"/>
      <c r="G136" s="571"/>
      <c r="H136" s="571"/>
      <c r="I136" s="571"/>
      <c r="J136" s="571"/>
      <c r="K136" s="571"/>
      <c r="L136" s="944"/>
      <c r="M136" s="369"/>
      <c r="N136" s="958"/>
      <c r="O136" s="845"/>
      <c r="P136" s="846"/>
      <c r="Q136" s="846"/>
      <c r="R136" s="846"/>
      <c r="S136" s="846"/>
      <c r="T136" s="875"/>
    </row>
    <row r="137" spans="1:20">
      <c r="A137" s="339"/>
      <c r="B137" s="766"/>
      <c r="C137" s="570"/>
      <c r="D137" s="570"/>
      <c r="E137" s="571"/>
      <c r="F137" s="571"/>
      <c r="G137" s="571"/>
      <c r="H137" s="571"/>
      <c r="I137" s="571"/>
      <c r="J137" s="571"/>
      <c r="K137" s="571"/>
      <c r="L137" s="944"/>
      <c r="M137" s="369"/>
      <c r="N137" s="958"/>
      <c r="O137" s="845"/>
      <c r="P137" s="846"/>
      <c r="Q137" s="846"/>
      <c r="R137" s="846"/>
      <c r="S137" s="846"/>
      <c r="T137" s="875"/>
    </row>
    <row r="138" spans="1:20">
      <c r="A138" s="339"/>
      <c r="B138" s="879" t="s">
        <v>4871</v>
      </c>
      <c r="C138" s="776" t="s">
        <v>4758</v>
      </c>
      <c r="D138" s="776"/>
      <c r="E138" s="924" t="s">
        <v>4872</v>
      </c>
      <c r="F138" s="924"/>
      <c r="G138" s="924"/>
      <c r="H138" s="924"/>
      <c r="I138" s="924"/>
      <c r="J138" s="924"/>
      <c r="K138" s="924"/>
      <c r="L138" s="943"/>
      <c r="M138" s="369"/>
      <c r="N138" s="958"/>
      <c r="O138" s="845"/>
      <c r="P138" s="846"/>
      <c r="Q138" s="846"/>
      <c r="R138" s="846"/>
      <c r="S138" s="846"/>
      <c r="T138" s="875"/>
    </row>
    <row r="139" spans="1:20">
      <c r="A139" s="339"/>
      <c r="B139" s="879"/>
      <c r="C139" s="776"/>
      <c r="D139" s="776"/>
      <c r="E139" s="924"/>
      <c r="F139" s="924"/>
      <c r="G139" s="924"/>
      <c r="H139" s="924"/>
      <c r="I139" s="924"/>
      <c r="J139" s="924"/>
      <c r="K139" s="924"/>
      <c r="L139" s="943"/>
      <c r="M139" s="369"/>
      <c r="N139" s="958"/>
      <c r="O139" s="845"/>
      <c r="P139" s="846"/>
      <c r="Q139" s="846"/>
      <c r="R139" s="846"/>
      <c r="S139" s="846"/>
      <c r="T139" s="875"/>
    </row>
    <row r="140" ht="17.55" spans="1:20">
      <c r="A140" s="339"/>
      <c r="B140" s="882"/>
      <c r="C140" s="883"/>
      <c r="D140" s="883"/>
      <c r="E140" s="925"/>
      <c r="F140" s="925"/>
      <c r="G140" s="925"/>
      <c r="H140" s="925"/>
      <c r="I140" s="925"/>
      <c r="J140" s="925"/>
      <c r="K140" s="925"/>
      <c r="L140" s="945"/>
      <c r="M140" s="369"/>
      <c r="N140" s="958"/>
      <c r="O140" s="845"/>
      <c r="P140" s="846"/>
      <c r="Q140" s="846"/>
      <c r="R140" s="846"/>
      <c r="S140" s="846"/>
      <c r="T140" s="875"/>
    </row>
    <row r="141" ht="17.55" spans="1:20">
      <c r="A141" s="339"/>
      <c r="N141" s="959"/>
      <c r="O141" s="959"/>
      <c r="P141" s="959"/>
      <c r="Q141" s="959"/>
      <c r="R141" s="959"/>
      <c r="S141" s="959"/>
      <c r="T141" s="959"/>
    </row>
    <row r="142" spans="1:20">
      <c r="A142" s="339"/>
      <c r="B142" s="884" t="s">
        <v>4873</v>
      </c>
      <c r="C142" s="885"/>
      <c r="D142" s="885"/>
      <c r="E142" s="885"/>
      <c r="F142" s="885"/>
      <c r="G142" s="885"/>
      <c r="H142" s="885"/>
      <c r="I142" s="885"/>
      <c r="J142" s="885"/>
      <c r="K142" s="885"/>
      <c r="L142" s="885"/>
      <c r="M142" s="885"/>
      <c r="N142" s="885"/>
      <c r="O142" s="885"/>
      <c r="P142" s="885"/>
      <c r="Q142" s="885"/>
      <c r="R142" s="885"/>
      <c r="S142" s="885"/>
      <c r="T142" s="992"/>
    </row>
    <row r="143" spans="1:20">
      <c r="A143" s="339"/>
      <c r="B143" s="886"/>
      <c r="C143" s="887"/>
      <c r="D143" s="887"/>
      <c r="E143" s="887"/>
      <c r="F143" s="887"/>
      <c r="G143" s="887"/>
      <c r="H143" s="887"/>
      <c r="I143" s="887"/>
      <c r="J143" s="887"/>
      <c r="K143" s="887"/>
      <c r="L143" s="887"/>
      <c r="M143" s="887"/>
      <c r="N143" s="887"/>
      <c r="O143" s="887"/>
      <c r="P143" s="887"/>
      <c r="Q143" s="887"/>
      <c r="R143" s="887"/>
      <c r="S143" s="887"/>
      <c r="T143" s="993"/>
    </row>
    <row r="144" ht="17.55" spans="1:20">
      <c r="A144" s="339"/>
      <c r="B144" s="888"/>
      <c r="C144" s="889"/>
      <c r="D144" s="889"/>
      <c r="E144" s="889"/>
      <c r="F144" s="889"/>
      <c r="G144" s="889"/>
      <c r="H144" s="889"/>
      <c r="I144" s="889"/>
      <c r="J144" s="889"/>
      <c r="K144" s="889"/>
      <c r="L144" s="889"/>
      <c r="M144" s="889"/>
      <c r="N144" s="889"/>
      <c r="O144" s="889"/>
      <c r="P144" s="889"/>
      <c r="Q144" s="889"/>
      <c r="R144" s="889"/>
      <c r="S144" s="889"/>
      <c r="T144" s="994"/>
    </row>
    <row r="145" ht="17.55" spans="1:20">
      <c r="A145" s="339"/>
      <c r="B145" s="567"/>
      <c r="C145" s="567"/>
      <c r="D145" s="567"/>
      <c r="E145" s="567"/>
      <c r="F145" s="567"/>
      <c r="G145" s="567"/>
      <c r="H145" s="340"/>
      <c r="I145" s="340"/>
      <c r="J145" s="340"/>
      <c r="K145" s="369"/>
      <c r="L145" s="369"/>
      <c r="M145" s="369"/>
      <c r="N145" s="369"/>
      <c r="O145" s="369"/>
      <c r="P145" s="369"/>
      <c r="Q145" s="369"/>
      <c r="R145" s="369"/>
      <c r="S145" s="369"/>
      <c r="T145" s="369"/>
    </row>
    <row r="146" ht="23" customHeight="1" spans="1:20">
      <c r="A146" s="339"/>
      <c r="B146" s="890" t="s">
        <v>4874</v>
      </c>
      <c r="C146" s="567"/>
      <c r="D146" s="891" t="s">
        <v>4875</v>
      </c>
      <c r="E146" s="897"/>
      <c r="F146" s="891" t="s">
        <v>4876</v>
      </c>
      <c r="G146" s="926"/>
      <c r="H146" s="926"/>
      <c r="I146" s="897"/>
      <c r="J146" s="340"/>
      <c r="K146" s="905" t="s">
        <v>4877</v>
      </c>
      <c r="L146" s="936"/>
      <c r="M146" s="906"/>
      <c r="N146" s="369"/>
      <c r="O146" s="905" t="s">
        <v>4878</v>
      </c>
      <c r="P146" s="906"/>
      <c r="Q146" s="369"/>
      <c r="R146" s="905" t="s">
        <v>4879</v>
      </c>
      <c r="S146" s="936"/>
      <c r="T146" s="906"/>
    </row>
    <row r="147" spans="1:20">
      <c r="A147" s="339"/>
      <c r="B147" s="892" t="s">
        <v>4880</v>
      </c>
      <c r="C147" s="893"/>
      <c r="D147" s="894" t="s">
        <v>4881</v>
      </c>
      <c r="E147" s="927"/>
      <c r="F147" s="894" t="s">
        <v>4882</v>
      </c>
      <c r="G147" s="928"/>
      <c r="H147" s="928"/>
      <c r="I147" s="927"/>
      <c r="J147" s="893"/>
      <c r="K147" s="946" t="s">
        <v>4883</v>
      </c>
      <c r="L147" s="846"/>
      <c r="M147" s="875"/>
      <c r="N147" s="960"/>
      <c r="O147" s="946" t="s">
        <v>4884</v>
      </c>
      <c r="P147" s="875"/>
      <c r="Q147" s="960"/>
      <c r="R147" s="995" t="s">
        <v>4885</v>
      </c>
      <c r="S147" s="996"/>
      <c r="T147" s="997"/>
    </row>
    <row r="148" spans="1:20">
      <c r="A148" s="339"/>
      <c r="B148" s="892"/>
      <c r="C148" s="893"/>
      <c r="D148" s="894"/>
      <c r="E148" s="927"/>
      <c r="F148" s="894"/>
      <c r="G148" s="928"/>
      <c r="H148" s="928"/>
      <c r="I148" s="927"/>
      <c r="J148" s="893"/>
      <c r="K148" s="946"/>
      <c r="L148" s="846"/>
      <c r="M148" s="875"/>
      <c r="N148" s="960"/>
      <c r="O148" s="946"/>
      <c r="P148" s="875"/>
      <c r="Q148" s="960"/>
      <c r="R148" s="995"/>
      <c r="S148" s="996"/>
      <c r="T148" s="997"/>
    </row>
    <row r="149" spans="1:20">
      <c r="A149" s="339"/>
      <c r="B149" s="892"/>
      <c r="C149" s="893"/>
      <c r="D149" s="894"/>
      <c r="E149" s="927"/>
      <c r="F149" s="894"/>
      <c r="G149" s="928"/>
      <c r="H149" s="928"/>
      <c r="I149" s="927"/>
      <c r="J149" s="893"/>
      <c r="K149" s="946"/>
      <c r="L149" s="846"/>
      <c r="M149" s="875"/>
      <c r="N149" s="960"/>
      <c r="O149" s="946"/>
      <c r="P149" s="875"/>
      <c r="Q149" s="960"/>
      <c r="R149" s="995"/>
      <c r="S149" s="996"/>
      <c r="T149" s="997"/>
    </row>
    <row r="150" spans="1:20">
      <c r="A150" s="339"/>
      <c r="B150" s="892"/>
      <c r="C150" s="893"/>
      <c r="D150" s="894"/>
      <c r="E150" s="927"/>
      <c r="F150" s="894"/>
      <c r="G150" s="928"/>
      <c r="H150" s="928"/>
      <c r="I150" s="927"/>
      <c r="J150" s="893"/>
      <c r="K150" s="946"/>
      <c r="L150" s="846"/>
      <c r="M150" s="875"/>
      <c r="N150" s="960"/>
      <c r="O150" s="946"/>
      <c r="P150" s="875"/>
      <c r="Q150" s="960"/>
      <c r="R150" s="995"/>
      <c r="S150" s="996"/>
      <c r="T150" s="997"/>
    </row>
    <row r="151" spans="1:20">
      <c r="A151" s="339"/>
      <c r="B151" s="892"/>
      <c r="C151" s="893"/>
      <c r="D151" s="894"/>
      <c r="E151" s="927"/>
      <c r="F151" s="894"/>
      <c r="G151" s="928"/>
      <c r="H151" s="928"/>
      <c r="I151" s="927"/>
      <c r="J151" s="893"/>
      <c r="K151" s="946"/>
      <c r="L151" s="846"/>
      <c r="M151" s="875"/>
      <c r="N151" s="960"/>
      <c r="O151" s="946"/>
      <c r="P151" s="875"/>
      <c r="Q151" s="960"/>
      <c r="R151" s="995"/>
      <c r="S151" s="996"/>
      <c r="T151" s="997"/>
    </row>
    <row r="152" spans="1:20">
      <c r="A152" s="339"/>
      <c r="B152" s="892"/>
      <c r="C152" s="893"/>
      <c r="D152" s="894"/>
      <c r="E152" s="927"/>
      <c r="F152" s="894"/>
      <c r="G152" s="928"/>
      <c r="H152" s="928"/>
      <c r="I152" s="927"/>
      <c r="J152" s="893"/>
      <c r="K152" s="946"/>
      <c r="L152" s="846"/>
      <c r="M152" s="875"/>
      <c r="N152" s="960"/>
      <c r="O152" s="946"/>
      <c r="P152" s="875"/>
      <c r="Q152" s="960"/>
      <c r="R152" s="995"/>
      <c r="S152" s="996"/>
      <c r="T152" s="997"/>
    </row>
    <row r="153" spans="1:20">
      <c r="A153" s="339"/>
      <c r="B153" s="892"/>
      <c r="C153" s="893"/>
      <c r="D153" s="894"/>
      <c r="E153" s="927"/>
      <c r="F153" s="894"/>
      <c r="G153" s="928"/>
      <c r="H153" s="928"/>
      <c r="I153" s="927"/>
      <c r="J153" s="893"/>
      <c r="K153" s="946"/>
      <c r="L153" s="846"/>
      <c r="M153" s="875"/>
      <c r="N153" s="960"/>
      <c r="O153" s="946"/>
      <c r="P153" s="875"/>
      <c r="Q153" s="960"/>
      <c r="R153" s="995"/>
      <c r="S153" s="996"/>
      <c r="T153" s="997"/>
    </row>
    <row r="154" spans="1:20">
      <c r="A154" s="339"/>
      <c r="B154" s="892"/>
      <c r="C154" s="893"/>
      <c r="D154" s="894"/>
      <c r="E154" s="927"/>
      <c r="F154" s="894"/>
      <c r="G154" s="928"/>
      <c r="H154" s="928"/>
      <c r="I154" s="927"/>
      <c r="J154" s="893"/>
      <c r="K154" s="946"/>
      <c r="L154" s="846"/>
      <c r="M154" s="875"/>
      <c r="N154" s="960"/>
      <c r="O154" s="946"/>
      <c r="P154" s="875"/>
      <c r="Q154" s="960"/>
      <c r="R154" s="995"/>
      <c r="S154" s="996"/>
      <c r="T154" s="997"/>
    </row>
    <row r="155" ht="17.55" spans="1:20">
      <c r="A155" s="339"/>
      <c r="B155" s="895"/>
      <c r="C155" s="893"/>
      <c r="D155" s="896"/>
      <c r="E155" s="929"/>
      <c r="F155" s="896"/>
      <c r="G155" s="930"/>
      <c r="H155" s="930"/>
      <c r="I155" s="929"/>
      <c r="J155" s="893"/>
      <c r="K155" s="947"/>
      <c r="L155" s="948"/>
      <c r="M155" s="961"/>
      <c r="N155" s="960"/>
      <c r="O155" s="947"/>
      <c r="P155" s="961"/>
      <c r="Q155" s="960"/>
      <c r="R155" s="998"/>
      <c r="S155" s="999"/>
      <c r="T155" s="1000"/>
    </row>
    <row r="156" ht="17.55" spans="1:20">
      <c r="A156" s="339"/>
      <c r="B156" s="567"/>
      <c r="C156" s="567"/>
      <c r="D156" s="567"/>
      <c r="E156" s="567"/>
      <c r="F156" s="567"/>
      <c r="G156" s="567"/>
      <c r="H156" s="567"/>
      <c r="I156" s="567"/>
      <c r="J156" s="567"/>
      <c r="K156" s="369"/>
      <c r="L156" s="369"/>
      <c r="M156" s="369"/>
      <c r="N156" s="369"/>
      <c r="O156" s="369"/>
      <c r="P156" s="369"/>
      <c r="Q156" s="369"/>
      <c r="R156" s="369"/>
      <c r="S156" s="369"/>
      <c r="T156" s="369"/>
    </row>
    <row r="157" spans="1:20">
      <c r="A157" s="339"/>
      <c r="B157" s="891" t="s">
        <v>4886</v>
      </c>
      <c r="C157" s="891" t="s">
        <v>4887</v>
      </c>
      <c r="D157" s="897"/>
      <c r="E157" s="567"/>
      <c r="F157" s="891" t="s">
        <v>4888</v>
      </c>
      <c r="G157" s="926"/>
      <c r="H157" s="926"/>
      <c r="I157" s="926"/>
      <c r="J157" s="926"/>
      <c r="K157" s="891" t="s">
        <v>4889</v>
      </c>
      <c r="L157" s="897"/>
      <c r="M157" s="369"/>
      <c r="N157" s="905" t="s">
        <v>4890</v>
      </c>
      <c r="O157" s="936"/>
      <c r="P157" s="936"/>
      <c r="Q157" s="936"/>
      <c r="R157" s="936"/>
      <c r="S157" s="936"/>
      <c r="T157" s="906"/>
    </row>
    <row r="158" spans="1:20">
      <c r="A158" s="339"/>
      <c r="B158" s="898"/>
      <c r="C158" s="898"/>
      <c r="D158" s="899"/>
      <c r="E158" s="567"/>
      <c r="F158" s="898"/>
      <c r="G158" s="931"/>
      <c r="H158" s="931"/>
      <c r="I158" s="931"/>
      <c r="J158" s="931"/>
      <c r="K158" s="898"/>
      <c r="L158" s="899"/>
      <c r="M158" s="369"/>
      <c r="N158" s="907"/>
      <c r="O158" s="937"/>
      <c r="P158" s="937"/>
      <c r="Q158" s="937"/>
      <c r="R158" s="937"/>
      <c r="S158" s="937"/>
      <c r="T158" s="908"/>
    </row>
    <row r="159" spans="1:21">
      <c r="A159" s="339"/>
      <c r="B159" s="763" t="s">
        <v>4891</v>
      </c>
      <c r="C159" s="763" t="s">
        <v>4892</v>
      </c>
      <c r="D159" s="786"/>
      <c r="E159" s="567"/>
      <c r="F159" s="932" t="s">
        <v>4893</v>
      </c>
      <c r="G159" s="933"/>
      <c r="H159" s="933"/>
      <c r="I159" s="933"/>
      <c r="J159" s="933"/>
      <c r="K159" s="894" t="s">
        <v>4894</v>
      </c>
      <c r="L159" s="927"/>
      <c r="M159" s="369"/>
      <c r="N159" s="962" t="s">
        <v>4895</v>
      </c>
      <c r="O159" s="963"/>
      <c r="P159" s="963"/>
      <c r="Q159" s="1001"/>
      <c r="R159" s="1002" t="s">
        <v>4896</v>
      </c>
      <c r="S159" s="1003"/>
      <c r="T159" s="1004"/>
      <c r="U159" s="342"/>
    </row>
    <row r="160" spans="1:21">
      <c r="A160" s="339"/>
      <c r="B160" s="763"/>
      <c r="C160" s="763"/>
      <c r="D160" s="786"/>
      <c r="E160" s="567"/>
      <c r="F160" s="932"/>
      <c r="G160" s="933"/>
      <c r="H160" s="933"/>
      <c r="I160" s="933"/>
      <c r="J160" s="933"/>
      <c r="K160" s="894"/>
      <c r="L160" s="927"/>
      <c r="M160" s="369"/>
      <c r="N160" s="964"/>
      <c r="O160" s="965"/>
      <c r="P160" s="492"/>
      <c r="Q160" s="1005"/>
      <c r="R160" s="940"/>
      <c r="S160" s="574"/>
      <c r="T160" s="909"/>
      <c r="U160" s="342"/>
    </row>
    <row r="161" ht="17.55" spans="2:20">
      <c r="B161" s="763"/>
      <c r="C161" s="763"/>
      <c r="D161" s="786"/>
      <c r="E161" s="340"/>
      <c r="F161" s="932"/>
      <c r="G161" s="933"/>
      <c r="H161" s="933"/>
      <c r="I161" s="933"/>
      <c r="J161" s="933"/>
      <c r="K161" s="894"/>
      <c r="L161" s="927"/>
      <c r="M161" s="369"/>
      <c r="N161" s="966" t="s">
        <v>4897</v>
      </c>
      <c r="O161" s="967"/>
      <c r="P161" s="968"/>
      <c r="Q161" s="1006"/>
      <c r="R161" s="1006"/>
      <c r="S161" s="1006"/>
      <c r="T161" s="1007"/>
    </row>
    <row r="162" ht="17" spans="2:20">
      <c r="B162" s="763"/>
      <c r="C162" s="900" t="s">
        <v>4898</v>
      </c>
      <c r="D162" s="901" t="s">
        <v>1629</v>
      </c>
      <c r="E162" s="340"/>
      <c r="F162" s="932"/>
      <c r="G162" s="933"/>
      <c r="H162" s="933"/>
      <c r="I162" s="933"/>
      <c r="J162" s="933"/>
      <c r="K162" s="894"/>
      <c r="L162" s="927"/>
      <c r="M162" s="369"/>
      <c r="N162" s="969"/>
      <c r="O162" s="970"/>
      <c r="P162" s="971"/>
      <c r="Q162" s="970"/>
      <c r="R162" s="970"/>
      <c r="S162" s="970"/>
      <c r="T162" s="1008"/>
    </row>
    <row r="163" ht="17" spans="2:20">
      <c r="B163" s="763"/>
      <c r="C163" s="762" t="s">
        <v>4899</v>
      </c>
      <c r="D163" s="785" t="s">
        <v>1620</v>
      </c>
      <c r="E163" s="340"/>
      <c r="F163" s="932"/>
      <c r="G163" s="933"/>
      <c r="H163" s="933"/>
      <c r="I163" s="933"/>
      <c r="J163" s="933"/>
      <c r="K163" s="894"/>
      <c r="L163" s="927"/>
      <c r="M163" s="369"/>
      <c r="N163" s="910" t="s">
        <v>4900</v>
      </c>
      <c r="O163" s="492"/>
      <c r="P163" s="492"/>
      <c r="Q163" s="492"/>
      <c r="R163" s="492"/>
      <c r="S163" s="492"/>
      <c r="T163" s="793"/>
    </row>
    <row r="164" ht="17" spans="2:20">
      <c r="B164" s="763"/>
      <c r="C164" s="762" t="s">
        <v>4901</v>
      </c>
      <c r="D164" s="785" t="s">
        <v>4902</v>
      </c>
      <c r="E164" s="340"/>
      <c r="F164" s="932"/>
      <c r="G164" s="933"/>
      <c r="H164" s="933"/>
      <c r="I164" s="933"/>
      <c r="J164" s="933"/>
      <c r="K164" s="894"/>
      <c r="L164" s="927"/>
      <c r="M164" s="369"/>
      <c r="N164" s="972" t="s">
        <v>4903</v>
      </c>
      <c r="O164" s="973"/>
      <c r="P164" s="973"/>
      <c r="Q164" s="973"/>
      <c r="R164" s="973"/>
      <c r="S164" s="973"/>
      <c r="T164" s="1009"/>
    </row>
    <row r="165" ht="17" spans="2:20">
      <c r="B165" s="763"/>
      <c r="C165" s="762" t="s">
        <v>4904</v>
      </c>
      <c r="D165" s="785" t="s">
        <v>4905</v>
      </c>
      <c r="E165" s="340"/>
      <c r="F165" s="932"/>
      <c r="G165" s="933"/>
      <c r="H165" s="933"/>
      <c r="I165" s="933"/>
      <c r="J165" s="933"/>
      <c r="K165" s="894"/>
      <c r="L165" s="927"/>
      <c r="M165" s="369"/>
      <c r="N165" s="3463" t="s">
        <v>4906</v>
      </c>
      <c r="O165" s="492"/>
      <c r="P165" s="492"/>
      <c r="Q165" s="1010"/>
      <c r="R165" s="492" t="s">
        <v>4907</v>
      </c>
      <c r="S165" s="492"/>
      <c r="T165" s="793"/>
    </row>
    <row r="166" ht="17" spans="2:20">
      <c r="B166" s="763"/>
      <c r="C166" s="762" t="s">
        <v>4908</v>
      </c>
      <c r="D166" s="785" t="s">
        <v>1509</v>
      </c>
      <c r="E166" s="340"/>
      <c r="F166" s="932"/>
      <c r="G166" s="933"/>
      <c r="H166" s="933"/>
      <c r="I166" s="933"/>
      <c r="J166" s="933"/>
      <c r="K166" s="894"/>
      <c r="L166" s="927"/>
      <c r="M166" s="369"/>
      <c r="N166" s="910"/>
      <c r="O166" s="492"/>
      <c r="P166" s="492"/>
      <c r="Q166" s="1010"/>
      <c r="R166" s="492"/>
      <c r="S166" s="492"/>
      <c r="T166" s="793"/>
    </row>
    <row r="167" ht="17" spans="2:21">
      <c r="B167" s="763"/>
      <c r="C167" s="762" t="s">
        <v>4909</v>
      </c>
      <c r="D167" s="785" t="s">
        <v>1522</v>
      </c>
      <c r="E167" s="340"/>
      <c r="F167" s="932"/>
      <c r="G167" s="933"/>
      <c r="H167" s="933"/>
      <c r="I167" s="933"/>
      <c r="J167" s="933"/>
      <c r="K167" s="894"/>
      <c r="L167" s="927"/>
      <c r="M167" s="369"/>
      <c r="N167" s="910"/>
      <c r="O167" s="492"/>
      <c r="P167" s="492"/>
      <c r="Q167" s="1010"/>
      <c r="R167" s="492"/>
      <c r="S167" s="492"/>
      <c r="T167" s="793"/>
      <c r="U167" s="342"/>
    </row>
    <row r="168" ht="17.75" spans="2:21">
      <c r="B168" s="902"/>
      <c r="C168" s="903">
        <v>20</v>
      </c>
      <c r="D168" s="904" t="s">
        <v>1327</v>
      </c>
      <c r="E168" s="340"/>
      <c r="F168" s="934"/>
      <c r="G168" s="935"/>
      <c r="H168" s="935"/>
      <c r="I168" s="935"/>
      <c r="J168" s="935"/>
      <c r="K168" s="896"/>
      <c r="L168" s="929"/>
      <c r="M168" s="369"/>
      <c r="N168" s="913"/>
      <c r="O168" s="938"/>
      <c r="P168" s="938"/>
      <c r="Q168" s="1011"/>
      <c r="R168" s="938"/>
      <c r="S168" s="938"/>
      <c r="T168" s="939"/>
      <c r="U168" s="342"/>
    </row>
    <row r="169" ht="17.55" spans="2:21">
      <c r="B169" s="340"/>
      <c r="C169" s="340"/>
      <c r="D169" s="340"/>
      <c r="E169" s="340"/>
      <c r="F169" s="340"/>
      <c r="G169" s="340"/>
      <c r="H169" s="340"/>
      <c r="I169" s="340"/>
      <c r="J169" s="340"/>
      <c r="K169" s="369"/>
      <c r="L169" s="369"/>
      <c r="M169" s="369"/>
      <c r="N169" s="342"/>
      <c r="O169" s="342"/>
      <c r="P169" s="342"/>
      <c r="Q169" s="342"/>
      <c r="R169" s="341"/>
      <c r="S169" s="341"/>
      <c r="T169" s="341"/>
      <c r="U169" s="342"/>
    </row>
    <row r="170" spans="2:21">
      <c r="B170" s="905" t="s">
        <v>4910</v>
      </c>
      <c r="C170" s="906"/>
      <c r="D170" s="905" t="s">
        <v>4911</v>
      </c>
      <c r="E170" s="936"/>
      <c r="F170" s="936"/>
      <c r="G170" s="906"/>
      <c r="I170" s="949" t="s">
        <v>4912</v>
      </c>
      <c r="J170" s="950"/>
      <c r="K170" s="950"/>
      <c r="L170" s="950"/>
      <c r="M170" s="974" t="s">
        <v>4913</v>
      </c>
      <c r="N170" s="974"/>
      <c r="O170" s="975"/>
      <c r="Q170" s="905" t="s">
        <v>4914</v>
      </c>
      <c r="R170" s="936"/>
      <c r="S170" s="936"/>
      <c r="T170" s="906"/>
      <c r="U170" s="342"/>
    </row>
    <row r="171" spans="2:21">
      <c r="B171" s="907"/>
      <c r="C171" s="908"/>
      <c r="D171" s="907"/>
      <c r="E171" s="937"/>
      <c r="F171" s="937"/>
      <c r="G171" s="908"/>
      <c r="I171" s="951"/>
      <c r="J171" s="952"/>
      <c r="K171" s="952"/>
      <c r="L171" s="952"/>
      <c r="M171" s="976"/>
      <c r="N171" s="976"/>
      <c r="O171" s="977"/>
      <c r="Q171" s="907"/>
      <c r="R171" s="937"/>
      <c r="S171" s="937"/>
      <c r="T171" s="908"/>
      <c r="U171" s="342"/>
    </row>
    <row r="172" spans="2:21">
      <c r="B172" s="831" t="s">
        <v>4915</v>
      </c>
      <c r="C172" s="909"/>
      <c r="D172" s="910" t="s">
        <v>4916</v>
      </c>
      <c r="E172" s="492"/>
      <c r="F172" s="492"/>
      <c r="G172" s="793"/>
      <c r="H172" s="342"/>
      <c r="I172" s="831" t="s">
        <v>4917</v>
      </c>
      <c r="J172" s="574"/>
      <c r="K172" s="574"/>
      <c r="L172" s="574"/>
      <c r="M172" s="574"/>
      <c r="N172" s="574"/>
      <c r="O172" s="909"/>
      <c r="Q172" s="910" t="s">
        <v>4918</v>
      </c>
      <c r="R172" s="492"/>
      <c r="S172" s="492"/>
      <c r="T172" s="793"/>
      <c r="U172" s="342"/>
    </row>
    <row r="173" spans="2:21">
      <c r="B173" s="831"/>
      <c r="C173" s="909"/>
      <c r="D173" s="910"/>
      <c r="E173" s="492"/>
      <c r="F173" s="492"/>
      <c r="G173" s="793"/>
      <c r="H173" s="342"/>
      <c r="I173" s="831"/>
      <c r="J173" s="574"/>
      <c r="K173" s="574"/>
      <c r="L173" s="574"/>
      <c r="M173" s="574"/>
      <c r="N173" s="574"/>
      <c r="O173" s="909"/>
      <c r="Q173" s="910"/>
      <c r="R173" s="492"/>
      <c r="S173" s="492"/>
      <c r="T173" s="793"/>
      <c r="U173" s="342"/>
    </row>
    <row r="174" spans="2:21">
      <c r="B174" s="831"/>
      <c r="C174" s="909"/>
      <c r="D174" s="910"/>
      <c r="E174" s="492"/>
      <c r="F174" s="492"/>
      <c r="G174" s="793"/>
      <c r="H174" s="342"/>
      <c r="I174" s="831"/>
      <c r="J174" s="574"/>
      <c r="K174" s="574"/>
      <c r="L174" s="574"/>
      <c r="M174" s="574"/>
      <c r="N174" s="574"/>
      <c r="O174" s="909"/>
      <c r="Q174" s="910"/>
      <c r="R174" s="492"/>
      <c r="S174" s="492"/>
      <c r="T174" s="793"/>
      <c r="U174" s="342"/>
    </row>
    <row r="175" spans="2:20">
      <c r="B175" s="831"/>
      <c r="C175" s="909"/>
      <c r="D175" s="910"/>
      <c r="E175" s="492"/>
      <c r="F175" s="492"/>
      <c r="G175" s="793"/>
      <c r="H175" s="342"/>
      <c r="I175" s="831"/>
      <c r="J175" s="574"/>
      <c r="K175" s="574"/>
      <c r="L175" s="574"/>
      <c r="M175" s="574"/>
      <c r="N175" s="574"/>
      <c r="O175" s="909"/>
      <c r="Q175" s="910"/>
      <c r="R175" s="492"/>
      <c r="S175" s="492"/>
      <c r="T175" s="793"/>
    </row>
    <row r="176" spans="2:20">
      <c r="B176" s="831"/>
      <c r="C176" s="909"/>
      <c r="D176" s="910"/>
      <c r="E176" s="492"/>
      <c r="F176" s="492"/>
      <c r="G176" s="793"/>
      <c r="H176" s="342"/>
      <c r="I176" s="831"/>
      <c r="J176" s="574"/>
      <c r="K176" s="574"/>
      <c r="L176" s="574"/>
      <c r="M176" s="574"/>
      <c r="N176" s="574"/>
      <c r="O176" s="909"/>
      <c r="Q176" s="910"/>
      <c r="R176" s="492"/>
      <c r="S176" s="492"/>
      <c r="T176" s="793"/>
    </row>
    <row r="177" spans="2:20">
      <c r="B177" s="831"/>
      <c r="C177" s="909"/>
      <c r="D177" s="910"/>
      <c r="E177" s="492"/>
      <c r="F177" s="492"/>
      <c r="G177" s="793"/>
      <c r="H177" s="342"/>
      <c r="I177" s="831"/>
      <c r="J177" s="574"/>
      <c r="K177" s="574"/>
      <c r="L177" s="574"/>
      <c r="M177" s="574"/>
      <c r="N177" s="574"/>
      <c r="O177" s="909"/>
      <c r="Q177" s="910"/>
      <c r="R177" s="492"/>
      <c r="S177" s="492"/>
      <c r="T177" s="793"/>
    </row>
    <row r="178" spans="2:20">
      <c r="B178" s="831"/>
      <c r="C178" s="909"/>
      <c r="D178" s="910"/>
      <c r="E178" s="492"/>
      <c r="F178" s="492"/>
      <c r="G178" s="793"/>
      <c r="H178" s="342"/>
      <c r="I178" s="831"/>
      <c r="J178" s="574"/>
      <c r="K178" s="574"/>
      <c r="L178" s="574"/>
      <c r="M178" s="574"/>
      <c r="N178" s="574"/>
      <c r="O178" s="909"/>
      <c r="Q178" s="910"/>
      <c r="R178" s="492"/>
      <c r="S178" s="492"/>
      <c r="T178" s="793"/>
    </row>
    <row r="179" spans="2:20">
      <c r="B179" s="831"/>
      <c r="C179" s="909"/>
      <c r="D179" s="910"/>
      <c r="E179" s="492"/>
      <c r="F179" s="492"/>
      <c r="G179" s="793"/>
      <c r="H179" s="342"/>
      <c r="I179" s="831"/>
      <c r="J179" s="574"/>
      <c r="K179" s="574"/>
      <c r="L179" s="574"/>
      <c r="M179" s="574"/>
      <c r="N179" s="574"/>
      <c r="O179" s="909"/>
      <c r="Q179" s="910"/>
      <c r="R179" s="492"/>
      <c r="S179" s="492"/>
      <c r="T179" s="793"/>
    </row>
    <row r="180" ht="17.55" spans="2:20">
      <c r="B180" s="911"/>
      <c r="C180" s="912"/>
      <c r="D180" s="913"/>
      <c r="E180" s="938"/>
      <c r="F180" s="938"/>
      <c r="G180" s="939"/>
      <c r="H180" s="342"/>
      <c r="I180" s="911"/>
      <c r="J180" s="953"/>
      <c r="K180" s="953"/>
      <c r="L180" s="953"/>
      <c r="M180" s="953"/>
      <c r="N180" s="953"/>
      <c r="O180" s="912"/>
      <c r="Q180" s="913"/>
      <c r="R180" s="938"/>
      <c r="S180" s="938"/>
      <c r="T180" s="939"/>
    </row>
    <row r="181" ht="17.55" spans="2:20">
      <c r="B181" s="341"/>
      <c r="C181" s="341"/>
      <c r="D181" s="342"/>
      <c r="E181" s="342"/>
      <c r="F181" s="342"/>
      <c r="G181" s="342"/>
      <c r="H181" s="342"/>
      <c r="I181" s="341"/>
      <c r="J181" s="341"/>
      <c r="K181" s="341"/>
      <c r="L181" s="341"/>
      <c r="M181" s="341"/>
      <c r="N181" s="341"/>
      <c r="O181" s="341"/>
      <c r="Q181" s="342"/>
      <c r="R181" s="342"/>
      <c r="S181" s="342"/>
      <c r="T181" s="342"/>
    </row>
    <row r="182" ht="17" customHeight="1" spans="2:30">
      <c r="B182" s="914" t="s">
        <v>4919</v>
      </c>
      <c r="C182" s="915"/>
      <c r="D182" s="915"/>
      <c r="E182" s="915"/>
      <c r="F182" s="915"/>
      <c r="G182" s="915"/>
      <c r="H182" s="915"/>
      <c r="I182" s="915"/>
      <c r="J182" s="915"/>
      <c r="K182" s="954"/>
      <c r="M182" s="978" t="s">
        <v>1413</v>
      </c>
      <c r="N182" s="979"/>
      <c r="O182" s="979"/>
      <c r="P182" s="979"/>
      <c r="Q182" s="979"/>
      <c r="R182" s="979"/>
      <c r="S182" s="979"/>
      <c r="T182" s="1012"/>
      <c r="U182" s="1021"/>
      <c r="AC182" s="1021"/>
      <c r="AD182" s="1021"/>
    </row>
    <row r="183" ht="17" customHeight="1" spans="2:30">
      <c r="B183" s="916"/>
      <c r="C183" s="917"/>
      <c r="D183" s="917"/>
      <c r="E183" s="917"/>
      <c r="F183" s="917"/>
      <c r="G183" s="917"/>
      <c r="H183" s="917"/>
      <c r="I183" s="917"/>
      <c r="J183" s="917"/>
      <c r="K183" s="955"/>
      <c r="M183" s="980"/>
      <c r="N183" s="981"/>
      <c r="O183" s="981"/>
      <c r="P183" s="981"/>
      <c r="Q183" s="981"/>
      <c r="R183" s="981"/>
      <c r="S183" s="981"/>
      <c r="T183" s="1013"/>
      <c r="U183" s="1021"/>
      <c r="Y183" s="1021"/>
      <c r="Z183" s="1021"/>
      <c r="AA183" s="1021"/>
      <c r="AB183" s="1021"/>
      <c r="AC183" s="1021"/>
      <c r="AD183" s="1021"/>
    </row>
    <row r="184" ht="17" customHeight="1" spans="2:30">
      <c r="B184" s="485" t="s">
        <v>4920</v>
      </c>
      <c r="C184" s="529"/>
      <c r="D184" s="529"/>
      <c r="E184" s="529"/>
      <c r="F184" s="940" t="s">
        <v>4921</v>
      </c>
      <c r="G184" s="574"/>
      <c r="H184" s="574"/>
      <c r="I184" s="574"/>
      <c r="J184" s="574"/>
      <c r="K184" s="909"/>
      <c r="M184" s="982" t="s">
        <v>1425</v>
      </c>
      <c r="N184" s="983"/>
      <c r="O184" s="984" t="s">
        <v>1426</v>
      </c>
      <c r="P184" s="985"/>
      <c r="Q184" s="984" t="s">
        <v>4922</v>
      </c>
      <c r="R184" s="985"/>
      <c r="S184" s="983" t="s">
        <v>171</v>
      </c>
      <c r="T184" s="1014"/>
      <c r="Y184" s="1022"/>
      <c r="Z184" s="1022"/>
      <c r="AA184" s="1022"/>
      <c r="AB184" s="1022"/>
      <c r="AC184" s="1022"/>
      <c r="AD184" s="1022"/>
    </row>
    <row r="185" ht="17" customHeight="1" spans="2:30">
      <c r="B185" s="918" t="s">
        <v>4923</v>
      </c>
      <c r="C185" s="919" t="s">
        <v>4924</v>
      </c>
      <c r="D185" s="919"/>
      <c r="E185" s="919"/>
      <c r="F185" s="940"/>
      <c r="G185" s="574"/>
      <c r="H185" s="574"/>
      <c r="I185" s="574"/>
      <c r="J185" s="574"/>
      <c r="K185" s="909"/>
      <c r="M185" s="485" t="s">
        <v>1603</v>
      </c>
      <c r="N185" s="529"/>
      <c r="O185" s="986" t="str">
        <f>IF($M185=0,"",VLOOKUP($M185,附表!I38:M49,2,FALSE))</f>
        <v> </v>
      </c>
      <c r="P185" s="987"/>
      <c r="Q185" s="1015" t="str">
        <f>IF($M185=0,"",VLOOKUP($M185,附表!I38:M49,3,FALSE))</f>
        <v> </v>
      </c>
      <c r="R185" s="1016"/>
      <c r="S185" s="1017" t="str">
        <f>IF($M185=0,"",VLOOKUP($M185,附表!I38:M49,4,FALSE))</f>
        <v> </v>
      </c>
      <c r="T185" s="1018"/>
      <c r="Y185" s="1022"/>
      <c r="Z185" s="1022"/>
      <c r="AA185" s="1022"/>
      <c r="AB185" s="1022"/>
      <c r="AC185" s="1022"/>
      <c r="AD185" s="1022"/>
    </row>
    <row r="186" ht="17" customHeight="1" spans="2:30">
      <c r="B186" s="918"/>
      <c r="C186" s="919"/>
      <c r="D186" s="919"/>
      <c r="E186" s="919"/>
      <c r="F186" s="940"/>
      <c r="G186" s="574"/>
      <c r="H186" s="574"/>
      <c r="I186" s="574"/>
      <c r="J186" s="574"/>
      <c r="K186" s="909"/>
      <c r="M186" s="485"/>
      <c r="N186" s="529"/>
      <c r="O186" s="986"/>
      <c r="P186" s="987"/>
      <c r="Q186" s="1015"/>
      <c r="R186" s="1016"/>
      <c r="S186" s="1017"/>
      <c r="T186" s="1018"/>
      <c r="U186" s="1022"/>
      <c r="Y186" s="1022"/>
      <c r="Z186" s="1022"/>
      <c r="AA186" s="1022"/>
      <c r="AB186" s="1022"/>
      <c r="AC186" s="1022"/>
      <c r="AD186" s="1022"/>
    </row>
    <row r="187" ht="17" customHeight="1" spans="2:30">
      <c r="B187" s="920" t="s">
        <v>4925</v>
      </c>
      <c r="C187" s="590" t="s">
        <v>4926</v>
      </c>
      <c r="D187" s="590"/>
      <c r="E187" s="590"/>
      <c r="F187" s="940"/>
      <c r="G187" s="574"/>
      <c r="H187" s="574"/>
      <c r="I187" s="574"/>
      <c r="J187" s="574"/>
      <c r="K187" s="909"/>
      <c r="M187" s="485"/>
      <c r="N187" s="529"/>
      <c r="O187" s="986"/>
      <c r="P187" s="987"/>
      <c r="Q187" s="1015"/>
      <c r="R187" s="1016"/>
      <c r="S187" s="1017"/>
      <c r="T187" s="1018"/>
      <c r="Y187" s="1022"/>
      <c r="Z187" s="1022"/>
      <c r="AA187" s="1022"/>
      <c r="AB187" s="1022"/>
      <c r="AC187" s="1022"/>
      <c r="AD187" s="1022"/>
    </row>
    <row r="188" ht="17" customHeight="1" spans="2:30">
      <c r="B188" s="918" t="s">
        <v>4927</v>
      </c>
      <c r="C188" s="921" t="s">
        <v>4928</v>
      </c>
      <c r="D188" s="921"/>
      <c r="E188" s="921"/>
      <c r="F188" s="940"/>
      <c r="G188" s="574"/>
      <c r="H188" s="574"/>
      <c r="I188" s="574"/>
      <c r="J188" s="574"/>
      <c r="K188" s="909"/>
      <c r="M188" s="988" t="s">
        <v>124</v>
      </c>
      <c r="N188" s="989"/>
      <c r="O188" s="989"/>
      <c r="P188" s="989"/>
      <c r="Q188" s="989"/>
      <c r="R188" s="989"/>
      <c r="S188" s="989"/>
      <c r="T188" s="1019"/>
      <c r="U188" s="1022"/>
      <c r="Y188" s="1022"/>
      <c r="Z188" s="1022"/>
      <c r="AA188" s="1022"/>
      <c r="AB188" s="1022"/>
      <c r="AC188" s="1022"/>
      <c r="AD188" s="1022"/>
    </row>
    <row r="189" ht="17" customHeight="1" spans="2:30">
      <c r="B189" s="920" t="s">
        <v>4929</v>
      </c>
      <c r="C189" s="590" t="s">
        <v>4930</v>
      </c>
      <c r="D189" s="590"/>
      <c r="E189" s="590"/>
      <c r="F189" s="940"/>
      <c r="G189" s="574"/>
      <c r="H189" s="574"/>
      <c r="I189" s="574"/>
      <c r="J189" s="574"/>
      <c r="K189" s="909"/>
      <c r="M189" s="990" t="str">
        <f>IF($M185=0,"",VLOOKUP($M185,附表!I38:M49,5,FALSE))</f>
        <v> </v>
      </c>
      <c r="N189" s="991"/>
      <c r="O189" s="991"/>
      <c r="P189" s="991"/>
      <c r="Q189" s="991"/>
      <c r="R189" s="991"/>
      <c r="S189" s="991"/>
      <c r="T189" s="1020"/>
      <c r="Y189" s="1022"/>
      <c r="Z189" s="1022"/>
      <c r="AA189" s="1022"/>
      <c r="AB189" s="1022"/>
      <c r="AC189" s="1022"/>
      <c r="AD189" s="1022"/>
    </row>
    <row r="190" ht="17" customHeight="1" spans="2:30">
      <c r="B190" s="922" t="s">
        <v>4931</v>
      </c>
      <c r="C190" s="923"/>
      <c r="D190" s="923"/>
      <c r="E190" s="923"/>
      <c r="F190" s="941"/>
      <c r="G190" s="942"/>
      <c r="H190" s="942"/>
      <c r="I190" s="942"/>
      <c r="J190" s="942"/>
      <c r="K190" s="956"/>
      <c r="M190" s="990"/>
      <c r="N190" s="991"/>
      <c r="O190" s="991"/>
      <c r="P190" s="991"/>
      <c r="Q190" s="991"/>
      <c r="R190" s="991"/>
      <c r="S190" s="991"/>
      <c r="T190" s="1020"/>
      <c r="U190" s="1022"/>
      <c r="Y190" s="1022"/>
      <c r="Z190" s="1022"/>
      <c r="AA190" s="1022"/>
      <c r="AB190" s="1022"/>
      <c r="AC190" s="1022"/>
      <c r="AD190" s="1022"/>
    </row>
    <row r="191" ht="17" customHeight="1" spans="2:30">
      <c r="B191" s="910" t="s">
        <v>4932</v>
      </c>
      <c r="C191" s="492"/>
      <c r="D191" s="492"/>
      <c r="E191" s="492"/>
      <c r="F191" s="492"/>
      <c r="G191" s="492"/>
      <c r="H191" s="492"/>
      <c r="I191" s="492"/>
      <c r="J191" s="492"/>
      <c r="K191" s="793"/>
      <c r="M191" s="990"/>
      <c r="N191" s="991"/>
      <c r="O191" s="991"/>
      <c r="P191" s="991"/>
      <c r="Q191" s="991"/>
      <c r="R191" s="991"/>
      <c r="S191" s="991"/>
      <c r="T191" s="1020"/>
      <c r="Y191" s="1022"/>
      <c r="Z191" s="1022"/>
      <c r="AA191" s="1022"/>
      <c r="AB191" s="1022"/>
      <c r="AC191" s="1022"/>
      <c r="AD191" s="1022"/>
    </row>
    <row r="192" ht="17" customHeight="1" spans="2:30">
      <c r="B192" s="910" t="s">
        <v>4933</v>
      </c>
      <c r="C192" s="492"/>
      <c r="D192" s="492"/>
      <c r="E192" s="492"/>
      <c r="F192" s="492"/>
      <c r="G192" s="492"/>
      <c r="H192" s="492"/>
      <c r="I192" s="492"/>
      <c r="J192" s="492"/>
      <c r="K192" s="793"/>
      <c r="M192" s="990"/>
      <c r="N192" s="991"/>
      <c r="O192" s="991"/>
      <c r="P192" s="991"/>
      <c r="Q192" s="991"/>
      <c r="R192" s="991"/>
      <c r="S192" s="991"/>
      <c r="T192" s="1020"/>
      <c r="U192" s="1022"/>
      <c r="Y192" s="1022"/>
      <c r="Z192" s="1022"/>
      <c r="AA192" s="1022"/>
      <c r="AB192" s="1022"/>
      <c r="AC192" s="1022"/>
      <c r="AD192" s="1022"/>
    </row>
    <row r="193" ht="17" customHeight="1" spans="2:30">
      <c r="B193" s="913" t="s">
        <v>4934</v>
      </c>
      <c r="C193" s="938"/>
      <c r="D193" s="938"/>
      <c r="E193" s="938"/>
      <c r="F193" s="938"/>
      <c r="G193" s="938"/>
      <c r="H193" s="938"/>
      <c r="I193" s="938"/>
      <c r="J193" s="938"/>
      <c r="K193" s="939"/>
      <c r="M193" s="1096"/>
      <c r="N193" s="1097"/>
      <c r="O193" s="1097"/>
      <c r="P193" s="1097"/>
      <c r="Q193" s="1097"/>
      <c r="R193" s="1097"/>
      <c r="S193" s="1097"/>
      <c r="T193" s="1120"/>
      <c r="Y193" s="1022"/>
      <c r="Z193" s="1022"/>
      <c r="AA193" s="1022"/>
      <c r="AB193" s="1022"/>
      <c r="AC193" s="1022"/>
      <c r="AD193" s="1022"/>
    </row>
    <row r="194" ht="17" customHeight="1" spans="2:30">
      <c r="B194" s="492"/>
      <c r="C194" s="492"/>
      <c r="D194" s="492"/>
      <c r="E194" s="492"/>
      <c r="F194" s="492"/>
      <c r="G194" s="492"/>
      <c r="H194" s="492"/>
      <c r="I194" s="492"/>
      <c r="J194" s="492"/>
      <c r="M194" s="1098"/>
      <c r="N194" s="1098"/>
      <c r="O194" s="1098"/>
      <c r="P194" s="1098"/>
      <c r="Q194" s="1098"/>
      <c r="R194" s="1098"/>
      <c r="S194" s="1098"/>
      <c r="T194" s="1098"/>
      <c r="Y194" s="1022"/>
      <c r="Z194" s="1022"/>
      <c r="AA194" s="1022"/>
      <c r="AB194" s="1022"/>
      <c r="AC194" s="1022"/>
      <c r="AD194" s="1022"/>
    </row>
    <row r="195" ht="17" customHeight="1" spans="2:20">
      <c r="B195" s="590"/>
      <c r="C195" s="590"/>
      <c r="D195" s="590"/>
      <c r="E195" s="590"/>
      <c r="F195" s="590"/>
      <c r="G195" s="590"/>
      <c r="H195" s="590"/>
      <c r="I195" s="590"/>
      <c r="J195" s="590"/>
      <c r="K195" s="590"/>
      <c r="L195" s="590"/>
      <c r="M195" s="590"/>
      <c r="N195" s="590"/>
      <c r="O195" s="590"/>
      <c r="P195" s="590"/>
      <c r="Q195" s="590"/>
      <c r="R195" s="590"/>
      <c r="S195" s="590"/>
      <c r="T195" s="590"/>
    </row>
    <row r="196" ht="18" customHeight="1" spans="2:21">
      <c r="B196" s="408" t="s">
        <v>4935</v>
      </c>
      <c r="C196" s="409"/>
      <c r="D196" s="409"/>
      <c r="E196" s="409"/>
      <c r="F196" s="409"/>
      <c r="G196" s="409"/>
      <c r="H196" s="409"/>
      <c r="I196" s="409"/>
      <c r="J196" s="409"/>
      <c r="K196" s="409"/>
      <c r="L196" s="409"/>
      <c r="M196" s="409"/>
      <c r="N196" s="409"/>
      <c r="O196" s="409"/>
      <c r="P196" s="409"/>
      <c r="Q196" s="409"/>
      <c r="R196" s="409"/>
      <c r="S196" s="409"/>
      <c r="T196" s="539"/>
      <c r="U196" s="598"/>
    </row>
    <row r="197" ht="18" customHeight="1" spans="2:21">
      <c r="B197" s="410"/>
      <c r="C197" s="411"/>
      <c r="D197" s="411"/>
      <c r="E197" s="411"/>
      <c r="F197" s="411"/>
      <c r="G197" s="411"/>
      <c r="H197" s="411"/>
      <c r="I197" s="411"/>
      <c r="J197" s="411"/>
      <c r="K197" s="411"/>
      <c r="L197" s="411"/>
      <c r="M197" s="411"/>
      <c r="N197" s="411"/>
      <c r="O197" s="411"/>
      <c r="P197" s="411"/>
      <c r="Q197" s="411"/>
      <c r="R197" s="411"/>
      <c r="S197" s="411"/>
      <c r="T197" s="540"/>
      <c r="U197" s="598"/>
    </row>
    <row r="198" ht="18" customHeight="1" spans="2:21">
      <c r="B198" s="412"/>
      <c r="C198" s="413"/>
      <c r="D198" s="413"/>
      <c r="E198" s="413"/>
      <c r="F198" s="413"/>
      <c r="G198" s="413"/>
      <c r="H198" s="413"/>
      <c r="I198" s="413"/>
      <c r="J198" s="413"/>
      <c r="K198" s="413"/>
      <c r="L198" s="413"/>
      <c r="M198" s="413"/>
      <c r="N198" s="413"/>
      <c r="O198" s="413"/>
      <c r="P198" s="413"/>
      <c r="Q198" s="413"/>
      <c r="R198" s="413"/>
      <c r="S198" s="413"/>
      <c r="T198" s="541"/>
      <c r="U198" s="598"/>
    </row>
    <row r="199" ht="18" customHeight="1" spans="2:21">
      <c r="B199" s="340"/>
      <c r="C199" s="340"/>
      <c r="D199" s="340"/>
      <c r="E199" s="340"/>
      <c r="F199" s="340"/>
      <c r="G199" s="340"/>
      <c r="H199" s="340"/>
      <c r="I199" s="340"/>
      <c r="J199" s="340"/>
      <c r="K199" s="369"/>
      <c r="L199" s="369"/>
      <c r="M199" s="369"/>
      <c r="N199" s="369"/>
      <c r="O199" s="369"/>
      <c r="P199" s="369"/>
      <c r="Q199" s="369"/>
      <c r="R199" s="369"/>
      <c r="S199" s="369"/>
      <c r="T199" s="369"/>
      <c r="U199" s="599"/>
    </row>
    <row r="200" ht="18" customHeight="1" spans="2:20">
      <c r="B200" s="340"/>
      <c r="C200" s="1023" t="s">
        <v>4935</v>
      </c>
      <c r="D200" s="1024"/>
      <c r="E200" s="1052"/>
      <c r="F200" s="340"/>
      <c r="G200" s="340"/>
      <c r="H200" s="340"/>
      <c r="I200" s="340"/>
      <c r="J200" s="1070"/>
      <c r="K200" s="369"/>
      <c r="L200" s="369"/>
      <c r="M200" s="369"/>
      <c r="N200" s="1023" t="s">
        <v>4936</v>
      </c>
      <c r="O200" s="1024"/>
      <c r="P200" s="1024"/>
      <c r="Q200" s="1024"/>
      <c r="R200" s="1052"/>
      <c r="S200" s="369"/>
      <c r="T200" s="369"/>
    </row>
    <row r="201" ht="18" customHeight="1" spans="2:20">
      <c r="B201" s="340"/>
      <c r="C201" s="1025"/>
      <c r="D201" s="1026"/>
      <c r="E201" s="1053"/>
      <c r="F201" s="340"/>
      <c r="G201" s="340"/>
      <c r="H201" s="340"/>
      <c r="I201" s="340"/>
      <c r="J201" s="1070"/>
      <c r="K201" s="369"/>
      <c r="L201" s="369"/>
      <c r="M201" s="369"/>
      <c r="N201" s="1025"/>
      <c r="O201" s="1026"/>
      <c r="P201" s="1026"/>
      <c r="Q201" s="1026"/>
      <c r="R201" s="1053"/>
      <c r="S201" s="369"/>
      <c r="T201" s="369"/>
    </row>
    <row r="202" ht="18" customHeight="1" spans="2:20">
      <c r="B202" s="340"/>
      <c r="C202" s="340"/>
      <c r="D202" s="340"/>
      <c r="E202" s="340"/>
      <c r="F202" s="340"/>
      <c r="G202" s="340"/>
      <c r="H202" s="340"/>
      <c r="I202" s="340"/>
      <c r="J202" s="1070"/>
      <c r="K202" s="369"/>
      <c r="L202" s="369"/>
      <c r="M202" s="369"/>
      <c r="N202" s="369"/>
      <c r="O202" s="369"/>
      <c r="P202" s="369"/>
      <c r="Q202" s="369"/>
      <c r="R202" s="369"/>
      <c r="S202" s="369"/>
      <c r="T202" s="369"/>
    </row>
    <row r="203" ht="18" customHeight="1" spans="2:20">
      <c r="B203" s="1027" t="s">
        <v>4937</v>
      </c>
      <c r="C203" s="340"/>
      <c r="D203" s="340"/>
      <c r="E203" s="1054" t="s">
        <v>4938</v>
      </c>
      <c r="F203" s="1055"/>
      <c r="G203" s="1055"/>
      <c r="H203" s="1056"/>
      <c r="I203" s="340"/>
      <c r="J203" s="1070"/>
      <c r="K203" s="369"/>
      <c r="L203" s="369"/>
      <c r="M203" s="369"/>
      <c r="N203" s="369"/>
      <c r="O203" s="1073" t="s">
        <v>4939</v>
      </c>
      <c r="P203" s="1074"/>
      <c r="Q203" s="1099"/>
      <c r="R203" s="369"/>
      <c r="S203" s="369"/>
      <c r="T203" s="369"/>
    </row>
    <row r="204" ht="18" customHeight="1" spans="2:20">
      <c r="B204" s="1028"/>
      <c r="C204" s="340"/>
      <c r="D204" s="340"/>
      <c r="E204" s="1057"/>
      <c r="F204" s="576"/>
      <c r="G204" s="576"/>
      <c r="H204" s="1058"/>
      <c r="I204" s="340"/>
      <c r="J204" s="1070"/>
      <c r="K204" s="369"/>
      <c r="L204" s="1071"/>
      <c r="M204" s="1071"/>
      <c r="N204" s="1071"/>
      <c r="O204" s="1075"/>
      <c r="P204" s="1076"/>
      <c r="Q204" s="1100"/>
      <c r="R204" s="1071"/>
      <c r="S204" s="1071"/>
      <c r="T204" s="369"/>
    </row>
    <row r="205" ht="18" customHeight="1" spans="2:20">
      <c r="B205" s="1028"/>
      <c r="C205" s="1029" t="s">
        <v>4940</v>
      </c>
      <c r="D205" s="1029"/>
      <c r="E205" s="1057"/>
      <c r="F205" s="576"/>
      <c r="G205" s="576"/>
      <c r="H205" s="1058"/>
      <c r="I205" s="340"/>
      <c r="J205" s="1070"/>
      <c r="K205" s="1072" t="s">
        <v>4941</v>
      </c>
      <c r="L205" s="1072"/>
      <c r="M205" s="369"/>
      <c r="N205" s="369"/>
      <c r="O205" s="1077"/>
      <c r="P205" s="1078"/>
      <c r="Q205" s="1101"/>
      <c r="R205" s="369"/>
      <c r="S205" s="369"/>
      <c r="T205" s="1121" t="s">
        <v>4941</v>
      </c>
    </row>
    <row r="206" ht="18" customHeight="1" spans="2:20">
      <c r="B206" s="1028"/>
      <c r="C206" s="1029"/>
      <c r="D206" s="1029"/>
      <c r="E206" s="1057"/>
      <c r="F206" s="576"/>
      <c r="G206" s="576"/>
      <c r="H206" s="1058"/>
      <c r="I206" s="340"/>
      <c r="J206" s="1070"/>
      <c r="K206" s="1072"/>
      <c r="L206" s="1072"/>
      <c r="M206" s="369"/>
      <c r="N206" s="369"/>
      <c r="O206" s="369"/>
      <c r="P206" s="1031" t="s">
        <v>4941</v>
      </c>
      <c r="Q206" s="369"/>
      <c r="R206" s="369"/>
      <c r="S206" s="369"/>
      <c r="T206" s="1121"/>
    </row>
    <row r="207" ht="18" customHeight="1" spans="2:22">
      <c r="B207" s="1028"/>
      <c r="C207" s="340"/>
      <c r="D207" s="340"/>
      <c r="E207" s="1057"/>
      <c r="F207" s="576"/>
      <c r="G207" s="576"/>
      <c r="H207" s="1058"/>
      <c r="I207" s="340"/>
      <c r="J207" s="1070"/>
      <c r="K207" s="1073" t="s">
        <v>4942</v>
      </c>
      <c r="L207" s="1074"/>
      <c r="M207" s="1099"/>
      <c r="N207" s="369"/>
      <c r="O207" s="1073" t="s">
        <v>4943</v>
      </c>
      <c r="P207" s="1074"/>
      <c r="Q207" s="1099"/>
      <c r="R207" s="369"/>
      <c r="S207" s="1073" t="s">
        <v>4944</v>
      </c>
      <c r="T207" s="1099"/>
      <c r="U207" s="369"/>
      <c r="V207" s="369"/>
    </row>
    <row r="208" ht="18" customHeight="1" spans="2:22">
      <c r="B208" s="1030"/>
      <c r="C208" s="340"/>
      <c r="D208" s="340"/>
      <c r="E208" s="1059"/>
      <c r="F208" s="1060"/>
      <c r="G208" s="1060"/>
      <c r="H208" s="1061"/>
      <c r="I208" s="340"/>
      <c r="J208" s="1070"/>
      <c r="K208" s="1075"/>
      <c r="L208" s="1076"/>
      <c r="M208" s="1100"/>
      <c r="N208" s="369"/>
      <c r="O208" s="1075"/>
      <c r="P208" s="1076"/>
      <c r="Q208" s="1100"/>
      <c r="R208" s="369"/>
      <c r="S208" s="1075"/>
      <c r="T208" s="1100"/>
      <c r="U208" s="369"/>
      <c r="V208" s="369"/>
    </row>
    <row r="209" ht="18" customHeight="1" spans="2:22">
      <c r="B209" s="1031" t="s">
        <v>4941</v>
      </c>
      <c r="C209" s="1032"/>
      <c r="D209" s="1032"/>
      <c r="E209" s="1062" t="s">
        <v>4941</v>
      </c>
      <c r="F209" s="1062"/>
      <c r="G209" s="1062" t="s">
        <v>4941</v>
      </c>
      <c r="H209" s="340"/>
      <c r="I209" s="340"/>
      <c r="J209" s="1070"/>
      <c r="K209" s="1077"/>
      <c r="L209" s="1078"/>
      <c r="M209" s="1101"/>
      <c r="N209" s="369"/>
      <c r="O209" s="1077"/>
      <c r="P209" s="1078"/>
      <c r="Q209" s="1101"/>
      <c r="R209" s="369"/>
      <c r="S209" s="1077"/>
      <c r="T209" s="1101"/>
      <c r="U209" s="369"/>
      <c r="V209" s="369"/>
    </row>
    <row r="210" ht="18" customHeight="1" spans="2:20">
      <c r="B210" s="1027" t="s">
        <v>4945</v>
      </c>
      <c r="C210" s="340"/>
      <c r="D210" s="340"/>
      <c r="E210" s="1063" t="s">
        <v>4946</v>
      </c>
      <c r="F210" s="1064"/>
      <c r="G210" s="1063" t="s">
        <v>4947</v>
      </c>
      <c r="H210" s="1064"/>
      <c r="I210" s="340"/>
      <c r="J210" s="1070"/>
      <c r="K210" s="1031" t="s">
        <v>4941</v>
      </c>
      <c r="L210" s="1031"/>
      <c r="M210" s="1031"/>
      <c r="N210" s="369"/>
      <c r="O210" s="369"/>
      <c r="P210" s="1031" t="s">
        <v>4941</v>
      </c>
      <c r="Q210" s="369"/>
      <c r="R210" s="369"/>
      <c r="S210" s="1031" t="s">
        <v>4941</v>
      </c>
      <c r="T210" s="1031"/>
    </row>
    <row r="211" ht="18" customHeight="1" spans="2:20">
      <c r="B211" s="1028"/>
      <c r="C211" s="340"/>
      <c r="D211" s="340"/>
      <c r="E211" s="828"/>
      <c r="F211" s="1065"/>
      <c r="G211" s="828"/>
      <c r="H211" s="1065"/>
      <c r="I211" s="340"/>
      <c r="J211" s="1070"/>
      <c r="K211" s="1079" t="s">
        <v>4948</v>
      </c>
      <c r="L211" s="1080"/>
      <c r="M211" s="1102"/>
      <c r="N211" s="369"/>
      <c r="O211" s="1103" t="s">
        <v>4949</v>
      </c>
      <c r="P211" s="1104"/>
      <c r="Q211" s="1122"/>
      <c r="R211" s="369"/>
      <c r="S211" s="1123" t="s">
        <v>1339</v>
      </c>
      <c r="T211" s="1124"/>
    </row>
    <row r="212" ht="18" customHeight="1" spans="2:20">
      <c r="B212" s="1028"/>
      <c r="C212" s="340"/>
      <c r="D212" s="340"/>
      <c r="E212" s="828"/>
      <c r="F212" s="1065"/>
      <c r="G212" s="828"/>
      <c r="H212" s="1065"/>
      <c r="I212" s="340"/>
      <c r="J212" s="1070"/>
      <c r="K212" s="1081"/>
      <c r="L212" s="1082"/>
      <c r="M212" s="1105"/>
      <c r="N212" s="369"/>
      <c r="O212" s="1106"/>
      <c r="P212" s="1107"/>
      <c r="Q212" s="1125"/>
      <c r="R212" s="369"/>
      <c r="S212" s="1126"/>
      <c r="T212" s="1127"/>
    </row>
    <row r="213" ht="18" customHeight="1" spans="2:20">
      <c r="B213" s="1028"/>
      <c r="C213" s="340"/>
      <c r="D213" s="340"/>
      <c r="E213" s="835"/>
      <c r="F213" s="366"/>
      <c r="G213" s="835"/>
      <c r="H213" s="366"/>
      <c r="I213" s="340"/>
      <c r="J213" s="1070"/>
      <c r="K213" s="1081"/>
      <c r="L213" s="1082"/>
      <c r="M213" s="1105"/>
      <c r="N213" s="369"/>
      <c r="O213" s="1106"/>
      <c r="P213" s="1107"/>
      <c r="Q213" s="1125"/>
      <c r="R213" s="369"/>
      <c r="S213" s="1126"/>
      <c r="T213" s="1127"/>
    </row>
    <row r="214" ht="18" customHeight="1" spans="2:20">
      <c r="B214" s="1028"/>
      <c r="C214" s="1033" t="s">
        <v>4940</v>
      </c>
      <c r="D214" s="1033"/>
      <c r="E214" s="340"/>
      <c r="F214" s="340"/>
      <c r="G214" s="340"/>
      <c r="H214" s="340"/>
      <c r="I214" s="340"/>
      <c r="J214" s="1070"/>
      <c r="K214" s="1083"/>
      <c r="L214" s="1084"/>
      <c r="M214" s="1108"/>
      <c r="N214" s="369"/>
      <c r="O214" s="1109"/>
      <c r="P214" s="1110"/>
      <c r="Q214" s="1128"/>
      <c r="R214" s="369"/>
      <c r="S214" s="1129"/>
      <c r="T214" s="1130"/>
    </row>
    <row r="215" ht="18" customHeight="1" spans="2:20">
      <c r="B215" s="1030"/>
      <c r="C215" s="1033"/>
      <c r="D215" s="1033"/>
      <c r="E215" s="1054" t="s">
        <v>4950</v>
      </c>
      <c r="F215" s="1066"/>
      <c r="G215" s="1066"/>
      <c r="H215" s="1040"/>
      <c r="I215" s="340"/>
      <c r="J215" s="1070"/>
      <c r="K215" s="369"/>
      <c r="L215" s="369"/>
      <c r="M215" s="369"/>
      <c r="N215" s="369"/>
      <c r="O215" s="369"/>
      <c r="P215" s="369"/>
      <c r="Q215" s="369"/>
      <c r="R215" s="369"/>
      <c r="S215" s="369"/>
      <c r="T215" s="369"/>
    </row>
    <row r="216" ht="18" customHeight="1" spans="2:20">
      <c r="B216" s="1031" t="s">
        <v>4941</v>
      </c>
      <c r="C216" s="340"/>
      <c r="D216" s="340"/>
      <c r="E216" s="1067"/>
      <c r="F216" s="1031"/>
      <c r="G216" s="1031"/>
      <c r="H216" s="1068"/>
      <c r="I216" s="340"/>
      <c r="J216" s="1070"/>
      <c r="K216" s="1085"/>
      <c r="L216" s="1085"/>
      <c r="M216" s="1085"/>
      <c r="N216" s="1085"/>
      <c r="O216" s="1085"/>
      <c r="P216" s="1085"/>
      <c r="Q216" s="1085"/>
      <c r="R216" s="1085"/>
      <c r="S216" s="1085"/>
      <c r="T216" s="1085"/>
    </row>
    <row r="217" ht="18" customHeight="1" spans="2:20">
      <c r="B217" s="1034" t="s">
        <v>4951</v>
      </c>
      <c r="C217" s="1035"/>
      <c r="D217" s="1031" t="s">
        <v>4952</v>
      </c>
      <c r="E217" s="1067"/>
      <c r="F217" s="1031"/>
      <c r="G217" s="1031"/>
      <c r="H217" s="1068"/>
      <c r="I217" s="340"/>
      <c r="J217" s="1070"/>
      <c r="K217" s="369"/>
      <c r="L217" s="369"/>
      <c r="M217" s="369"/>
      <c r="N217" s="369"/>
      <c r="O217" s="1073" t="s">
        <v>4953</v>
      </c>
      <c r="P217" s="1074"/>
      <c r="Q217" s="1099"/>
      <c r="R217" s="369"/>
      <c r="S217" s="369"/>
      <c r="T217" s="369"/>
    </row>
    <row r="218" ht="18" customHeight="1" spans="2:27">
      <c r="B218" s="920"/>
      <c r="C218" s="1036"/>
      <c r="D218" s="340"/>
      <c r="E218" s="1067"/>
      <c r="F218" s="1031"/>
      <c r="G218" s="1031"/>
      <c r="H218" s="1068"/>
      <c r="I218" s="340"/>
      <c r="J218" s="1070"/>
      <c r="K218" s="1086" t="s">
        <v>4954</v>
      </c>
      <c r="L218" s="1087"/>
      <c r="M218" s="1056"/>
      <c r="N218" s="369"/>
      <c r="O218" s="1077"/>
      <c r="P218" s="1078"/>
      <c r="Q218" s="1101"/>
      <c r="R218" s="369"/>
      <c r="S218" s="369"/>
      <c r="T218" s="369"/>
      <c r="V218" s="599"/>
      <c r="W218" s="599"/>
      <c r="X218" s="599"/>
      <c r="Y218" s="599"/>
      <c r="Z218" s="599"/>
      <c r="AA218" s="599"/>
    </row>
    <row r="219" ht="18" customHeight="1" spans="2:20">
      <c r="B219" s="920"/>
      <c r="C219" s="1036"/>
      <c r="D219" s="340"/>
      <c r="E219" s="1067"/>
      <c r="F219" s="1031"/>
      <c r="G219" s="1031"/>
      <c r="H219" s="1068"/>
      <c r="I219" s="340"/>
      <c r="J219" s="1070"/>
      <c r="K219" s="1057"/>
      <c r="L219" s="576"/>
      <c r="M219" s="1058"/>
      <c r="N219" s="369"/>
      <c r="O219" s="1111"/>
      <c r="P219" s="1031" t="s">
        <v>4941</v>
      </c>
      <c r="Q219" s="1111"/>
      <c r="R219" s="369"/>
      <c r="S219" s="369"/>
      <c r="T219" s="369"/>
    </row>
    <row r="220" ht="18" customHeight="1" spans="2:20">
      <c r="B220" s="920"/>
      <c r="C220" s="1036"/>
      <c r="D220" s="340"/>
      <c r="E220" s="1067"/>
      <c r="F220" s="1031"/>
      <c r="G220" s="1031"/>
      <c r="H220" s="1068"/>
      <c r="I220" s="340"/>
      <c r="J220" s="1070"/>
      <c r="K220" s="1057"/>
      <c r="L220" s="576"/>
      <c r="M220" s="1058"/>
      <c r="N220" s="368" t="s">
        <v>4955</v>
      </c>
      <c r="O220" s="1073" t="s">
        <v>4956</v>
      </c>
      <c r="P220" s="1074"/>
      <c r="Q220" s="1099"/>
      <c r="R220" s="368" t="s">
        <v>4957</v>
      </c>
      <c r="S220" s="1088" t="s">
        <v>4958</v>
      </c>
      <c r="T220" s="1112"/>
    </row>
    <row r="221" ht="18" customHeight="1" spans="2:20">
      <c r="B221" s="920"/>
      <c r="C221" s="1036"/>
      <c r="D221" s="340"/>
      <c r="E221" s="1067"/>
      <c r="F221" s="1031"/>
      <c r="G221" s="1031"/>
      <c r="H221" s="1068"/>
      <c r="I221" s="340"/>
      <c r="J221" s="1070"/>
      <c r="K221" s="1059"/>
      <c r="L221" s="1060"/>
      <c r="M221" s="1061"/>
      <c r="N221" s="368"/>
      <c r="O221" s="1075"/>
      <c r="P221" s="1076"/>
      <c r="Q221" s="1100"/>
      <c r="R221" s="368"/>
      <c r="S221" s="485"/>
      <c r="T221" s="557"/>
    </row>
    <row r="222" ht="18" customHeight="1" spans="2:20">
      <c r="B222" s="920"/>
      <c r="C222" s="1036"/>
      <c r="D222" s="340"/>
      <c r="E222" s="1067"/>
      <c r="F222" s="1031"/>
      <c r="G222" s="1031"/>
      <c r="H222" s="1068"/>
      <c r="I222" s="340"/>
      <c r="J222" s="1070"/>
      <c r="K222" s="369"/>
      <c r="L222" s="369"/>
      <c r="M222" s="369"/>
      <c r="N222" s="369"/>
      <c r="O222" s="1077"/>
      <c r="P222" s="1078"/>
      <c r="Q222" s="1101"/>
      <c r="R222" s="369"/>
      <c r="S222" s="1131"/>
      <c r="T222" s="1132"/>
    </row>
    <row r="223" ht="18" customHeight="1" spans="2:21">
      <c r="B223" s="1037"/>
      <c r="C223" s="1038"/>
      <c r="D223" s="340"/>
      <c r="E223" s="1041"/>
      <c r="F223" s="1069"/>
      <c r="G223" s="1069"/>
      <c r="H223" s="1042"/>
      <c r="I223" s="340"/>
      <c r="J223" s="1070"/>
      <c r="K223" s="369"/>
      <c r="L223" s="369"/>
      <c r="M223" s="369"/>
      <c r="N223" s="369"/>
      <c r="O223" s="369"/>
      <c r="P223" s="369"/>
      <c r="Q223" s="369"/>
      <c r="R223" s="369"/>
      <c r="S223" s="1133" t="s">
        <v>4941</v>
      </c>
      <c r="T223" s="1133"/>
      <c r="U223" s="599"/>
    </row>
    <row r="224" ht="18" customHeight="1" spans="2:20">
      <c r="B224" s="1031" t="s">
        <v>4941</v>
      </c>
      <c r="C224" s="1031"/>
      <c r="D224" s="340"/>
      <c r="E224" s="340"/>
      <c r="F224" s="340"/>
      <c r="G224" s="340"/>
      <c r="H224" s="340"/>
      <c r="I224" s="340"/>
      <c r="J224" s="1070"/>
      <c r="K224" s="1088" t="s">
        <v>4959</v>
      </c>
      <c r="L224" s="1089"/>
      <c r="M224" s="1089"/>
      <c r="N224" s="1112"/>
      <c r="O224" s="576" t="s">
        <v>4960</v>
      </c>
      <c r="P224" s="576"/>
      <c r="Q224" s="1134" t="s">
        <v>4961</v>
      </c>
      <c r="R224" s="1117"/>
      <c r="S224" s="1117"/>
      <c r="T224" s="1118"/>
    </row>
    <row r="225" ht="18" customHeight="1" spans="2:20">
      <c r="B225" s="1039" t="s">
        <v>4962</v>
      </c>
      <c r="C225" s="1040"/>
      <c r="D225" s="340"/>
      <c r="E225" s="1043" t="s">
        <v>4963</v>
      </c>
      <c r="F225" s="1055"/>
      <c r="G225" s="1055"/>
      <c r="H225" s="1056"/>
      <c r="I225" s="340"/>
      <c r="J225" s="1070"/>
      <c r="K225" s="485"/>
      <c r="L225" s="529"/>
      <c r="M225" s="529"/>
      <c r="N225" s="557"/>
      <c r="O225" s="576"/>
      <c r="P225" s="576"/>
      <c r="Q225" s="903"/>
      <c r="R225" s="587"/>
      <c r="S225" s="587"/>
      <c r="T225" s="589"/>
    </row>
    <row r="226" ht="18" customHeight="1" spans="2:20">
      <c r="B226" s="1041"/>
      <c r="C226" s="1042"/>
      <c r="D226" s="340"/>
      <c r="E226" s="1057"/>
      <c r="F226" s="576"/>
      <c r="G226" s="576"/>
      <c r="H226" s="1058"/>
      <c r="I226" s="340"/>
      <c r="J226" s="1070"/>
      <c r="K226" s="1086" t="s">
        <v>4964</v>
      </c>
      <c r="L226" s="1087"/>
      <c r="M226" s="1087"/>
      <c r="N226" s="1113"/>
      <c r="O226" s="369"/>
      <c r="P226" s="1114" t="s">
        <v>4965</v>
      </c>
      <c r="Q226" s="1091" t="s">
        <v>4966</v>
      </c>
      <c r="R226" s="369"/>
      <c r="S226" s="1091" t="s">
        <v>4967</v>
      </c>
      <c r="T226" s="576"/>
    </row>
    <row r="227" ht="18" customHeight="1" spans="2:20">
      <c r="B227" s="340"/>
      <c r="C227" s="340"/>
      <c r="D227" s="340"/>
      <c r="E227" s="1057"/>
      <c r="F227" s="576"/>
      <c r="G227" s="576"/>
      <c r="H227" s="1058"/>
      <c r="I227" s="340"/>
      <c r="J227" s="1070"/>
      <c r="K227" s="1090"/>
      <c r="L227" s="1091"/>
      <c r="M227" s="1091"/>
      <c r="N227" s="1115"/>
      <c r="O227" s="369"/>
      <c r="P227" s="1114"/>
      <c r="Q227" s="1091"/>
      <c r="R227" s="369"/>
      <c r="S227" s="576"/>
      <c r="T227" s="576"/>
    </row>
    <row r="228" ht="18" customHeight="1" spans="2:20">
      <c r="B228" s="1043" t="s">
        <v>4968</v>
      </c>
      <c r="C228" s="1044"/>
      <c r="D228" s="340"/>
      <c r="E228" s="1057"/>
      <c r="F228" s="576"/>
      <c r="G228" s="576"/>
      <c r="H228" s="1058"/>
      <c r="I228" s="340"/>
      <c r="J228" s="1070"/>
      <c r="K228" s="1092"/>
      <c r="L228" s="1093"/>
      <c r="M228" s="1093"/>
      <c r="N228" s="1116"/>
      <c r="O228" s="529" t="s">
        <v>4969</v>
      </c>
      <c r="P228" s="369"/>
      <c r="Q228" s="1091"/>
      <c r="R228" s="369"/>
      <c r="S228" s="576"/>
      <c r="T228" s="576"/>
    </row>
    <row r="229" ht="18" customHeight="1" spans="2:20">
      <c r="B229" s="1045"/>
      <c r="C229" s="1046"/>
      <c r="D229" s="340"/>
      <c r="E229" s="1057"/>
      <c r="F229" s="576"/>
      <c r="G229" s="576"/>
      <c r="H229" s="1058"/>
      <c r="I229" s="340"/>
      <c r="J229" s="1070"/>
      <c r="K229" s="1091" t="s">
        <v>4970</v>
      </c>
      <c r="L229" s="1091"/>
      <c r="N229" s="1076" t="s">
        <v>4971</v>
      </c>
      <c r="O229" s="529"/>
      <c r="P229" s="369"/>
      <c r="Q229" s="1091"/>
      <c r="R229" s="369"/>
      <c r="S229" s="576"/>
      <c r="T229" s="576"/>
    </row>
    <row r="230" ht="18" customHeight="1" spans="2:20">
      <c r="B230" s="1045"/>
      <c r="C230" s="1046"/>
      <c r="D230" s="340"/>
      <c r="E230" s="1057"/>
      <c r="F230" s="576"/>
      <c r="G230" s="576"/>
      <c r="H230" s="1058"/>
      <c r="I230" s="340"/>
      <c r="J230" s="1070"/>
      <c r="K230" s="1091"/>
      <c r="L230" s="1091"/>
      <c r="N230" s="368"/>
      <c r="O230" s="529"/>
      <c r="P230" s="369"/>
      <c r="Q230" s="1094" t="s">
        <v>4972</v>
      </c>
      <c r="R230" s="1117"/>
      <c r="S230" s="1117"/>
      <c r="T230" s="1118"/>
    </row>
    <row r="231" ht="18" customHeight="1" spans="2:20">
      <c r="B231" s="1045"/>
      <c r="C231" s="1046"/>
      <c r="D231" s="340"/>
      <c r="E231" s="1057"/>
      <c r="F231" s="576"/>
      <c r="G231" s="576"/>
      <c r="H231" s="1058"/>
      <c r="I231" s="340"/>
      <c r="J231" s="1070"/>
      <c r="K231" s="1091"/>
      <c r="L231" s="1091"/>
      <c r="M231" s="1094" t="s">
        <v>4973</v>
      </c>
      <c r="N231" s="1117"/>
      <c r="O231" s="1118"/>
      <c r="P231" s="369"/>
      <c r="Q231" s="903"/>
      <c r="R231" s="587"/>
      <c r="S231" s="587"/>
      <c r="T231" s="589"/>
    </row>
    <row r="232" ht="18" customHeight="1" spans="2:20">
      <c r="B232" s="1045"/>
      <c r="C232" s="1046"/>
      <c r="D232" s="340"/>
      <c r="E232" s="1057"/>
      <c r="F232" s="576"/>
      <c r="G232" s="576"/>
      <c r="H232" s="1058"/>
      <c r="I232" s="340"/>
      <c r="J232" s="1070"/>
      <c r="K232" s="1091"/>
      <c r="L232" s="1091"/>
      <c r="M232" s="903"/>
      <c r="N232" s="587"/>
      <c r="O232" s="589"/>
      <c r="Q232" s="342"/>
      <c r="R232" s="342"/>
      <c r="S232" s="342"/>
      <c r="T232" s="342"/>
    </row>
    <row r="233" ht="21.15" spans="2:20">
      <c r="B233" s="1047"/>
      <c r="C233" s="1048"/>
      <c r="D233" s="340"/>
      <c r="E233" s="1059"/>
      <c r="F233" s="1060"/>
      <c r="G233" s="1060"/>
      <c r="H233" s="1061"/>
      <c r="I233" s="340"/>
      <c r="J233" s="1070"/>
      <c r="K233" s="1091"/>
      <c r="L233" s="1091"/>
      <c r="M233" s="1085"/>
      <c r="N233" s="1085"/>
      <c r="O233" s="1085"/>
      <c r="P233" s="342"/>
      <c r="Q233" s="1043" t="s">
        <v>4974</v>
      </c>
      <c r="R233" s="1095"/>
      <c r="S233" s="1095"/>
      <c r="T233" s="1119"/>
    </row>
    <row r="234" spans="2:20">
      <c r="B234" s="340"/>
      <c r="C234" s="340"/>
      <c r="D234" s="340"/>
      <c r="E234" s="340"/>
      <c r="F234" s="340"/>
      <c r="G234" s="340"/>
      <c r="H234" s="340"/>
      <c r="I234" s="340"/>
      <c r="J234" s="1070"/>
      <c r="K234" s="1094" t="s">
        <v>4975</v>
      </c>
      <c r="L234" s="1095"/>
      <c r="M234" s="1095"/>
      <c r="N234" s="1095"/>
      <c r="O234" s="1119"/>
      <c r="P234" s="342"/>
      <c r="Q234" s="910"/>
      <c r="R234" s="492"/>
      <c r="S234" s="492"/>
      <c r="T234" s="793"/>
    </row>
    <row r="235" spans="2:20">
      <c r="B235" s="340"/>
      <c r="C235" s="340"/>
      <c r="D235" s="340"/>
      <c r="E235" s="340"/>
      <c r="F235" s="340"/>
      <c r="G235" s="340"/>
      <c r="H235" s="340"/>
      <c r="I235" s="340"/>
      <c r="J235" s="1070"/>
      <c r="K235" s="910"/>
      <c r="L235" s="492"/>
      <c r="M235" s="492"/>
      <c r="N235" s="492"/>
      <c r="O235" s="793"/>
      <c r="P235" s="342"/>
      <c r="Q235" s="910"/>
      <c r="R235" s="492"/>
      <c r="S235" s="492"/>
      <c r="T235" s="793"/>
    </row>
    <row r="236" ht="17.55" spans="2:20">
      <c r="B236" s="340"/>
      <c r="C236" s="340"/>
      <c r="D236" s="340"/>
      <c r="E236" s="340"/>
      <c r="F236" s="340"/>
      <c r="G236" s="340"/>
      <c r="H236" s="340"/>
      <c r="I236" s="340"/>
      <c r="J236" s="1070"/>
      <c r="K236" s="913"/>
      <c r="L236" s="938"/>
      <c r="M236" s="938"/>
      <c r="N236" s="938"/>
      <c r="O236" s="939"/>
      <c r="P236" s="369"/>
      <c r="Q236" s="910"/>
      <c r="R236" s="492"/>
      <c r="S236" s="492"/>
      <c r="T236" s="793"/>
    </row>
    <row r="237" ht="17.55" spans="2:20">
      <c r="B237" s="340"/>
      <c r="C237" s="340"/>
      <c r="D237" s="340"/>
      <c r="E237" s="340"/>
      <c r="F237" s="340"/>
      <c r="G237" s="340"/>
      <c r="H237" s="340"/>
      <c r="I237" s="340"/>
      <c r="J237" s="1070"/>
      <c r="K237" s="369"/>
      <c r="L237" s="369"/>
      <c r="M237" s="369"/>
      <c r="N237" s="369"/>
      <c r="O237" s="369"/>
      <c r="P237" s="369"/>
      <c r="Q237" s="910"/>
      <c r="R237" s="492"/>
      <c r="S237" s="492"/>
      <c r="T237" s="793"/>
    </row>
    <row r="238" ht="22" spans="2:20">
      <c r="B238" s="890" t="s">
        <v>4976</v>
      </c>
      <c r="C238" s="340"/>
      <c r="D238" s="340"/>
      <c r="E238" s="340"/>
      <c r="F238" s="340"/>
      <c r="G238" s="340"/>
      <c r="H238" s="340"/>
      <c r="I238" s="340"/>
      <c r="J238" s="1070"/>
      <c r="K238" s="369"/>
      <c r="L238" s="369"/>
      <c r="M238" s="369"/>
      <c r="N238" s="369"/>
      <c r="O238" s="369"/>
      <c r="P238" s="369"/>
      <c r="Q238" s="910"/>
      <c r="R238" s="492"/>
      <c r="S238" s="492"/>
      <c r="T238" s="793"/>
    </row>
    <row r="239" spans="2:20">
      <c r="B239" s="1049" t="s">
        <v>4977</v>
      </c>
      <c r="C239" s="340"/>
      <c r="D239" s="340"/>
      <c r="E239" s="340"/>
      <c r="F239" s="340"/>
      <c r="G239" s="340"/>
      <c r="H239" s="340"/>
      <c r="I239" s="340"/>
      <c r="J239" s="1070"/>
      <c r="K239" s="369"/>
      <c r="L239" s="369"/>
      <c r="M239" s="369"/>
      <c r="N239" s="369"/>
      <c r="O239" s="369"/>
      <c r="P239" s="369"/>
      <c r="Q239" s="910"/>
      <c r="R239" s="492"/>
      <c r="S239" s="492"/>
      <c r="T239" s="793"/>
    </row>
    <row r="240" ht="17.55" spans="2:20">
      <c r="B240" s="1050"/>
      <c r="C240" s="340"/>
      <c r="D240" s="340"/>
      <c r="E240" s="340"/>
      <c r="F240" s="340"/>
      <c r="G240" s="340"/>
      <c r="H240" s="340"/>
      <c r="I240" s="340"/>
      <c r="J240" s="340"/>
      <c r="K240" s="369"/>
      <c r="L240" s="369"/>
      <c r="M240" s="369"/>
      <c r="N240" s="369"/>
      <c r="O240" s="369"/>
      <c r="P240" s="369"/>
      <c r="Q240" s="913"/>
      <c r="R240" s="938"/>
      <c r="S240" s="938"/>
      <c r="T240" s="939"/>
    </row>
    <row r="241" spans="2:20">
      <c r="B241" s="1050"/>
      <c r="C241" s="340"/>
      <c r="D241" s="340"/>
      <c r="E241" s="340"/>
      <c r="F241" s="340"/>
      <c r="G241" s="340"/>
      <c r="H241" s="340"/>
      <c r="I241" s="340"/>
      <c r="J241" s="340"/>
      <c r="K241" s="369"/>
      <c r="L241" s="369"/>
      <c r="M241" s="369"/>
      <c r="N241" s="369"/>
      <c r="O241" s="369"/>
      <c r="P241" s="369"/>
      <c r="Q241" s="369"/>
      <c r="R241" s="369"/>
      <c r="S241" s="369"/>
      <c r="T241" s="369"/>
    </row>
    <row r="242" spans="2:20">
      <c r="B242" s="1050"/>
      <c r="C242" s="340"/>
      <c r="D242" s="340"/>
      <c r="E242" s="340"/>
      <c r="F242" s="340"/>
      <c r="G242" s="340"/>
      <c r="H242" s="340"/>
      <c r="I242" s="340"/>
      <c r="J242" s="340"/>
      <c r="K242" s="369"/>
      <c r="L242" s="369"/>
      <c r="M242" s="369"/>
      <c r="N242" s="369"/>
      <c r="O242" s="369"/>
      <c r="P242" s="369"/>
      <c r="Q242" s="369"/>
      <c r="R242" s="369"/>
      <c r="S242" s="369"/>
      <c r="T242" s="369"/>
    </row>
    <row r="243" spans="2:20">
      <c r="B243" s="1050"/>
      <c r="C243" s="340"/>
      <c r="D243" s="340"/>
      <c r="E243" s="340"/>
      <c r="F243" s="340"/>
      <c r="G243" s="340"/>
      <c r="H243" s="340"/>
      <c r="I243" s="340"/>
      <c r="J243" s="340"/>
      <c r="K243" s="369"/>
      <c r="L243" s="369"/>
      <c r="M243" s="369"/>
      <c r="N243" s="369"/>
      <c r="O243" s="369"/>
      <c r="P243" s="369"/>
      <c r="Q243" s="369"/>
      <c r="R243" s="369"/>
      <c r="S243" s="369"/>
      <c r="T243" s="369"/>
    </row>
    <row r="244" spans="2:20">
      <c r="B244" s="1050"/>
      <c r="C244" s="340"/>
      <c r="D244" s="340"/>
      <c r="E244" s="340"/>
      <c r="F244" s="340"/>
      <c r="G244" s="340"/>
      <c r="H244" s="340"/>
      <c r="I244" s="340"/>
      <c r="J244" s="340"/>
      <c r="K244" s="369"/>
      <c r="L244" s="369"/>
      <c r="M244" s="369"/>
      <c r="N244" s="369"/>
      <c r="O244" s="369"/>
      <c r="P244" s="369"/>
      <c r="Q244" s="369"/>
      <c r="R244" s="369"/>
      <c r="S244" s="369"/>
      <c r="T244" s="369"/>
    </row>
    <row r="245" spans="2:20">
      <c r="B245" s="1050"/>
      <c r="C245" s="340"/>
      <c r="D245" s="340"/>
      <c r="E245" s="340"/>
      <c r="F245" s="340"/>
      <c r="G245" s="340"/>
      <c r="H245" s="340"/>
      <c r="I245" s="340"/>
      <c r="J245" s="340"/>
      <c r="K245" s="369"/>
      <c r="L245" s="369"/>
      <c r="M245" s="369"/>
      <c r="N245" s="369"/>
      <c r="O245" s="369"/>
      <c r="P245" s="369"/>
      <c r="Q245" s="369"/>
      <c r="R245" s="369"/>
      <c r="S245" s="369"/>
      <c r="T245" s="369"/>
    </row>
    <row r="246" ht="17.55" spans="2:20">
      <c r="B246" s="1051"/>
      <c r="C246" s="340"/>
      <c r="D246" s="340"/>
      <c r="E246" s="340"/>
      <c r="F246" s="340"/>
      <c r="G246" s="340"/>
      <c r="H246" s="340"/>
      <c r="I246" s="340"/>
      <c r="J246" s="340"/>
      <c r="K246" s="369"/>
      <c r="L246" s="369"/>
      <c r="M246" s="369"/>
      <c r="N246" s="369"/>
      <c r="O246" s="369"/>
      <c r="P246" s="369"/>
      <c r="Q246" s="369"/>
      <c r="R246" s="369"/>
      <c r="S246" s="369"/>
      <c r="T246" s="369"/>
    </row>
    <row r="247" spans="3:20">
      <c r="C247" s="340"/>
      <c r="D247" s="340"/>
      <c r="E247" s="340"/>
      <c r="F247" s="340"/>
      <c r="G247" s="340"/>
      <c r="H247" s="340"/>
      <c r="I247" s="340"/>
      <c r="J247" s="340"/>
      <c r="K247" s="369"/>
      <c r="L247" s="369"/>
      <c r="M247" s="369"/>
      <c r="N247" s="369"/>
      <c r="O247" s="369"/>
      <c r="P247" s="369"/>
      <c r="Q247" s="369"/>
      <c r="R247" s="369"/>
      <c r="S247" s="369"/>
      <c r="T247" s="369"/>
    </row>
    <row r="248" spans="3:20">
      <c r="C248" s="340"/>
      <c r="D248"/>
      <c r="E248"/>
      <c r="F248"/>
      <c r="G248" s="340"/>
      <c r="H248" s="340"/>
      <c r="I248" s="340"/>
      <c r="J248" s="340"/>
      <c r="K248" s="369"/>
      <c r="L248" s="369"/>
      <c r="M248" s="369"/>
      <c r="N248" s="369"/>
      <c r="O248" s="369"/>
      <c r="P248" s="369"/>
      <c r="Q248" s="369"/>
      <c r="R248" s="369"/>
      <c r="S248" s="369"/>
      <c r="T248" s="369"/>
    </row>
    <row r="249" spans="3:20">
      <c r="C249" s="340"/>
      <c r="D249"/>
      <c r="E249"/>
      <c r="F249"/>
      <c r="G249" s="340"/>
      <c r="H249" s="340"/>
      <c r="I249" s="340"/>
      <c r="J249" s="340"/>
      <c r="K249" s="369"/>
      <c r="L249" s="369"/>
      <c r="M249" s="369"/>
      <c r="N249" s="369"/>
      <c r="O249" s="369"/>
      <c r="P249" s="369"/>
      <c r="Q249" s="369"/>
      <c r="R249" s="369"/>
      <c r="S249" s="369"/>
      <c r="T249" s="369"/>
    </row>
    <row r="250" spans="3:20">
      <c r="C250" s="340"/>
      <c r="D250"/>
      <c r="E250"/>
      <c r="F250"/>
      <c r="H250" s="340"/>
      <c r="I250" s="340"/>
      <c r="J250" s="340"/>
      <c r="K250" s="369"/>
      <c r="L250" s="369"/>
      <c r="M250" s="369"/>
      <c r="N250" s="369"/>
      <c r="O250" s="369"/>
      <c r="P250" s="369"/>
      <c r="Q250" s="369"/>
      <c r="R250" s="369"/>
      <c r="S250" s="369"/>
      <c r="T250" s="369"/>
    </row>
    <row r="251" spans="3:20">
      <c r="C251" s="340"/>
      <c r="D251"/>
      <c r="E251"/>
      <c r="F251"/>
      <c r="H251" s="340"/>
      <c r="I251" s="340"/>
      <c r="J251" s="340"/>
      <c r="K251" s="369"/>
      <c r="L251" s="369"/>
      <c r="M251" s="369"/>
      <c r="N251" s="369"/>
      <c r="O251" s="369"/>
      <c r="P251" s="369"/>
      <c r="Q251" s="369"/>
      <c r="R251" s="369"/>
      <c r="S251" s="369"/>
      <c r="T251" s="369"/>
    </row>
    <row r="252" spans="3:20">
      <c r="C252" s="340"/>
      <c r="D252"/>
      <c r="E252"/>
      <c r="F252"/>
      <c r="H252" s="340"/>
      <c r="I252" s="340"/>
      <c r="J252" s="340"/>
      <c r="K252" s="369"/>
      <c r="L252" s="369"/>
      <c r="M252" s="369"/>
      <c r="N252" s="369"/>
      <c r="O252" s="369"/>
      <c r="P252" s="369"/>
      <c r="Q252" s="369"/>
      <c r="R252" s="369"/>
      <c r="S252" s="369"/>
      <c r="T252" s="369"/>
    </row>
    <row r="253" spans="3:20">
      <c r="C253" s="340"/>
      <c r="D253"/>
      <c r="E253"/>
      <c r="F253"/>
      <c r="H253" s="340"/>
      <c r="I253" s="340"/>
      <c r="J253" s="340"/>
      <c r="K253" s="369"/>
      <c r="L253" s="369"/>
      <c r="M253" s="369"/>
      <c r="N253" s="369"/>
      <c r="O253" s="369"/>
      <c r="P253" s="369"/>
      <c r="Q253" s="369"/>
      <c r="R253" s="369"/>
      <c r="S253" s="369"/>
      <c r="T253" s="369"/>
    </row>
    <row r="254" spans="3:20">
      <c r="C254" s="340"/>
      <c r="D254"/>
      <c r="E254"/>
      <c r="F254"/>
      <c r="H254" s="340"/>
      <c r="I254" s="340"/>
      <c r="J254" s="340"/>
      <c r="K254" s="369"/>
      <c r="L254" s="369"/>
      <c r="M254" s="369"/>
      <c r="N254" s="369"/>
      <c r="O254" s="369"/>
      <c r="P254" s="369"/>
      <c r="Q254" s="369"/>
      <c r="R254" s="369"/>
      <c r="S254" s="369"/>
      <c r="T254" s="369"/>
    </row>
    <row r="255" spans="3:20">
      <c r="C255" s="340"/>
      <c r="D255"/>
      <c r="E255"/>
      <c r="F255"/>
      <c r="H255" s="340"/>
      <c r="I255" s="340"/>
      <c r="J255" s="340"/>
      <c r="K255" s="369"/>
      <c r="L255" s="369"/>
      <c r="M255" s="369"/>
      <c r="N255" s="369"/>
      <c r="O255" s="369"/>
      <c r="P255" s="369"/>
      <c r="Q255" s="369"/>
      <c r="R255" s="369"/>
      <c r="S255" s="369"/>
      <c r="T255" s="369"/>
    </row>
    <row r="256" spans="3:20">
      <c r="C256" s="340"/>
      <c r="D256"/>
      <c r="E256"/>
      <c r="F256"/>
      <c r="H256" s="340"/>
      <c r="I256" s="340"/>
      <c r="J256" s="340"/>
      <c r="K256" s="369"/>
      <c r="L256" s="369"/>
      <c r="M256" s="369"/>
      <c r="N256" s="369"/>
      <c r="O256" s="369"/>
      <c r="P256" s="369"/>
      <c r="Q256" s="369"/>
      <c r="R256" s="369"/>
      <c r="S256" s="369"/>
      <c r="T256" s="369"/>
    </row>
    <row r="302" spans="2:20">
      <c r="B302" s="340"/>
      <c r="C302" s="340"/>
      <c r="D302" s="340"/>
      <c r="E302" s="340"/>
      <c r="F302" s="340"/>
      <c r="G302" s="340"/>
      <c r="H302" s="340"/>
      <c r="I302" s="340"/>
      <c r="J302" s="340"/>
      <c r="K302" s="369"/>
      <c r="L302" s="369"/>
      <c r="M302" s="369"/>
      <c r="N302" s="369"/>
      <c r="O302" s="369"/>
      <c r="P302" s="369"/>
      <c r="Q302" s="369"/>
      <c r="R302" s="369"/>
      <c r="S302" s="369"/>
      <c r="T302" s="369"/>
    </row>
    <row r="303" spans="2:20">
      <c r="B303" s="340"/>
      <c r="C303" s="340"/>
      <c r="D303" s="340"/>
      <c r="E303" s="340"/>
      <c r="F303" s="340"/>
      <c r="G303" s="340"/>
      <c r="H303" s="340"/>
      <c r="I303" s="340"/>
      <c r="J303" s="340"/>
      <c r="K303" s="369"/>
      <c r="L303" s="369"/>
      <c r="M303" s="369"/>
      <c r="N303" s="369"/>
      <c r="O303" s="369"/>
      <c r="P303" s="369"/>
      <c r="Q303" s="369"/>
      <c r="R303" s="369"/>
      <c r="S303" s="369"/>
      <c r="T303" s="369"/>
    </row>
    <row r="304" spans="2:20">
      <c r="B304" s="340"/>
      <c r="C304" s="340"/>
      <c r="D304" s="340"/>
      <c r="E304" s="340"/>
      <c r="F304" s="340"/>
      <c r="G304" s="340"/>
      <c r="H304" s="340"/>
      <c r="I304" s="340"/>
      <c r="J304" s="340"/>
      <c r="K304" s="369"/>
      <c r="L304" s="369"/>
      <c r="M304" s="369"/>
      <c r="N304" s="369"/>
      <c r="O304" s="369"/>
      <c r="P304" s="369"/>
      <c r="Q304" s="369"/>
      <c r="R304" s="369"/>
      <c r="S304" s="369"/>
      <c r="T304" s="369"/>
    </row>
    <row r="305" spans="2:20">
      <c r="B305" s="340"/>
      <c r="C305" s="340"/>
      <c r="D305" s="340"/>
      <c r="E305" s="340"/>
      <c r="F305" s="340"/>
      <c r="G305" s="340"/>
      <c r="H305" s="340"/>
      <c r="I305" s="340"/>
      <c r="J305" s="340"/>
      <c r="K305" s="369"/>
      <c r="L305" s="369"/>
      <c r="M305" s="369"/>
      <c r="N305" s="369"/>
      <c r="O305" s="369"/>
      <c r="P305" s="369"/>
      <c r="Q305" s="369"/>
      <c r="R305" s="369"/>
      <c r="S305" s="369"/>
      <c r="T305" s="369"/>
    </row>
    <row r="306" spans="2:20">
      <c r="B306" s="340"/>
      <c r="C306" s="340"/>
      <c r="D306" s="340"/>
      <c r="E306" s="340"/>
      <c r="F306" s="340"/>
      <c r="G306" s="340"/>
      <c r="H306" s="340"/>
      <c r="I306" s="340"/>
      <c r="J306" s="340"/>
      <c r="K306" s="369"/>
      <c r="L306" s="369"/>
      <c r="M306" s="369"/>
      <c r="N306" s="369"/>
      <c r="O306" s="369"/>
      <c r="P306" s="369"/>
      <c r="Q306" s="369"/>
      <c r="R306" s="369"/>
      <c r="S306" s="369"/>
      <c r="T306" s="369"/>
    </row>
    <row r="307" spans="2:20">
      <c r="B307" s="340"/>
      <c r="C307" s="340"/>
      <c r="D307" s="340"/>
      <c r="E307" s="340"/>
      <c r="F307" s="340"/>
      <c r="G307" s="340"/>
      <c r="H307" s="340"/>
      <c r="I307" s="340"/>
      <c r="J307" s="340"/>
      <c r="K307" s="369"/>
      <c r="L307" s="369"/>
      <c r="M307" s="369"/>
      <c r="N307" s="369"/>
      <c r="O307" s="369"/>
      <c r="P307" s="369"/>
      <c r="Q307" s="369"/>
      <c r="R307" s="369"/>
      <c r="S307" s="369"/>
      <c r="T307" s="369"/>
    </row>
    <row r="308" spans="2:20">
      <c r="B308" s="340"/>
      <c r="C308" s="340"/>
      <c r="D308" s="340"/>
      <c r="E308" s="340"/>
      <c r="F308" s="340"/>
      <c r="G308" s="340"/>
      <c r="H308" s="340"/>
      <c r="I308" s="340"/>
      <c r="J308" s="340"/>
      <c r="K308" s="369"/>
      <c r="L308" s="369"/>
      <c r="M308" s="369"/>
      <c r="N308" s="369"/>
      <c r="O308" s="369"/>
      <c r="P308" s="369"/>
      <c r="Q308" s="369"/>
      <c r="R308" s="369"/>
      <c r="S308" s="369"/>
      <c r="T308" s="369"/>
    </row>
    <row r="309" spans="2:20">
      <c r="B309" s="340"/>
      <c r="C309" s="340"/>
      <c r="D309" s="340"/>
      <c r="E309" s="340"/>
      <c r="F309" s="340"/>
      <c r="G309" s="340"/>
      <c r="H309" s="340"/>
      <c r="I309" s="340"/>
      <c r="J309" s="340"/>
      <c r="K309" s="369"/>
      <c r="L309" s="369"/>
      <c r="M309" s="369"/>
      <c r="N309" s="369"/>
      <c r="O309" s="369"/>
      <c r="P309" s="369"/>
      <c r="Q309" s="369"/>
      <c r="R309" s="369"/>
      <c r="S309" s="369"/>
      <c r="T309" s="369"/>
    </row>
    <row r="310" spans="2:20">
      <c r="B310" s="340"/>
      <c r="C310" s="340"/>
      <c r="D310" s="340"/>
      <c r="E310" s="340"/>
      <c r="F310" s="340"/>
      <c r="G310" s="340"/>
      <c r="H310" s="340"/>
      <c r="I310" s="340"/>
      <c r="J310" s="340"/>
      <c r="K310" s="369"/>
      <c r="L310" s="369"/>
      <c r="M310" s="369"/>
      <c r="N310" s="369"/>
      <c r="O310" s="369"/>
      <c r="P310" s="369"/>
      <c r="Q310" s="369"/>
      <c r="R310" s="369"/>
      <c r="S310" s="369"/>
      <c r="T310" s="369"/>
    </row>
    <row r="311" spans="2:20">
      <c r="B311" s="340"/>
      <c r="C311" s="340"/>
      <c r="D311" s="340"/>
      <c r="E311" s="340"/>
      <c r="F311" s="340"/>
      <c r="G311" s="340"/>
      <c r="H311" s="340"/>
      <c r="I311" s="340"/>
      <c r="J311" s="340"/>
      <c r="K311" s="369"/>
      <c r="L311" s="369"/>
      <c r="M311" s="369"/>
      <c r="N311" s="369"/>
      <c r="O311" s="369"/>
      <c r="P311" s="369"/>
      <c r="Q311" s="369"/>
      <c r="R311" s="369"/>
      <c r="S311" s="369"/>
      <c r="T311" s="369"/>
    </row>
    <row r="312" spans="2:20">
      <c r="B312" s="340"/>
      <c r="C312" s="340"/>
      <c r="D312" s="340"/>
      <c r="E312" s="340"/>
      <c r="F312" s="340"/>
      <c r="G312" s="340"/>
      <c r="H312" s="340"/>
      <c r="I312" s="340"/>
      <c r="J312" s="340"/>
      <c r="K312" s="369"/>
      <c r="L312" s="369"/>
      <c r="M312" s="369"/>
      <c r="N312" s="369"/>
      <c r="O312" s="369"/>
      <c r="P312" s="369"/>
      <c r="Q312" s="369"/>
      <c r="R312" s="369"/>
      <c r="S312" s="369"/>
      <c r="T312" s="369"/>
    </row>
    <row r="313" spans="2:20">
      <c r="B313" s="340"/>
      <c r="C313" s="340"/>
      <c r="D313" s="340"/>
      <c r="E313" s="340"/>
      <c r="F313" s="340"/>
      <c r="G313" s="340"/>
      <c r="H313" s="340"/>
      <c r="I313" s="340"/>
      <c r="J313" s="340"/>
      <c r="K313" s="369"/>
      <c r="L313" s="369"/>
      <c r="M313" s="369"/>
      <c r="N313" s="369"/>
      <c r="O313" s="369"/>
      <c r="P313" s="369"/>
      <c r="Q313" s="369"/>
      <c r="R313" s="369"/>
      <c r="S313" s="369"/>
      <c r="T313" s="369"/>
    </row>
    <row r="314" spans="2:20">
      <c r="B314" s="340"/>
      <c r="C314" s="340"/>
      <c r="D314" s="340"/>
      <c r="E314" s="340"/>
      <c r="F314" s="340"/>
      <c r="G314" s="340"/>
      <c r="H314" s="340"/>
      <c r="I314" s="340"/>
      <c r="J314" s="340"/>
      <c r="K314" s="369"/>
      <c r="L314" s="369"/>
      <c r="M314" s="369"/>
      <c r="N314" s="369"/>
      <c r="O314" s="369"/>
      <c r="P314" s="369"/>
      <c r="Q314" s="369"/>
      <c r="R314" s="369"/>
      <c r="S314" s="369"/>
      <c r="T314" s="369"/>
    </row>
    <row r="315" spans="2:20">
      <c r="B315" s="340"/>
      <c r="C315" s="340"/>
      <c r="D315" s="340"/>
      <c r="E315" s="340"/>
      <c r="F315" s="340"/>
      <c r="G315" s="340"/>
      <c r="H315" s="340"/>
      <c r="I315" s="340"/>
      <c r="J315" s="340"/>
      <c r="K315" s="369"/>
      <c r="L315" s="369"/>
      <c r="M315" s="369"/>
      <c r="N315" s="369"/>
      <c r="O315" s="369"/>
      <c r="P315" s="369"/>
      <c r="Q315" s="369"/>
      <c r="R315" s="369"/>
      <c r="S315" s="369"/>
      <c r="T315" s="369"/>
    </row>
    <row r="316" spans="2:20">
      <c r="B316" s="340"/>
      <c r="C316" s="340"/>
      <c r="D316" s="340"/>
      <c r="E316" s="340"/>
      <c r="F316" s="340"/>
      <c r="G316" s="340"/>
      <c r="H316" s="340"/>
      <c r="I316" s="340"/>
      <c r="J316" s="340"/>
      <c r="K316" s="369"/>
      <c r="L316" s="369"/>
      <c r="M316" s="369"/>
      <c r="N316" s="369"/>
      <c r="O316" s="369"/>
      <c r="P316" s="369"/>
      <c r="Q316" s="369"/>
      <c r="R316" s="369"/>
      <c r="S316" s="369"/>
      <c r="T316" s="369"/>
    </row>
    <row r="317" spans="2:20">
      <c r="B317" s="340"/>
      <c r="C317" s="340"/>
      <c r="D317" s="340"/>
      <c r="E317" s="340"/>
      <c r="F317" s="340"/>
      <c r="G317" s="340"/>
      <c r="H317" s="340"/>
      <c r="I317" s="340"/>
      <c r="J317" s="340"/>
      <c r="K317" s="369"/>
      <c r="L317" s="369"/>
      <c r="M317" s="369"/>
      <c r="N317" s="369"/>
      <c r="O317" s="369"/>
      <c r="P317" s="369"/>
      <c r="Q317" s="369"/>
      <c r="R317" s="369"/>
      <c r="S317" s="369"/>
      <c r="T317" s="369"/>
    </row>
    <row r="318" spans="2:20">
      <c r="B318" s="340"/>
      <c r="C318" s="340"/>
      <c r="D318" s="340"/>
      <c r="E318" s="340"/>
      <c r="F318" s="340"/>
      <c r="G318" s="340"/>
      <c r="H318" s="340"/>
      <c r="I318" s="340"/>
      <c r="J318" s="340"/>
      <c r="K318" s="369"/>
      <c r="L318" s="369"/>
      <c r="M318" s="369"/>
      <c r="N318" s="369"/>
      <c r="O318" s="369"/>
      <c r="P318" s="369"/>
      <c r="Q318" s="369"/>
      <c r="R318" s="369"/>
      <c r="S318" s="369"/>
      <c r="T318" s="369"/>
    </row>
    <row r="319" spans="2:20">
      <c r="B319" s="340"/>
      <c r="C319" s="340"/>
      <c r="D319" s="340"/>
      <c r="E319" s="340"/>
      <c r="F319" s="340"/>
      <c r="G319" s="340"/>
      <c r="H319" s="340"/>
      <c r="I319" s="340"/>
      <c r="J319" s="340"/>
      <c r="K319" s="369"/>
      <c r="L319" s="369"/>
      <c r="M319" s="369"/>
      <c r="N319" s="369"/>
      <c r="O319" s="369"/>
      <c r="P319" s="369"/>
      <c r="Q319" s="369"/>
      <c r="R319" s="369"/>
      <c r="S319" s="369"/>
      <c r="T319" s="369"/>
    </row>
    <row r="320" spans="2:20">
      <c r="B320" s="340"/>
      <c r="C320" s="340"/>
      <c r="D320" s="340"/>
      <c r="E320" s="340"/>
      <c r="F320" s="340"/>
      <c r="G320" s="340"/>
      <c r="H320" s="340"/>
      <c r="I320" s="340"/>
      <c r="J320" s="340"/>
      <c r="K320" s="369"/>
      <c r="L320" s="369"/>
      <c r="M320" s="369"/>
      <c r="N320" s="369"/>
      <c r="O320" s="369"/>
      <c r="P320" s="369"/>
      <c r="Q320" s="369"/>
      <c r="R320" s="369"/>
      <c r="S320" s="369"/>
      <c r="T320" s="369"/>
    </row>
    <row r="321" spans="2:20">
      <c r="B321" s="340"/>
      <c r="C321" s="340"/>
      <c r="D321" s="340"/>
      <c r="E321" s="340"/>
      <c r="F321" s="340"/>
      <c r="G321" s="340"/>
      <c r="H321" s="340"/>
      <c r="I321" s="340"/>
      <c r="J321" s="340"/>
      <c r="K321" s="369"/>
      <c r="L321" s="369"/>
      <c r="M321" s="369"/>
      <c r="N321" s="369"/>
      <c r="O321" s="369"/>
      <c r="P321" s="369"/>
      <c r="Q321" s="369"/>
      <c r="R321" s="369"/>
      <c r="S321" s="369"/>
      <c r="T321" s="369"/>
    </row>
    <row r="322" spans="2:20">
      <c r="B322" s="340"/>
      <c r="C322" s="340"/>
      <c r="D322" s="340"/>
      <c r="E322" s="340"/>
      <c r="F322" s="340"/>
      <c r="G322" s="340"/>
      <c r="H322" s="340"/>
      <c r="I322" s="340"/>
      <c r="J322" s="340"/>
      <c r="K322" s="369"/>
      <c r="L322" s="369"/>
      <c r="M322" s="369"/>
      <c r="N322" s="369"/>
      <c r="O322" s="369"/>
      <c r="P322" s="369"/>
      <c r="Q322" s="369"/>
      <c r="R322" s="369"/>
      <c r="S322" s="369"/>
      <c r="T322" s="369"/>
    </row>
    <row r="323" spans="2:20">
      <c r="B323" s="340"/>
      <c r="C323" s="340"/>
      <c r="D323" s="340"/>
      <c r="E323" s="340"/>
      <c r="F323" s="340"/>
      <c r="G323" s="340"/>
      <c r="H323" s="340"/>
      <c r="I323" s="340"/>
      <c r="J323" s="340"/>
      <c r="K323" s="369"/>
      <c r="L323" s="369"/>
      <c r="M323" s="369"/>
      <c r="N323" s="369"/>
      <c r="O323" s="369"/>
      <c r="P323" s="369"/>
      <c r="Q323" s="369"/>
      <c r="R323" s="369"/>
      <c r="S323" s="369"/>
      <c r="T323" s="369"/>
    </row>
    <row r="324" spans="2:20">
      <c r="B324" s="340"/>
      <c r="C324" s="340"/>
      <c r="D324" s="340"/>
      <c r="E324" s="340"/>
      <c r="F324" s="340"/>
      <c r="G324" s="340"/>
      <c r="H324" s="340"/>
      <c r="I324" s="340"/>
      <c r="J324" s="340"/>
      <c r="K324" s="369"/>
      <c r="L324" s="369"/>
      <c r="M324" s="369"/>
      <c r="N324" s="369"/>
      <c r="O324" s="369"/>
      <c r="P324" s="369"/>
      <c r="Q324" s="369"/>
      <c r="R324" s="369"/>
      <c r="S324" s="369"/>
      <c r="T324" s="369"/>
    </row>
    <row r="325" spans="2:20">
      <c r="B325" s="340"/>
      <c r="C325" s="340"/>
      <c r="D325" s="340"/>
      <c r="E325" s="340"/>
      <c r="F325" s="340"/>
      <c r="G325" s="340"/>
      <c r="H325" s="340"/>
      <c r="I325" s="340"/>
      <c r="J325" s="340"/>
      <c r="K325" s="369"/>
      <c r="L325" s="369"/>
      <c r="M325" s="369"/>
      <c r="N325" s="369"/>
      <c r="O325" s="369"/>
      <c r="P325" s="369"/>
      <c r="Q325" s="369"/>
      <c r="R325" s="369"/>
      <c r="S325" s="369"/>
      <c r="T325" s="369"/>
    </row>
    <row r="326" spans="2:20">
      <c r="B326" s="340"/>
      <c r="C326" s="340"/>
      <c r="D326" s="340"/>
      <c r="E326" s="340"/>
      <c r="F326" s="340"/>
      <c r="G326" s="340"/>
      <c r="H326" s="340"/>
      <c r="I326" s="340"/>
      <c r="J326" s="340"/>
      <c r="K326" s="369"/>
      <c r="L326" s="369"/>
      <c r="M326" s="369"/>
      <c r="N326" s="369"/>
      <c r="O326" s="369"/>
      <c r="P326" s="369"/>
      <c r="Q326" s="369"/>
      <c r="R326" s="369"/>
      <c r="S326" s="369"/>
      <c r="T326" s="369"/>
    </row>
    <row r="327" spans="2:20">
      <c r="B327" s="340"/>
      <c r="C327" s="340"/>
      <c r="D327" s="340"/>
      <c r="E327" s="340"/>
      <c r="F327" s="340"/>
      <c r="G327" s="340"/>
      <c r="H327" s="340"/>
      <c r="I327" s="340"/>
      <c r="J327" s="340"/>
      <c r="K327" s="369"/>
      <c r="L327" s="369"/>
      <c r="M327" s="369"/>
      <c r="N327" s="369"/>
      <c r="O327" s="369"/>
      <c r="P327" s="369"/>
      <c r="Q327" s="369"/>
      <c r="R327" s="369"/>
      <c r="S327" s="369"/>
      <c r="T327" s="369"/>
    </row>
    <row r="328" spans="2:20">
      <c r="B328" s="340"/>
      <c r="C328" s="340"/>
      <c r="D328" s="340"/>
      <c r="E328" s="340"/>
      <c r="F328" s="340"/>
      <c r="G328" s="340"/>
      <c r="H328" s="340"/>
      <c r="I328" s="340"/>
      <c r="J328" s="340"/>
      <c r="K328" s="369"/>
      <c r="L328" s="369"/>
      <c r="M328" s="369"/>
      <c r="N328" s="369"/>
      <c r="O328" s="369"/>
      <c r="P328" s="369"/>
      <c r="Q328" s="369"/>
      <c r="R328" s="369"/>
      <c r="S328" s="369"/>
      <c r="T328" s="369"/>
    </row>
    <row r="329" spans="2:20">
      <c r="B329" s="340"/>
      <c r="C329" s="340"/>
      <c r="D329" s="340"/>
      <c r="E329" s="340"/>
      <c r="F329" s="340"/>
      <c r="G329" s="340"/>
      <c r="H329" s="340"/>
      <c r="I329" s="340"/>
      <c r="J329" s="340"/>
      <c r="K329" s="369"/>
      <c r="L329" s="369"/>
      <c r="M329" s="369"/>
      <c r="N329" s="369"/>
      <c r="O329" s="369"/>
      <c r="P329" s="369"/>
      <c r="Q329" s="369"/>
      <c r="R329" s="369"/>
      <c r="S329" s="369"/>
      <c r="T329" s="369"/>
    </row>
    <row r="330" spans="2:20">
      <c r="B330" s="340"/>
      <c r="C330" s="340"/>
      <c r="D330" s="340"/>
      <c r="E330" s="340"/>
      <c r="F330" s="340"/>
      <c r="G330" s="340"/>
      <c r="H330" s="340"/>
      <c r="I330" s="340"/>
      <c r="J330" s="340"/>
      <c r="K330" s="369"/>
      <c r="L330" s="369"/>
      <c r="M330" s="369"/>
      <c r="N330" s="369"/>
      <c r="O330" s="369"/>
      <c r="P330" s="369"/>
      <c r="Q330" s="369"/>
      <c r="R330" s="369"/>
      <c r="S330" s="369"/>
      <c r="T330" s="369"/>
    </row>
    <row r="331" spans="2:20">
      <c r="B331" s="340"/>
      <c r="C331" s="340"/>
      <c r="D331" s="340"/>
      <c r="E331" s="340"/>
      <c r="F331" s="340"/>
      <c r="G331" s="340"/>
      <c r="H331" s="340"/>
      <c r="I331" s="340"/>
      <c r="J331" s="340"/>
      <c r="K331" s="369"/>
      <c r="L331" s="369"/>
      <c r="M331" s="369"/>
      <c r="N331" s="369"/>
      <c r="O331" s="369"/>
      <c r="P331" s="369"/>
      <c r="Q331" s="369"/>
      <c r="R331" s="369"/>
      <c r="S331" s="369"/>
      <c r="T331" s="369"/>
    </row>
    <row r="332" spans="2:20">
      <c r="B332" s="340"/>
      <c r="C332" s="340"/>
      <c r="D332" s="340"/>
      <c r="E332" s="340"/>
      <c r="F332" s="340"/>
      <c r="G332" s="340"/>
      <c r="H332" s="340"/>
      <c r="I332" s="340"/>
      <c r="J332" s="340"/>
      <c r="K332" s="369"/>
      <c r="L332" s="369"/>
      <c r="M332" s="369"/>
      <c r="N332" s="369"/>
      <c r="O332" s="369"/>
      <c r="P332" s="369"/>
      <c r="Q332" s="369"/>
      <c r="R332" s="369"/>
      <c r="S332" s="369"/>
      <c r="T332" s="369"/>
    </row>
    <row r="333" spans="2:20">
      <c r="B333" s="340"/>
      <c r="C333" s="340"/>
      <c r="D333" s="340"/>
      <c r="E333" s="340"/>
      <c r="F333" s="340"/>
      <c r="G333" s="340"/>
      <c r="H333" s="340"/>
      <c r="I333" s="340"/>
      <c r="J333" s="340"/>
      <c r="K333" s="369"/>
      <c r="L333" s="369"/>
      <c r="M333" s="369"/>
      <c r="N333" s="369"/>
      <c r="O333" s="369"/>
      <c r="P333" s="369"/>
      <c r="Q333" s="369"/>
      <c r="R333" s="369"/>
      <c r="S333" s="369"/>
      <c r="T333" s="369"/>
    </row>
    <row r="334" spans="2:20">
      <c r="B334" s="340"/>
      <c r="C334" s="340"/>
      <c r="D334" s="340"/>
      <c r="E334" s="340"/>
      <c r="F334" s="340"/>
      <c r="G334" s="340"/>
      <c r="H334" s="340"/>
      <c r="I334" s="340"/>
      <c r="J334" s="340"/>
      <c r="K334" s="369"/>
      <c r="L334" s="369"/>
      <c r="M334" s="369"/>
      <c r="N334" s="369"/>
      <c r="O334" s="369"/>
      <c r="P334" s="369"/>
      <c r="Q334" s="369"/>
      <c r="R334" s="369"/>
      <c r="S334" s="369"/>
      <c r="T334" s="369"/>
    </row>
    <row r="335" spans="2:20">
      <c r="B335" s="340"/>
      <c r="C335" s="340"/>
      <c r="D335" s="340"/>
      <c r="E335" s="340"/>
      <c r="F335" s="340"/>
      <c r="G335" s="340"/>
      <c r="H335" s="340"/>
      <c r="I335" s="340"/>
      <c r="J335" s="340"/>
      <c r="K335" s="369"/>
      <c r="L335" s="369"/>
      <c r="M335" s="369"/>
      <c r="N335" s="369"/>
      <c r="O335" s="369"/>
      <c r="P335" s="369"/>
      <c r="Q335" s="369"/>
      <c r="R335" s="369"/>
      <c r="S335" s="369"/>
      <c r="T335" s="369"/>
    </row>
    <row r="336" spans="2:20">
      <c r="B336" s="340"/>
      <c r="C336" s="340"/>
      <c r="D336" s="340"/>
      <c r="E336" s="340"/>
      <c r="F336" s="340"/>
      <c r="G336" s="340"/>
      <c r="H336" s="340"/>
      <c r="I336" s="340"/>
      <c r="J336" s="340"/>
      <c r="K336" s="369"/>
      <c r="L336" s="369"/>
      <c r="M336" s="369"/>
      <c r="N336" s="369"/>
      <c r="O336" s="369"/>
      <c r="P336" s="369"/>
      <c r="Q336" s="369"/>
      <c r="R336" s="369"/>
      <c r="S336" s="369"/>
      <c r="T336" s="369"/>
    </row>
    <row r="337" spans="2:20">
      <c r="B337" s="340"/>
      <c r="C337" s="340"/>
      <c r="D337" s="340"/>
      <c r="E337" s="340"/>
      <c r="F337" s="340"/>
      <c r="G337" s="340"/>
      <c r="H337" s="340"/>
      <c r="I337" s="340"/>
      <c r="J337" s="340"/>
      <c r="K337" s="369"/>
      <c r="L337" s="369"/>
      <c r="M337" s="369"/>
      <c r="N337" s="369"/>
      <c r="O337" s="369"/>
      <c r="P337" s="369"/>
      <c r="Q337" s="369"/>
      <c r="R337" s="369"/>
      <c r="S337" s="369"/>
      <c r="T337" s="369"/>
    </row>
    <row r="338" spans="2:20">
      <c r="B338" s="340"/>
      <c r="C338" s="340"/>
      <c r="D338" s="340"/>
      <c r="E338" s="340"/>
      <c r="F338" s="340"/>
      <c r="G338" s="340"/>
      <c r="H338" s="340"/>
      <c r="I338" s="340"/>
      <c r="J338" s="340"/>
      <c r="K338" s="369"/>
      <c r="L338" s="369"/>
      <c r="M338" s="369"/>
      <c r="N338" s="369"/>
      <c r="O338" s="369"/>
      <c r="P338" s="369"/>
      <c r="Q338" s="369"/>
      <c r="R338" s="369"/>
      <c r="S338" s="369"/>
      <c r="T338" s="369"/>
    </row>
    <row r="339" spans="2:20">
      <c r="B339" s="340"/>
      <c r="C339" s="340"/>
      <c r="D339" s="340"/>
      <c r="E339" s="340"/>
      <c r="F339" s="340"/>
      <c r="G339" s="340"/>
      <c r="H339" s="340"/>
      <c r="I339" s="340"/>
      <c r="J339" s="340"/>
      <c r="K339" s="369"/>
      <c r="L339" s="369"/>
      <c r="M339" s="369"/>
      <c r="N339" s="369"/>
      <c r="O339" s="369"/>
      <c r="P339" s="369"/>
      <c r="Q339" s="369"/>
      <c r="R339" s="369"/>
      <c r="S339" s="369"/>
      <c r="T339" s="369"/>
    </row>
  </sheetData>
  <sheetProtection sheet="1"/>
  <mergeCells count="204">
    <mergeCell ref="N1:R1"/>
    <mergeCell ref="O67:P67"/>
    <mergeCell ref="N98:R98"/>
    <mergeCell ref="B107:L107"/>
    <mergeCell ref="B108:L108"/>
    <mergeCell ref="N108:R108"/>
    <mergeCell ref="B109:L109"/>
    <mergeCell ref="N109:O109"/>
    <mergeCell ref="Q109:R109"/>
    <mergeCell ref="B110:L110"/>
    <mergeCell ref="B111:L111"/>
    <mergeCell ref="B112:L112"/>
    <mergeCell ref="B113:L113"/>
    <mergeCell ref="B114:L114"/>
    <mergeCell ref="B115:L115"/>
    <mergeCell ref="B116:L116"/>
    <mergeCell ref="Q116:R116"/>
    <mergeCell ref="B117:L117"/>
    <mergeCell ref="Q117:R117"/>
    <mergeCell ref="B118:L118"/>
    <mergeCell ref="B119:L119"/>
    <mergeCell ref="N123:T123"/>
    <mergeCell ref="D146:E146"/>
    <mergeCell ref="F146:I146"/>
    <mergeCell ref="K146:M146"/>
    <mergeCell ref="O146:P146"/>
    <mergeCell ref="R146:T146"/>
    <mergeCell ref="N163:T163"/>
    <mergeCell ref="N164:T164"/>
    <mergeCell ref="B184:E184"/>
    <mergeCell ref="M184:N184"/>
    <mergeCell ref="O184:P184"/>
    <mergeCell ref="Q184:R184"/>
    <mergeCell ref="S184:T184"/>
    <mergeCell ref="C187:E187"/>
    <mergeCell ref="C188:E188"/>
    <mergeCell ref="M188:T188"/>
    <mergeCell ref="C189:E189"/>
    <mergeCell ref="B190:E190"/>
    <mergeCell ref="B191:K191"/>
    <mergeCell ref="B192:K192"/>
    <mergeCell ref="B193:K193"/>
    <mergeCell ref="B195:C195"/>
    <mergeCell ref="D195:E195"/>
    <mergeCell ref="F195:I195"/>
    <mergeCell ref="J195:T195"/>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B210:B215"/>
    <mergeCell ref="B239:B246"/>
    <mergeCell ref="K205:K206"/>
    <mergeCell ref="K229:K233"/>
    <mergeCell ref="M2:M29"/>
    <mergeCell ref="M30:M45"/>
    <mergeCell ref="M46:M56"/>
    <mergeCell ref="M57:M66"/>
    <mergeCell ref="M67:M75"/>
    <mergeCell ref="M76:M81"/>
    <mergeCell ref="M82:M89"/>
    <mergeCell ref="M90:M105"/>
    <mergeCell ref="N30:N37"/>
    <mergeCell ref="N38:N45"/>
    <mergeCell ref="N46:N56"/>
    <mergeCell ref="N57:N66"/>
    <mergeCell ref="N67:N89"/>
    <mergeCell ref="N124:N125"/>
    <mergeCell ref="N126:N127"/>
    <mergeCell ref="N128:N132"/>
    <mergeCell ref="N133:N140"/>
    <mergeCell ref="N220:N221"/>
    <mergeCell ref="N229:N230"/>
    <mergeCell ref="O57:O66"/>
    <mergeCell ref="O228:O230"/>
    <mergeCell ref="P57:P66"/>
    <mergeCell ref="P226:P227"/>
    <mergeCell ref="Q226:Q229"/>
    <mergeCell ref="R220:R221"/>
    <mergeCell ref="T205:T206"/>
    <mergeCell ref="C138:D140"/>
    <mergeCell ref="M185:N187"/>
    <mergeCell ref="O185:P187"/>
    <mergeCell ref="Q185:R187"/>
    <mergeCell ref="S185:T187"/>
    <mergeCell ref="O207:Q209"/>
    <mergeCell ref="E210:F213"/>
    <mergeCell ref="G210:H213"/>
    <mergeCell ref="F147:I155"/>
    <mergeCell ref="N22:R25"/>
    <mergeCell ref="N15:R17"/>
    <mergeCell ref="N18:R21"/>
    <mergeCell ref="N118:O119"/>
    <mergeCell ref="N120:O121"/>
    <mergeCell ref="E129:L131"/>
    <mergeCell ref="K207:M209"/>
    <mergeCell ref="O203:Q205"/>
    <mergeCell ref="S220:T222"/>
    <mergeCell ref="E138:L140"/>
    <mergeCell ref="C129:D131"/>
    <mergeCell ref="E225:H233"/>
    <mergeCell ref="Q233:T240"/>
    <mergeCell ref="N95:O97"/>
    <mergeCell ref="C185:E186"/>
    <mergeCell ref="Q99:R105"/>
    <mergeCell ref="N90:O94"/>
    <mergeCell ref="C157:D158"/>
    <mergeCell ref="K157:L158"/>
    <mergeCell ref="B142:T144"/>
    <mergeCell ref="C132:D134"/>
    <mergeCell ref="E135:L137"/>
    <mergeCell ref="M182:T183"/>
    <mergeCell ref="R159:T160"/>
    <mergeCell ref="C200:E201"/>
    <mergeCell ref="O220:Q222"/>
    <mergeCell ref="Q224:T225"/>
    <mergeCell ref="N159:Q160"/>
    <mergeCell ref="F157:J158"/>
    <mergeCell ref="N110:O111"/>
    <mergeCell ref="O124:T125"/>
    <mergeCell ref="B182:K183"/>
    <mergeCell ref="Q110:R111"/>
    <mergeCell ref="B170:C171"/>
    <mergeCell ref="B228:C233"/>
    <mergeCell ref="N11:R14"/>
    <mergeCell ref="M231:O232"/>
    <mergeCell ref="K226:N228"/>
    <mergeCell ref="O217:Q218"/>
    <mergeCell ref="K147:M155"/>
    <mergeCell ref="N115:O116"/>
    <mergeCell ref="E121:L122"/>
    <mergeCell ref="F159:J168"/>
    <mergeCell ref="I170:L171"/>
    <mergeCell ref="Q170:T171"/>
    <mergeCell ref="B196:T198"/>
    <mergeCell ref="K224:N225"/>
    <mergeCell ref="Q230:T231"/>
    <mergeCell ref="E126:L128"/>
    <mergeCell ref="B217:C223"/>
    <mergeCell ref="B225:C226"/>
    <mergeCell ref="O126:T127"/>
    <mergeCell ref="R165:T168"/>
    <mergeCell ref="D172:G180"/>
    <mergeCell ref="S211:T214"/>
    <mergeCell ref="Q94:R97"/>
    <mergeCell ref="I172:O180"/>
    <mergeCell ref="O30:P45"/>
    <mergeCell ref="Q118:R119"/>
    <mergeCell ref="O133:T140"/>
    <mergeCell ref="K218:M221"/>
    <mergeCell ref="Q120:R121"/>
    <mergeCell ref="R147:T155"/>
    <mergeCell ref="N2:R10"/>
    <mergeCell ref="O211:Q214"/>
    <mergeCell ref="O46:P56"/>
    <mergeCell ref="O82:P89"/>
    <mergeCell ref="E132:L134"/>
    <mergeCell ref="C205:D206"/>
    <mergeCell ref="B172:C180"/>
    <mergeCell ref="S226:T229"/>
    <mergeCell ref="N161:T162"/>
    <mergeCell ref="N200:R201"/>
    <mergeCell ref="K159:L168"/>
    <mergeCell ref="M170:O171"/>
    <mergeCell ref="S207:T209"/>
    <mergeCell ref="D147:E155"/>
    <mergeCell ref="C121:D122"/>
    <mergeCell ref="E123:L125"/>
    <mergeCell ref="C123:D125"/>
    <mergeCell ref="K234:O236"/>
    <mergeCell ref="Q67:R89"/>
    <mergeCell ref="C135:D137"/>
    <mergeCell ref="O68:P81"/>
    <mergeCell ref="N99:P105"/>
    <mergeCell ref="K211:M214"/>
    <mergeCell ref="Q114:R115"/>
    <mergeCell ref="O147:P155"/>
    <mergeCell ref="N165:Q168"/>
    <mergeCell ref="N157:T158"/>
    <mergeCell ref="Q90:R93"/>
    <mergeCell ref="F184:K190"/>
    <mergeCell ref="D170:G171"/>
    <mergeCell ref="O128:T132"/>
    <mergeCell ref="Q112:R113"/>
    <mergeCell ref="M189:T193"/>
    <mergeCell ref="C126:D128"/>
    <mergeCell ref="C159:D161"/>
    <mergeCell ref="E203:H208"/>
    <mergeCell ref="O224:P225"/>
    <mergeCell ref="C214:D215"/>
    <mergeCell ref="E215:H223"/>
    <mergeCell ref="Q172:T180"/>
  </mergeCells>
  <conditionalFormatting sqref="B2:B105">
    <cfRule type="containsText" dxfId="5" priority="1" operator="between" text="-">
      <formula>NOT(ISERROR(SEARCH("-",B2)))</formula>
    </cfRule>
  </conditionalFormatting>
  <dataValidations count="1">
    <dataValidation type="list" allowBlank="1" showInputMessage="1" showErrorMessage="1" sqref="M185:N187">
      <formula1>附表!$I$38:$I$49</formula1>
    </dataValidation>
  </dataValidations>
  <pageMargins left="0.75" right="0.75" top="1" bottom="1" header="0.509027777777778" footer="0.509027777777778"/>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55"/>
  <sheetViews>
    <sheetView showGridLines="0" showRowColHeaders="0" workbookViewId="0">
      <pane ySplit="1" topLeftCell="A8" activePane="bottomLeft" state="frozen"/>
      <selection/>
      <selection pane="bottomLeft" activeCell="A1" sqref="A1"/>
    </sheetView>
  </sheetViews>
  <sheetFormatPr defaultColWidth="9" defaultRowHeight="16.8"/>
  <cols>
    <col min="1" max="1" width="3.36538461538462" style="128" customWidth="1"/>
    <col min="2" max="2" width="28.3653846153846" style="128" customWidth="1"/>
    <col min="3" max="3" width="11" style="128" customWidth="1"/>
    <col min="4" max="4" width="5.63461538461539" style="128" customWidth="1"/>
    <col min="5" max="5" width="16.7307692307692" style="128" customWidth="1"/>
    <col min="6" max="6" width="20" style="128" customWidth="1"/>
    <col min="7" max="7" width="4.73076923076923" style="128" customWidth="1"/>
    <col min="8" max="8" width="11.7307692307692" style="128" customWidth="1"/>
    <col min="9" max="9" width="13" style="129" customWidth="1"/>
    <col min="10" max="10" width="8.63461538461539" style="129" customWidth="1"/>
    <col min="11" max="11" width="9.08653846153846" style="129" customWidth="1"/>
    <col min="12" max="12" width="8.90384615384615" style="129"/>
    <col min="13" max="13" width="16.3653846153846" style="129" customWidth="1"/>
    <col min="14" max="14" width="13.9038461538462" style="129" customWidth="1"/>
    <col min="15" max="15" width="11.9038461538462" style="129" customWidth="1"/>
    <col min="16" max="16" width="8.90384615384615" style="129"/>
    <col min="17" max="17" width="30.4519230769231" style="129" customWidth="1"/>
    <col min="18" max="18" width="18.4519230769231" style="129" customWidth="1"/>
    <col min="19" max="19" width="7.45192307692308" style="129" customWidth="1"/>
    <col min="20" max="20" width="6" style="129" customWidth="1"/>
    <col min="21" max="21" width="10.6346153846154" style="129" customWidth="1"/>
    <col min="22" max="22" width="7.25961538461539" style="129" customWidth="1"/>
    <col min="23" max="23" width="10.4519230769231" style="129" customWidth="1"/>
    <col min="24" max="24" width="13.4519230769231" style="129" customWidth="1"/>
    <col min="25" max="25" width="10.7307692307692" style="129" customWidth="1"/>
    <col min="26" max="26" width="7.73076923076923" style="129" customWidth="1"/>
    <col min="27" max="27" width="9.63461538461538" style="129" customWidth="1"/>
    <col min="28" max="28" width="13" style="129" customWidth="1"/>
    <col min="29" max="32" width="8.90384615384615" style="129"/>
    <col min="33" max="33" width="8.90384615384615" style="129" hidden="1" customWidth="1"/>
    <col min="34" max="34" width="9.63461538461538" style="129" hidden="1" customWidth="1"/>
    <col min="35" max="16382" width="8.90384615384615" style="129" hidden="1" customWidth="1"/>
    <col min="16383" max="16383" width="8.90384615384615" style="130" hidden="1" customWidth="1"/>
    <col min="16384" max="16384" width="8.90384615384615" style="130"/>
  </cols>
  <sheetData>
    <row r="1" ht="22" customHeight="1" spans="2:34">
      <c r="B1" s="131" t="s">
        <v>4978</v>
      </c>
      <c r="C1" s="132" t="s">
        <v>4979</v>
      </c>
      <c r="D1" s="133" t="s">
        <v>4980</v>
      </c>
      <c r="E1" s="132" t="s">
        <v>4981</v>
      </c>
      <c r="F1" s="132" t="s">
        <v>4982</v>
      </c>
      <c r="G1" s="133" t="s">
        <v>4983</v>
      </c>
      <c r="H1" s="132" t="s">
        <v>4422</v>
      </c>
      <c r="I1" s="167" t="s">
        <v>4423</v>
      </c>
      <c r="J1" s="167" t="s">
        <v>168</v>
      </c>
      <c r="K1" s="168" t="s">
        <v>305</v>
      </c>
      <c r="L1" s="168"/>
      <c r="M1" s="168"/>
      <c r="N1" s="168"/>
      <c r="O1" s="168"/>
      <c r="Q1" s="214" t="s">
        <v>4984</v>
      </c>
      <c r="R1" s="215" t="s">
        <v>345</v>
      </c>
      <c r="S1" s="216" t="s">
        <v>4985</v>
      </c>
      <c r="T1" s="216" t="s">
        <v>4986</v>
      </c>
      <c r="U1" s="216" t="s">
        <v>4987</v>
      </c>
      <c r="V1" s="215" t="s">
        <v>4988</v>
      </c>
      <c r="W1" s="215" t="s">
        <v>4989</v>
      </c>
      <c r="X1" s="215" t="s">
        <v>4990</v>
      </c>
      <c r="Y1" s="249" t="s">
        <v>4422</v>
      </c>
      <c r="Z1" s="249" t="s">
        <v>168</v>
      </c>
      <c r="AA1" s="250" t="s">
        <v>305</v>
      </c>
      <c r="AB1" s="250"/>
      <c r="AC1" s="250"/>
      <c r="AD1" s="250"/>
      <c r="AE1" s="250"/>
      <c r="AF1" s="269"/>
      <c r="AG1" s="314"/>
      <c r="AH1" s="314"/>
    </row>
    <row r="2" ht="14.25" customHeight="1" spans="2:34">
      <c r="B2" s="134" t="s">
        <v>4991</v>
      </c>
      <c r="C2" s="135">
        <v>1</v>
      </c>
      <c r="D2" s="135">
        <v>0</v>
      </c>
      <c r="E2" s="135" t="s">
        <v>4992</v>
      </c>
      <c r="F2" s="135" t="s">
        <v>4993</v>
      </c>
      <c r="G2" s="135" t="s">
        <v>181</v>
      </c>
      <c r="H2" s="135" t="s">
        <v>4429</v>
      </c>
      <c r="I2" s="169" t="s">
        <v>4994</v>
      </c>
      <c r="J2" s="170" t="s">
        <v>4995</v>
      </c>
      <c r="K2" s="171" t="s">
        <v>4996</v>
      </c>
      <c r="L2" s="172"/>
      <c r="M2" s="172"/>
      <c r="N2" s="172"/>
      <c r="O2" s="172"/>
      <c r="Q2" s="134" t="s">
        <v>4997</v>
      </c>
      <c r="R2" s="135" t="s">
        <v>116</v>
      </c>
      <c r="S2" s="135">
        <v>13</v>
      </c>
      <c r="T2" s="135">
        <v>4</v>
      </c>
      <c r="U2" s="135">
        <v>1</v>
      </c>
      <c r="V2" s="135" t="s">
        <v>4998</v>
      </c>
      <c r="W2" s="3464" t="s">
        <v>4999</v>
      </c>
      <c r="X2" s="240" t="s">
        <v>5000</v>
      </c>
      <c r="Y2" s="169" t="s">
        <v>4447</v>
      </c>
      <c r="Z2" s="251" t="s">
        <v>3820</v>
      </c>
      <c r="AA2" s="252" t="s">
        <v>5001</v>
      </c>
      <c r="AB2" s="253"/>
      <c r="AC2" s="253"/>
      <c r="AD2" s="261"/>
      <c r="AE2" s="261"/>
      <c r="AF2" s="269"/>
      <c r="AG2" s="182"/>
      <c r="AH2" s="182"/>
    </row>
    <row r="3" ht="14.25" customHeight="1" spans="2:34">
      <c r="B3" s="136" t="s">
        <v>5002</v>
      </c>
      <c r="C3" s="137">
        <v>2</v>
      </c>
      <c r="D3" s="137">
        <v>0</v>
      </c>
      <c r="E3" s="137" t="s">
        <v>1327</v>
      </c>
      <c r="F3" s="137" t="s">
        <v>5003</v>
      </c>
      <c r="G3" s="137" t="s">
        <v>515</v>
      </c>
      <c r="H3" s="137" t="s">
        <v>15</v>
      </c>
      <c r="I3" s="173" t="s">
        <v>4660</v>
      </c>
      <c r="J3" s="170"/>
      <c r="K3" s="171"/>
      <c r="L3" s="172"/>
      <c r="M3" s="172"/>
      <c r="N3" s="172"/>
      <c r="O3" s="172"/>
      <c r="Q3" s="134" t="s">
        <v>5004</v>
      </c>
      <c r="R3" s="135" t="s">
        <v>116</v>
      </c>
      <c r="S3" s="135">
        <v>14</v>
      </c>
      <c r="T3" s="135">
        <v>5</v>
      </c>
      <c r="U3" s="135">
        <v>2</v>
      </c>
      <c r="V3" s="135">
        <v>4</v>
      </c>
      <c r="W3" s="3464" t="s">
        <v>5005</v>
      </c>
      <c r="X3" s="240" t="s">
        <v>5000</v>
      </c>
      <c r="Y3" s="169" t="s">
        <v>4429</v>
      </c>
      <c r="Z3" s="251"/>
      <c r="AA3" s="252"/>
      <c r="AB3" s="253"/>
      <c r="AC3" s="253"/>
      <c r="AD3" s="261"/>
      <c r="AE3" s="261"/>
      <c r="AF3" s="298"/>
      <c r="AG3" s="182"/>
      <c r="AH3" s="182"/>
    </row>
    <row r="4" ht="14.25" customHeight="1" spans="2:34">
      <c r="B4" s="134" t="s">
        <v>5006</v>
      </c>
      <c r="C4" s="135">
        <v>3</v>
      </c>
      <c r="D4" s="135" t="s">
        <v>100</v>
      </c>
      <c r="E4" s="135" t="s">
        <v>100</v>
      </c>
      <c r="F4" s="135" t="s">
        <v>100</v>
      </c>
      <c r="G4" s="135" t="s">
        <v>515</v>
      </c>
      <c r="H4" s="135" t="s">
        <v>100</v>
      </c>
      <c r="I4" s="3465" t="s">
        <v>5007</v>
      </c>
      <c r="J4" s="170"/>
      <c r="K4" s="171"/>
      <c r="L4" s="172"/>
      <c r="M4" s="172"/>
      <c r="N4" s="172"/>
      <c r="O4" s="172"/>
      <c r="Q4" s="138" t="s">
        <v>5008</v>
      </c>
      <c r="R4" s="139" t="s">
        <v>116</v>
      </c>
      <c r="S4" s="139">
        <v>15</v>
      </c>
      <c r="T4" s="139">
        <v>6</v>
      </c>
      <c r="U4" s="139">
        <v>2</v>
      </c>
      <c r="V4" s="139">
        <v>4</v>
      </c>
      <c r="W4" s="3466" t="s">
        <v>5005</v>
      </c>
      <c r="X4" s="241" t="s">
        <v>5000</v>
      </c>
      <c r="Y4" s="174" t="s">
        <v>4447</v>
      </c>
      <c r="Z4" s="251"/>
      <c r="AA4" s="252"/>
      <c r="AB4" s="253"/>
      <c r="AC4" s="253"/>
      <c r="AD4" s="261"/>
      <c r="AE4" s="261"/>
      <c r="AF4" s="269"/>
      <c r="AG4" s="182"/>
      <c r="AH4" s="182"/>
    </row>
    <row r="5" ht="14.25" customHeight="1" spans="2:34">
      <c r="B5" s="136" t="s">
        <v>5009</v>
      </c>
      <c r="C5" s="137">
        <v>5</v>
      </c>
      <c r="D5" s="137">
        <v>0</v>
      </c>
      <c r="E5" s="137" t="s">
        <v>1327</v>
      </c>
      <c r="F5" s="137" t="s">
        <v>5003</v>
      </c>
      <c r="G5" s="137" t="s">
        <v>515</v>
      </c>
      <c r="H5" s="137" t="s">
        <v>4447</v>
      </c>
      <c r="I5" s="173" t="s">
        <v>4660</v>
      </c>
      <c r="J5" s="170"/>
      <c r="K5" s="171"/>
      <c r="L5" s="172"/>
      <c r="M5" s="172"/>
      <c r="N5" s="172"/>
      <c r="O5" s="172"/>
      <c r="Q5" s="134" t="s">
        <v>5010</v>
      </c>
      <c r="R5" s="217" t="s">
        <v>116</v>
      </c>
      <c r="S5" s="135">
        <v>16</v>
      </c>
      <c r="T5" s="135">
        <v>5</v>
      </c>
      <c r="U5" s="135">
        <v>2</v>
      </c>
      <c r="V5" s="135">
        <v>1</v>
      </c>
      <c r="W5" s="3464" t="s">
        <v>4999</v>
      </c>
      <c r="X5" s="135" t="s">
        <v>100</v>
      </c>
      <c r="Y5" s="169" t="s">
        <v>4447</v>
      </c>
      <c r="Z5" s="251"/>
      <c r="AA5" s="252"/>
      <c r="AB5" s="253"/>
      <c r="AC5" s="253"/>
      <c r="AD5" s="261"/>
      <c r="AE5" s="261"/>
      <c r="AF5" s="269"/>
      <c r="AG5" s="182"/>
      <c r="AH5" s="182"/>
    </row>
    <row r="6" ht="14.25" customHeight="1" spans="2:34">
      <c r="B6" s="134" t="s">
        <v>5011</v>
      </c>
      <c r="C6" s="135">
        <v>8</v>
      </c>
      <c r="D6" s="135">
        <v>0</v>
      </c>
      <c r="E6" s="135" t="s">
        <v>4992</v>
      </c>
      <c r="F6" s="135" t="s">
        <v>4993</v>
      </c>
      <c r="G6" s="135" t="s">
        <v>515</v>
      </c>
      <c r="H6" s="135" t="s">
        <v>4447</v>
      </c>
      <c r="I6" s="169" t="s">
        <v>4660</v>
      </c>
      <c r="J6" s="170"/>
      <c r="K6" s="171"/>
      <c r="L6" s="172"/>
      <c r="M6" s="172"/>
      <c r="N6" s="172"/>
      <c r="O6" s="172"/>
      <c r="Q6" s="138" t="s">
        <v>5012</v>
      </c>
      <c r="R6" s="135" t="s">
        <v>116</v>
      </c>
      <c r="S6" s="139">
        <v>14</v>
      </c>
      <c r="T6" s="139">
        <v>6</v>
      </c>
      <c r="U6" s="139">
        <v>2</v>
      </c>
      <c r="V6" s="139" t="s">
        <v>5013</v>
      </c>
      <c r="W6" s="3466" t="s">
        <v>5005</v>
      </c>
      <c r="X6" s="241" t="s">
        <v>5014</v>
      </c>
      <c r="Y6" s="174" t="s">
        <v>4429</v>
      </c>
      <c r="Z6" s="251"/>
      <c r="AA6" s="252"/>
      <c r="AB6" s="253"/>
      <c r="AC6" s="253"/>
      <c r="AD6" s="261"/>
      <c r="AE6" s="261"/>
      <c r="AF6" s="269"/>
      <c r="AG6" s="182"/>
      <c r="AH6" s="182"/>
    </row>
    <row r="7" ht="14.25" customHeight="1" spans="2:34">
      <c r="B7" s="136" t="s">
        <v>5015</v>
      </c>
      <c r="C7" s="137">
        <v>15</v>
      </c>
      <c r="D7" s="137" t="s">
        <v>100</v>
      </c>
      <c r="E7" s="137" t="s">
        <v>100</v>
      </c>
      <c r="F7" s="137" t="s">
        <v>100</v>
      </c>
      <c r="G7" s="137" t="s">
        <v>515</v>
      </c>
      <c r="H7" s="137" t="s">
        <v>4447</v>
      </c>
      <c r="I7" s="173" t="s">
        <v>5016</v>
      </c>
      <c r="J7" s="170"/>
      <c r="K7" s="171"/>
      <c r="L7" s="172"/>
      <c r="M7" s="172"/>
      <c r="N7" s="172"/>
      <c r="O7" s="172"/>
      <c r="Q7" s="134" t="s">
        <v>5017</v>
      </c>
      <c r="R7" s="135" t="s">
        <v>116</v>
      </c>
      <c r="S7" s="135">
        <v>13</v>
      </c>
      <c r="T7" s="135">
        <v>7</v>
      </c>
      <c r="U7" s="135">
        <v>2</v>
      </c>
      <c r="V7" s="135" t="s">
        <v>5013</v>
      </c>
      <c r="W7" s="3464" t="s">
        <v>5005</v>
      </c>
      <c r="X7" s="240" t="s">
        <v>5014</v>
      </c>
      <c r="Y7" s="169" t="s">
        <v>4447</v>
      </c>
      <c r="Z7" s="251"/>
      <c r="AA7" s="252"/>
      <c r="AB7" s="253"/>
      <c r="AC7" s="253"/>
      <c r="AD7" s="261"/>
      <c r="AE7" s="261"/>
      <c r="AF7" s="269"/>
      <c r="AG7" s="182"/>
      <c r="AH7" s="182"/>
    </row>
    <row r="8" ht="14.25" customHeight="1" spans="2:34">
      <c r="B8" s="134" t="s">
        <v>5018</v>
      </c>
      <c r="C8" s="135">
        <v>19</v>
      </c>
      <c r="D8" s="135" t="s">
        <v>100</v>
      </c>
      <c r="E8" s="135" t="s">
        <v>100</v>
      </c>
      <c r="F8" s="135" t="s">
        <v>100</v>
      </c>
      <c r="G8" s="135" t="s">
        <v>515</v>
      </c>
      <c r="H8" s="135" t="s">
        <v>100</v>
      </c>
      <c r="I8" s="3465" t="s">
        <v>5019</v>
      </c>
      <c r="J8" s="170"/>
      <c r="K8" s="171"/>
      <c r="L8" s="172"/>
      <c r="M8" s="172"/>
      <c r="N8" s="172"/>
      <c r="O8" s="172"/>
      <c r="Q8" s="138" t="s">
        <v>5020</v>
      </c>
      <c r="R8" s="139" t="s">
        <v>116</v>
      </c>
      <c r="S8" s="139">
        <v>13</v>
      </c>
      <c r="T8" s="139">
        <v>9</v>
      </c>
      <c r="U8" s="139">
        <v>2</v>
      </c>
      <c r="V8" s="139" t="s">
        <v>5021</v>
      </c>
      <c r="W8" s="3466" t="s">
        <v>5005</v>
      </c>
      <c r="X8" s="241" t="s">
        <v>5022</v>
      </c>
      <c r="Y8" s="174" t="s">
        <v>4447</v>
      </c>
      <c r="Z8" s="251"/>
      <c r="AA8" s="252"/>
      <c r="AB8" s="253"/>
      <c r="AC8" s="253"/>
      <c r="AD8" s="261"/>
      <c r="AE8" s="261"/>
      <c r="AF8" s="269"/>
      <c r="AG8" s="182"/>
      <c r="AH8" s="182"/>
    </row>
    <row r="9" ht="14.25" customHeight="1" spans="2:34">
      <c r="B9" s="134" t="s">
        <v>5023</v>
      </c>
      <c r="C9" s="135">
        <v>20</v>
      </c>
      <c r="D9" s="135" t="s">
        <v>100</v>
      </c>
      <c r="E9" s="135" t="s">
        <v>100</v>
      </c>
      <c r="F9" s="135" t="s">
        <v>100</v>
      </c>
      <c r="G9" s="135" t="s">
        <v>515</v>
      </c>
      <c r="H9" s="135" t="s">
        <v>4429</v>
      </c>
      <c r="I9" s="169" t="s">
        <v>5024</v>
      </c>
      <c r="J9" s="170"/>
      <c r="K9" s="171"/>
      <c r="L9" s="172"/>
      <c r="M9" s="172"/>
      <c r="N9" s="172"/>
      <c r="O9" s="172"/>
      <c r="Q9" s="134" t="s">
        <v>5025</v>
      </c>
      <c r="R9" s="135" t="s">
        <v>116</v>
      </c>
      <c r="S9" s="135">
        <v>13</v>
      </c>
      <c r="T9" s="135">
        <v>1</v>
      </c>
      <c r="U9" s="135">
        <v>0</v>
      </c>
      <c r="V9" s="135">
        <v>1</v>
      </c>
      <c r="W9" s="3464" t="s">
        <v>5005</v>
      </c>
      <c r="X9" s="240" t="s">
        <v>100</v>
      </c>
      <c r="Y9" s="254" t="s">
        <v>4429</v>
      </c>
      <c r="Z9" s="251"/>
      <c r="AA9" s="252"/>
      <c r="AB9" s="253"/>
      <c r="AC9" s="253"/>
      <c r="AD9" s="261"/>
      <c r="AE9" s="261"/>
      <c r="AF9" s="269"/>
      <c r="AG9" s="182"/>
      <c r="AH9" s="182"/>
    </row>
    <row r="10" ht="14.25" customHeight="1" spans="2:32">
      <c r="B10" s="138" t="s">
        <v>5026</v>
      </c>
      <c r="C10" s="139" t="s">
        <v>5027</v>
      </c>
      <c r="D10" s="139" t="s">
        <v>100</v>
      </c>
      <c r="E10" s="139" t="s">
        <v>5028</v>
      </c>
      <c r="F10" s="139" t="s">
        <v>5029</v>
      </c>
      <c r="G10" s="139" t="s">
        <v>1372</v>
      </c>
      <c r="H10" s="139" t="s">
        <v>100</v>
      </c>
      <c r="I10" s="174" t="s">
        <v>100</v>
      </c>
      <c r="J10" s="170"/>
      <c r="K10" s="171"/>
      <c r="L10" s="172"/>
      <c r="M10" s="172"/>
      <c r="N10" s="172"/>
      <c r="O10" s="172"/>
      <c r="Q10" s="138" t="s">
        <v>5030</v>
      </c>
      <c r="R10" s="139" t="s">
        <v>116</v>
      </c>
      <c r="S10" s="139">
        <v>16</v>
      </c>
      <c r="T10" s="139">
        <v>3</v>
      </c>
      <c r="U10" s="139">
        <v>0</v>
      </c>
      <c r="V10" s="139">
        <v>1</v>
      </c>
      <c r="W10" s="3466" t="s">
        <v>5005</v>
      </c>
      <c r="X10" s="241" t="s">
        <v>100</v>
      </c>
      <c r="Y10" s="169" t="s">
        <v>4429</v>
      </c>
      <c r="Z10" s="251"/>
      <c r="AA10" s="252"/>
      <c r="AB10" s="253"/>
      <c r="AC10" s="253"/>
      <c r="AD10" s="261"/>
      <c r="AE10" s="261"/>
      <c r="AF10" s="269"/>
    </row>
    <row r="11" ht="14.25" customHeight="1" spans="2:32">
      <c r="B11" s="140" t="s">
        <v>5031</v>
      </c>
      <c r="C11" s="141">
        <v>8</v>
      </c>
      <c r="D11" s="141" t="s">
        <v>5032</v>
      </c>
      <c r="E11" s="141" t="s">
        <v>5028</v>
      </c>
      <c r="F11" s="141" t="s">
        <v>5033</v>
      </c>
      <c r="G11" s="141" t="s">
        <v>1372</v>
      </c>
      <c r="H11" s="141" t="s">
        <v>100</v>
      </c>
      <c r="I11" s="175" t="s">
        <v>4660</v>
      </c>
      <c r="J11" s="170"/>
      <c r="K11" s="171"/>
      <c r="L11" s="172"/>
      <c r="M11" s="172"/>
      <c r="N11" s="172"/>
      <c r="O11" s="172"/>
      <c r="Q11" s="218" t="s">
        <v>5034</v>
      </c>
      <c r="R11" s="219" t="s">
        <v>5035</v>
      </c>
      <c r="S11" s="219">
        <v>11</v>
      </c>
      <c r="T11" s="219">
        <v>20</v>
      </c>
      <c r="U11" s="219">
        <v>24</v>
      </c>
      <c r="V11" s="219">
        <v>4</v>
      </c>
      <c r="W11" s="3467" t="s">
        <v>4999</v>
      </c>
      <c r="X11" s="3468" t="s">
        <v>5005</v>
      </c>
      <c r="Y11" s="255" t="s">
        <v>4429</v>
      </c>
      <c r="Z11" s="256" t="s">
        <v>5036</v>
      </c>
      <c r="AA11" s="252"/>
      <c r="AB11" s="253"/>
      <c r="AC11" s="253"/>
      <c r="AD11" s="261"/>
      <c r="AE11" s="261"/>
      <c r="AF11" s="269"/>
    </row>
    <row r="12" ht="14.25" customHeight="1" spans="2:32">
      <c r="B12" s="134" t="s">
        <v>5037</v>
      </c>
      <c r="C12" s="135">
        <v>10</v>
      </c>
      <c r="D12" s="135" t="s">
        <v>100</v>
      </c>
      <c r="E12" s="135" t="s">
        <v>100</v>
      </c>
      <c r="F12" s="135" t="s">
        <v>100</v>
      </c>
      <c r="G12" s="135" t="s">
        <v>515</v>
      </c>
      <c r="H12" s="135" t="s">
        <v>4429</v>
      </c>
      <c r="I12" s="169" t="s">
        <v>5038</v>
      </c>
      <c r="J12" s="170"/>
      <c r="K12" s="171"/>
      <c r="L12" s="172"/>
      <c r="M12" s="172"/>
      <c r="N12" s="172"/>
      <c r="O12" s="172"/>
      <c r="Q12" s="134" t="s">
        <v>5039</v>
      </c>
      <c r="R12" s="135" t="s">
        <v>5035</v>
      </c>
      <c r="S12" s="135">
        <v>12</v>
      </c>
      <c r="T12" s="135">
        <v>12</v>
      </c>
      <c r="U12" s="135">
        <v>1</v>
      </c>
      <c r="V12" s="135" t="s">
        <v>3799</v>
      </c>
      <c r="W12" s="3464" t="s">
        <v>5040</v>
      </c>
      <c r="X12" s="240" t="s">
        <v>5041</v>
      </c>
      <c r="Y12" s="169" t="s">
        <v>15</v>
      </c>
      <c r="Z12" s="256"/>
      <c r="AA12" s="252"/>
      <c r="AB12" s="253"/>
      <c r="AC12" s="253"/>
      <c r="AD12" s="261"/>
      <c r="AE12" s="261"/>
      <c r="AF12" s="269"/>
    </row>
    <row r="13" ht="14.25" customHeight="1" spans="2:32">
      <c r="B13" s="142" t="s">
        <v>5042</v>
      </c>
      <c r="C13" s="143" t="s">
        <v>5043</v>
      </c>
      <c r="D13" s="143" t="s">
        <v>100</v>
      </c>
      <c r="E13" s="143" t="s">
        <v>5044</v>
      </c>
      <c r="F13" s="143" t="s">
        <v>100</v>
      </c>
      <c r="G13" s="143" t="s">
        <v>181</v>
      </c>
      <c r="H13" s="143" t="s">
        <v>5045</v>
      </c>
      <c r="I13" s="176" t="s">
        <v>100</v>
      </c>
      <c r="J13" s="177" t="s">
        <v>5046</v>
      </c>
      <c r="K13" s="178" t="s">
        <v>5047</v>
      </c>
      <c r="L13" s="178"/>
      <c r="M13" s="178"/>
      <c r="N13" s="178"/>
      <c r="O13" s="205"/>
      <c r="Q13" s="218" t="s">
        <v>5048</v>
      </c>
      <c r="R13" s="219" t="s">
        <v>5035</v>
      </c>
      <c r="S13" s="219">
        <v>15</v>
      </c>
      <c r="T13" s="219">
        <v>14</v>
      </c>
      <c r="U13" s="219">
        <v>2</v>
      </c>
      <c r="V13" s="219" t="s">
        <v>3799</v>
      </c>
      <c r="W13" s="3467" t="s">
        <v>5005</v>
      </c>
      <c r="X13" s="242" t="s">
        <v>5049</v>
      </c>
      <c r="Y13" s="255" t="s">
        <v>4447</v>
      </c>
      <c r="Z13" s="256"/>
      <c r="AA13" s="252"/>
      <c r="AB13" s="253"/>
      <c r="AC13" s="253"/>
      <c r="AD13" s="261"/>
      <c r="AE13" s="261"/>
      <c r="AF13" s="269"/>
    </row>
    <row r="14" ht="14.25" customHeight="1" spans="2:32">
      <c r="B14" s="142" t="s">
        <v>5050</v>
      </c>
      <c r="C14" s="144" t="s">
        <v>5051</v>
      </c>
      <c r="D14" s="144" t="s">
        <v>100</v>
      </c>
      <c r="E14" s="144" t="s">
        <v>5044</v>
      </c>
      <c r="F14" s="144" t="s">
        <v>100</v>
      </c>
      <c r="G14" s="144" t="s">
        <v>181</v>
      </c>
      <c r="H14" s="143"/>
      <c r="I14" s="176"/>
      <c r="J14" s="177"/>
      <c r="K14" s="179"/>
      <c r="L14" s="179"/>
      <c r="M14" s="179"/>
      <c r="N14" s="179"/>
      <c r="O14" s="206"/>
      <c r="Q14" s="220" t="s">
        <v>5052</v>
      </c>
      <c r="R14" s="221" t="s">
        <v>5053</v>
      </c>
      <c r="S14" s="221">
        <v>11</v>
      </c>
      <c r="T14" s="221">
        <v>4</v>
      </c>
      <c r="U14" s="221">
        <v>0</v>
      </c>
      <c r="V14" s="221">
        <v>1</v>
      </c>
      <c r="W14" s="3469" t="s">
        <v>5005</v>
      </c>
      <c r="X14" s="221" t="s">
        <v>100</v>
      </c>
      <c r="Y14" s="257" t="s">
        <v>5054</v>
      </c>
      <c r="Z14" s="258" t="s">
        <v>5055</v>
      </c>
      <c r="AA14" s="252"/>
      <c r="AB14" s="253"/>
      <c r="AC14" s="253"/>
      <c r="AD14" s="261"/>
      <c r="AE14" s="261"/>
      <c r="AF14" s="269"/>
    </row>
    <row r="15" ht="14.25" customHeight="1" spans="2:32">
      <c r="B15" s="142" t="s">
        <v>5056</v>
      </c>
      <c r="C15" s="143" t="s">
        <v>5057</v>
      </c>
      <c r="D15" s="143" t="s">
        <v>100</v>
      </c>
      <c r="E15" s="143" t="s">
        <v>5044</v>
      </c>
      <c r="F15" s="143" t="s">
        <v>100</v>
      </c>
      <c r="G15" s="143" t="s">
        <v>181</v>
      </c>
      <c r="H15" s="143"/>
      <c r="I15" s="176"/>
      <c r="J15" s="177"/>
      <c r="K15" s="179"/>
      <c r="L15" s="179"/>
      <c r="M15" s="179"/>
      <c r="N15" s="179"/>
      <c r="O15" s="206"/>
      <c r="Q15" s="134" t="s">
        <v>5058</v>
      </c>
      <c r="R15" s="135" t="s">
        <v>5059</v>
      </c>
      <c r="S15" s="135">
        <v>10</v>
      </c>
      <c r="T15" s="135">
        <v>3</v>
      </c>
      <c r="U15" s="135">
        <v>0</v>
      </c>
      <c r="V15" s="135" t="s">
        <v>5060</v>
      </c>
      <c r="W15" s="135" t="s">
        <v>5049</v>
      </c>
      <c r="X15" s="135" t="s">
        <v>5014</v>
      </c>
      <c r="Y15" s="169" t="s">
        <v>15</v>
      </c>
      <c r="Z15" s="258"/>
      <c r="AA15" s="252"/>
      <c r="AB15" s="253"/>
      <c r="AC15" s="253"/>
      <c r="AD15" s="261"/>
      <c r="AE15" s="261"/>
      <c r="AF15" s="269"/>
    </row>
    <row r="16" ht="14.25" customHeight="1" spans="2:32">
      <c r="B16" s="145" t="s">
        <v>5061</v>
      </c>
      <c r="C16" s="146">
        <v>2</v>
      </c>
      <c r="D16" s="146" t="s">
        <v>100</v>
      </c>
      <c r="E16" s="146" t="s">
        <v>100</v>
      </c>
      <c r="F16" s="146" t="s">
        <v>100</v>
      </c>
      <c r="G16" s="146" t="s">
        <v>181</v>
      </c>
      <c r="H16" s="146" t="s">
        <v>5062</v>
      </c>
      <c r="I16" s="3470" t="s">
        <v>5063</v>
      </c>
      <c r="J16" s="177"/>
      <c r="K16" s="181"/>
      <c r="L16" s="181"/>
      <c r="M16" s="181"/>
      <c r="N16" s="181"/>
      <c r="O16" s="207"/>
      <c r="Q16" s="220" t="s">
        <v>4408</v>
      </c>
      <c r="R16" s="221" t="s">
        <v>5053</v>
      </c>
      <c r="S16" s="221">
        <v>10</v>
      </c>
      <c r="T16" s="221">
        <v>0.5</v>
      </c>
      <c r="U16" s="221">
        <v>0</v>
      </c>
      <c r="V16" s="221">
        <v>1</v>
      </c>
      <c r="W16" s="3469" t="s">
        <v>5005</v>
      </c>
      <c r="X16" s="221" t="s">
        <v>100</v>
      </c>
      <c r="Y16" s="257" t="s">
        <v>4429</v>
      </c>
      <c r="Z16" s="258"/>
      <c r="AA16" s="252"/>
      <c r="AB16" s="253"/>
      <c r="AC16" s="253"/>
      <c r="AD16" s="261"/>
      <c r="AE16" s="261"/>
      <c r="AF16" s="269"/>
    </row>
    <row r="17" ht="14.25" customHeight="1" spans="2:32">
      <c r="B17" s="147" t="s">
        <v>5064</v>
      </c>
      <c r="C17" s="143">
        <v>8</v>
      </c>
      <c r="D17" s="143" t="s">
        <v>100</v>
      </c>
      <c r="E17" s="143" t="s">
        <v>100</v>
      </c>
      <c r="F17" s="143" t="s">
        <v>100</v>
      </c>
      <c r="G17" s="143" t="s">
        <v>181</v>
      </c>
      <c r="H17" s="143" t="s">
        <v>4447</v>
      </c>
      <c r="I17" s="176">
        <v>40</v>
      </c>
      <c r="J17" s="177"/>
      <c r="K17" s="182"/>
      <c r="L17" s="182"/>
      <c r="M17" s="182"/>
      <c r="N17" s="182"/>
      <c r="O17" s="182"/>
      <c r="Q17" s="222" t="s">
        <v>5065</v>
      </c>
      <c r="R17" s="223" t="s">
        <v>5066</v>
      </c>
      <c r="S17" s="223">
        <v>4</v>
      </c>
      <c r="T17" s="223">
        <v>2</v>
      </c>
      <c r="U17" s="223">
        <v>0</v>
      </c>
      <c r="V17" s="223">
        <v>3</v>
      </c>
      <c r="W17" s="3471" t="s">
        <v>5067</v>
      </c>
      <c r="X17" s="243" t="s">
        <v>5000</v>
      </c>
      <c r="Y17" s="259" t="s">
        <v>4429</v>
      </c>
      <c r="Z17" s="260" t="s">
        <v>5068</v>
      </c>
      <c r="AA17" s="252"/>
      <c r="AB17" s="261"/>
      <c r="AC17" s="261"/>
      <c r="AD17" s="261"/>
      <c r="AE17" s="261"/>
      <c r="AF17" s="269"/>
    </row>
    <row r="18" ht="14.25" customHeight="1" spans="2:32">
      <c r="B18" s="148" t="s">
        <v>5069</v>
      </c>
      <c r="C18" s="144">
        <v>12</v>
      </c>
      <c r="D18" s="144" t="s">
        <v>100</v>
      </c>
      <c r="E18" s="144" t="s">
        <v>100</v>
      </c>
      <c r="F18" s="144" t="s">
        <v>100</v>
      </c>
      <c r="G18" s="144" t="s">
        <v>515</v>
      </c>
      <c r="H18" s="144" t="s">
        <v>4429</v>
      </c>
      <c r="I18" s="183" t="s">
        <v>5070</v>
      </c>
      <c r="J18" s="177"/>
      <c r="K18" s="182"/>
      <c r="L18" s="182"/>
      <c r="M18" s="182"/>
      <c r="N18" s="182"/>
      <c r="O18" s="182"/>
      <c r="Q18" s="134" t="s">
        <v>5071</v>
      </c>
      <c r="R18" s="135" t="s">
        <v>5066</v>
      </c>
      <c r="S18" s="135">
        <v>12</v>
      </c>
      <c r="T18" s="135">
        <v>4</v>
      </c>
      <c r="U18" s="135">
        <v>0</v>
      </c>
      <c r="V18" s="135">
        <v>22</v>
      </c>
      <c r="W18" s="3464" t="s">
        <v>5072</v>
      </c>
      <c r="X18" s="240" t="s">
        <v>5000</v>
      </c>
      <c r="Y18" s="169" t="s">
        <v>4429</v>
      </c>
      <c r="Z18" s="260"/>
      <c r="AA18" s="252"/>
      <c r="AB18" s="261"/>
      <c r="AC18" s="261"/>
      <c r="AD18" s="261"/>
      <c r="AE18" s="261"/>
      <c r="AF18" s="269"/>
    </row>
    <row r="19" ht="14.25" customHeight="1" spans="2:32">
      <c r="B19" s="147" t="s">
        <v>5073</v>
      </c>
      <c r="C19" s="143">
        <v>1</v>
      </c>
      <c r="D19" s="143" t="s">
        <v>100</v>
      </c>
      <c r="E19" s="143" t="s">
        <v>100</v>
      </c>
      <c r="F19" s="143" t="s">
        <v>100</v>
      </c>
      <c r="G19" s="143" t="s">
        <v>515</v>
      </c>
      <c r="H19" s="143" t="s">
        <v>4429</v>
      </c>
      <c r="I19" s="176" t="s">
        <v>5074</v>
      </c>
      <c r="J19" s="177"/>
      <c r="Q19" s="222" t="s">
        <v>5075</v>
      </c>
      <c r="R19" s="223" t="s">
        <v>5076</v>
      </c>
      <c r="S19" s="223">
        <v>14</v>
      </c>
      <c r="T19" s="223">
        <v>3</v>
      </c>
      <c r="U19" s="223">
        <v>0</v>
      </c>
      <c r="V19" s="223">
        <v>6</v>
      </c>
      <c r="W19" s="3471" t="s">
        <v>5005</v>
      </c>
      <c r="X19" s="243" t="s">
        <v>5000</v>
      </c>
      <c r="Y19" s="259" t="s">
        <v>4429</v>
      </c>
      <c r="Z19" s="260"/>
      <c r="AA19" s="252"/>
      <c r="AB19" s="261"/>
      <c r="AC19" s="261"/>
      <c r="AD19" s="261"/>
      <c r="AE19" s="261"/>
      <c r="AF19" s="269"/>
    </row>
    <row r="20" ht="14.25" customHeight="1" spans="2:32">
      <c r="B20" s="145" t="s">
        <v>5077</v>
      </c>
      <c r="C20" s="146">
        <v>20</v>
      </c>
      <c r="D20" s="146" t="s">
        <v>100</v>
      </c>
      <c r="E20" s="146" t="s">
        <v>100</v>
      </c>
      <c r="F20" s="146" t="s">
        <v>100</v>
      </c>
      <c r="G20" s="146" t="s">
        <v>515</v>
      </c>
      <c r="H20" s="146" t="s">
        <v>5078</v>
      </c>
      <c r="I20" s="180" t="s">
        <v>5079</v>
      </c>
      <c r="J20" s="177"/>
      <c r="Q20" s="134" t="s">
        <v>5080</v>
      </c>
      <c r="R20" s="135" t="s">
        <v>5066</v>
      </c>
      <c r="S20" s="135">
        <v>11</v>
      </c>
      <c r="T20" s="135">
        <v>32</v>
      </c>
      <c r="U20" s="135" t="s">
        <v>5081</v>
      </c>
      <c r="V20" s="135" t="s">
        <v>5082</v>
      </c>
      <c r="W20" s="3464" t="s">
        <v>5005</v>
      </c>
      <c r="X20" s="240" t="s">
        <v>5083</v>
      </c>
      <c r="Y20" s="169" t="s">
        <v>4429</v>
      </c>
      <c r="Z20" s="260"/>
      <c r="AA20" s="252"/>
      <c r="AB20" s="261"/>
      <c r="AC20" s="261"/>
      <c r="AD20" s="261"/>
      <c r="AE20" s="261"/>
      <c r="AF20" s="269"/>
    </row>
    <row r="21" ht="14.25" customHeight="1" spans="2:32">
      <c r="B21" s="147" t="s">
        <v>5084</v>
      </c>
      <c r="C21" s="143" t="s">
        <v>5085</v>
      </c>
      <c r="D21" s="143" t="s">
        <v>100</v>
      </c>
      <c r="E21" s="143" t="s">
        <v>100</v>
      </c>
      <c r="F21" s="143" t="s">
        <v>100</v>
      </c>
      <c r="G21" s="143" t="s">
        <v>1372</v>
      </c>
      <c r="H21" s="143" t="s">
        <v>4447</v>
      </c>
      <c r="I21" s="176" t="s">
        <v>5086</v>
      </c>
      <c r="J21" s="177"/>
      <c r="Q21" s="224" t="s">
        <v>5087</v>
      </c>
      <c r="R21" s="223" t="s">
        <v>5088</v>
      </c>
      <c r="S21" s="223">
        <v>11</v>
      </c>
      <c r="T21" s="223">
        <v>65</v>
      </c>
      <c r="U21" s="223" t="s">
        <v>5081</v>
      </c>
      <c r="V21" s="223" t="s">
        <v>5089</v>
      </c>
      <c r="W21" s="3471" t="s">
        <v>5005</v>
      </c>
      <c r="X21" s="243" t="s">
        <v>5083</v>
      </c>
      <c r="Y21" s="259" t="s">
        <v>4429</v>
      </c>
      <c r="Z21" s="260"/>
      <c r="AA21" s="252"/>
      <c r="AB21" s="262" t="s">
        <v>5090</v>
      </c>
      <c r="AC21" s="299"/>
      <c r="AD21" s="299"/>
      <c r="AE21" s="300"/>
      <c r="AF21" s="269"/>
    </row>
    <row r="22" ht="14.25" customHeight="1" spans="2:32">
      <c r="B22" s="148" t="s">
        <v>5091</v>
      </c>
      <c r="C22" s="144">
        <v>15</v>
      </c>
      <c r="D22" s="144" t="s">
        <v>100</v>
      </c>
      <c r="E22" s="144" t="s">
        <v>100</v>
      </c>
      <c r="F22" s="144" t="s">
        <v>100</v>
      </c>
      <c r="G22" s="144" t="s">
        <v>515</v>
      </c>
      <c r="H22" s="144" t="s">
        <v>4429</v>
      </c>
      <c r="I22" s="183" t="s">
        <v>5024</v>
      </c>
      <c r="J22" s="177"/>
      <c r="Q22" s="224" t="s">
        <v>5092</v>
      </c>
      <c r="R22" s="135" t="s">
        <v>5093</v>
      </c>
      <c r="S22" s="135">
        <v>11</v>
      </c>
      <c r="T22" s="135">
        <v>75</v>
      </c>
      <c r="U22" s="135" t="s">
        <v>5081</v>
      </c>
      <c r="V22" s="135" t="s">
        <v>5094</v>
      </c>
      <c r="W22" s="3464" t="s">
        <v>5005</v>
      </c>
      <c r="X22" s="240" t="s">
        <v>5095</v>
      </c>
      <c r="Y22" s="169" t="s">
        <v>5096</v>
      </c>
      <c r="Z22" s="260"/>
      <c r="AA22" s="252"/>
      <c r="AB22" s="263"/>
      <c r="AC22" s="301"/>
      <c r="AD22" s="301"/>
      <c r="AE22" s="302"/>
      <c r="AF22" s="269"/>
    </row>
    <row r="23" ht="14.25" customHeight="1" spans="2:32">
      <c r="B23" s="147" t="s">
        <v>5097</v>
      </c>
      <c r="C23" s="143">
        <v>4</v>
      </c>
      <c r="D23" s="143" t="s">
        <v>100</v>
      </c>
      <c r="E23" s="143" t="s">
        <v>5098</v>
      </c>
      <c r="F23" s="143" t="s">
        <v>100</v>
      </c>
      <c r="G23" s="143" t="s">
        <v>515</v>
      </c>
      <c r="H23" s="143" t="s">
        <v>4429</v>
      </c>
      <c r="I23" s="176" t="s">
        <v>5099</v>
      </c>
      <c r="J23" s="177"/>
      <c r="Q23" s="224" t="s">
        <v>5100</v>
      </c>
      <c r="R23" s="223" t="s">
        <v>5093</v>
      </c>
      <c r="S23" s="223">
        <v>12</v>
      </c>
      <c r="T23" s="223">
        <v>24</v>
      </c>
      <c r="U23" s="223" t="s">
        <v>5081</v>
      </c>
      <c r="V23" s="223" t="s">
        <v>5101</v>
      </c>
      <c r="W23" s="3471" t="s">
        <v>5005</v>
      </c>
      <c r="X23" s="243" t="s">
        <v>5083</v>
      </c>
      <c r="Y23" s="259" t="s">
        <v>4429</v>
      </c>
      <c r="Z23" s="260"/>
      <c r="AA23" s="252"/>
      <c r="AB23" s="264"/>
      <c r="AC23" s="303"/>
      <c r="AD23" s="303"/>
      <c r="AE23" s="304"/>
      <c r="AF23" s="269"/>
    </row>
    <row r="24" ht="14.25" customHeight="1" spans="2:32">
      <c r="B24" s="148" t="s">
        <v>5102</v>
      </c>
      <c r="C24" s="144">
        <v>3</v>
      </c>
      <c r="D24" s="144" t="s">
        <v>100</v>
      </c>
      <c r="E24" s="144" t="s">
        <v>100</v>
      </c>
      <c r="F24" s="144" t="s">
        <v>100</v>
      </c>
      <c r="G24" s="144" t="s">
        <v>515</v>
      </c>
      <c r="H24" s="144" t="s">
        <v>4429</v>
      </c>
      <c r="I24" s="3472" t="s">
        <v>5103</v>
      </c>
      <c r="J24" s="177"/>
      <c r="Q24" s="225" t="s">
        <v>5104</v>
      </c>
      <c r="R24" s="226" t="s">
        <v>116</v>
      </c>
      <c r="S24" s="226">
        <v>12</v>
      </c>
      <c r="T24" s="226">
        <v>6</v>
      </c>
      <c r="U24" s="226">
        <v>2</v>
      </c>
      <c r="V24" s="226">
        <v>80</v>
      </c>
      <c r="W24" s="3473" t="s">
        <v>5005</v>
      </c>
      <c r="X24" s="244" t="s">
        <v>5049</v>
      </c>
      <c r="Y24" s="265" t="s">
        <v>4429</v>
      </c>
      <c r="Z24" s="266" t="s">
        <v>5105</v>
      </c>
      <c r="AA24" s="267"/>
      <c r="AB24" s="267"/>
      <c r="AC24" s="267"/>
      <c r="AD24" s="267"/>
      <c r="AE24" s="267"/>
      <c r="AF24" s="269"/>
    </row>
    <row r="25" ht="14.25" customHeight="1" spans="2:32">
      <c r="B25" s="147" t="s">
        <v>5106</v>
      </c>
      <c r="C25" s="143">
        <v>3</v>
      </c>
      <c r="D25" s="143" t="s">
        <v>100</v>
      </c>
      <c r="E25" s="143" t="s">
        <v>100</v>
      </c>
      <c r="F25" s="143" t="s">
        <v>100</v>
      </c>
      <c r="G25" s="143" t="s">
        <v>515</v>
      </c>
      <c r="H25" s="143" t="s">
        <v>5107</v>
      </c>
      <c r="I25" s="3474" t="s">
        <v>5108</v>
      </c>
      <c r="J25" s="177"/>
      <c r="Q25" s="148" t="s">
        <v>1637</v>
      </c>
      <c r="R25" s="144" t="s">
        <v>116</v>
      </c>
      <c r="S25" s="144">
        <v>12</v>
      </c>
      <c r="T25" s="144">
        <v>7</v>
      </c>
      <c r="U25" s="144">
        <v>2</v>
      </c>
      <c r="V25" s="144">
        <v>200</v>
      </c>
      <c r="W25" s="3475" t="s">
        <v>5005</v>
      </c>
      <c r="X25" s="146" t="s">
        <v>5049</v>
      </c>
      <c r="Y25" s="183" t="s">
        <v>4429</v>
      </c>
      <c r="Z25" s="268"/>
      <c r="AA25" s="267"/>
      <c r="AB25" s="267"/>
      <c r="AC25" s="269"/>
      <c r="AD25" s="269"/>
      <c r="AE25" s="269"/>
      <c r="AF25" s="269"/>
    </row>
    <row r="26" ht="14.25" customHeight="1" spans="2:32">
      <c r="B26" s="149" t="s">
        <v>5109</v>
      </c>
      <c r="C26" s="150">
        <v>2</v>
      </c>
      <c r="D26" s="150" t="s">
        <v>100</v>
      </c>
      <c r="E26" s="150" t="s">
        <v>100</v>
      </c>
      <c r="F26" s="150" t="s">
        <v>100</v>
      </c>
      <c r="G26" s="150" t="s">
        <v>181</v>
      </c>
      <c r="H26" s="150" t="s">
        <v>4429</v>
      </c>
      <c r="I26" s="184" t="s">
        <v>4660</v>
      </c>
      <c r="J26" s="177"/>
      <c r="Q26" s="225" t="s">
        <v>5110</v>
      </c>
      <c r="R26" s="226" t="s">
        <v>116</v>
      </c>
      <c r="S26" s="226">
        <v>12</v>
      </c>
      <c r="T26" s="226">
        <v>6</v>
      </c>
      <c r="U26" s="226">
        <v>2</v>
      </c>
      <c r="V26" s="226">
        <v>50</v>
      </c>
      <c r="W26" s="3473" t="s">
        <v>5005</v>
      </c>
      <c r="X26" s="244" t="s">
        <v>5000</v>
      </c>
      <c r="Y26" s="265" t="s">
        <v>4429</v>
      </c>
      <c r="Z26" s="268"/>
      <c r="AA26" s="267"/>
      <c r="AB26" s="267"/>
      <c r="AC26" s="269"/>
      <c r="AD26" s="269"/>
      <c r="AE26" s="269"/>
      <c r="AF26" s="269"/>
    </row>
    <row r="27" ht="14.25" customHeight="1" spans="2:32">
      <c r="B27" s="151" t="s">
        <v>5111</v>
      </c>
      <c r="C27" s="152">
        <v>1</v>
      </c>
      <c r="D27" s="152">
        <v>0</v>
      </c>
      <c r="E27" s="152" t="s">
        <v>1327</v>
      </c>
      <c r="F27" s="152" t="s">
        <v>5003</v>
      </c>
      <c r="G27" s="152" t="s">
        <v>181</v>
      </c>
      <c r="H27" s="152" t="s">
        <v>4429</v>
      </c>
      <c r="I27" s="185" t="s">
        <v>5112</v>
      </c>
      <c r="J27" s="186" t="s">
        <v>1327</v>
      </c>
      <c r="K27" s="187" t="s">
        <v>5113</v>
      </c>
      <c r="L27" s="188"/>
      <c r="M27" s="188"/>
      <c r="N27" s="188"/>
      <c r="O27" s="208"/>
      <c r="Q27" s="148" t="s">
        <v>5114</v>
      </c>
      <c r="R27" s="144" t="s">
        <v>116</v>
      </c>
      <c r="S27" s="144">
        <v>14</v>
      </c>
      <c r="T27" s="144">
        <v>5</v>
      </c>
      <c r="U27" s="144">
        <v>2</v>
      </c>
      <c r="V27" s="144" t="s">
        <v>4998</v>
      </c>
      <c r="W27" s="3475" t="s">
        <v>4999</v>
      </c>
      <c r="X27" s="146" t="s">
        <v>5000</v>
      </c>
      <c r="Y27" s="183" t="s">
        <v>4447</v>
      </c>
      <c r="Z27" s="268"/>
      <c r="AA27" s="267"/>
      <c r="AB27" s="267"/>
      <c r="AC27" s="269"/>
      <c r="AD27" s="269"/>
      <c r="AE27" s="269"/>
      <c r="AF27" s="269"/>
    </row>
    <row r="28" ht="14.25" customHeight="1" spans="2:32">
      <c r="B28" s="148" t="s">
        <v>5115</v>
      </c>
      <c r="C28" s="144">
        <v>1</v>
      </c>
      <c r="D28" s="144">
        <v>0</v>
      </c>
      <c r="E28" s="144" t="s">
        <v>1338</v>
      </c>
      <c r="F28" s="144" t="s">
        <v>5003</v>
      </c>
      <c r="G28" s="144" t="s">
        <v>515</v>
      </c>
      <c r="H28" s="144" t="s">
        <v>4500</v>
      </c>
      <c r="I28" s="183" t="s">
        <v>4660</v>
      </c>
      <c r="J28" s="186"/>
      <c r="K28" s="189"/>
      <c r="L28" s="189"/>
      <c r="M28" s="189"/>
      <c r="N28" s="189"/>
      <c r="O28" s="209"/>
      <c r="Q28" s="225" t="s">
        <v>5116</v>
      </c>
      <c r="R28" s="226" t="s">
        <v>116</v>
      </c>
      <c r="S28" s="226">
        <v>11</v>
      </c>
      <c r="T28" s="226">
        <v>1</v>
      </c>
      <c r="U28" s="226">
        <v>0</v>
      </c>
      <c r="V28" s="226">
        <v>1</v>
      </c>
      <c r="W28" s="3473" t="s">
        <v>5005</v>
      </c>
      <c r="X28" s="244" t="s">
        <v>100</v>
      </c>
      <c r="Y28" s="265" t="s">
        <v>4447</v>
      </c>
      <c r="Z28" s="268"/>
      <c r="AA28" s="269"/>
      <c r="AB28" s="269"/>
      <c r="AC28" s="269"/>
      <c r="AD28" s="269"/>
      <c r="AE28" s="269"/>
      <c r="AF28" s="269"/>
    </row>
    <row r="29" ht="14.25" customHeight="1" spans="2:32">
      <c r="B29" s="151" t="s">
        <v>5117</v>
      </c>
      <c r="C29" s="152">
        <v>1</v>
      </c>
      <c r="D29" s="152">
        <v>0</v>
      </c>
      <c r="E29" s="152" t="s">
        <v>5118</v>
      </c>
      <c r="F29" s="152" t="s">
        <v>5003</v>
      </c>
      <c r="G29" s="152" t="s">
        <v>515</v>
      </c>
      <c r="H29" s="152" t="s">
        <v>4429</v>
      </c>
      <c r="I29" s="185" t="s">
        <v>5119</v>
      </c>
      <c r="J29" s="186"/>
      <c r="K29" s="190"/>
      <c r="L29" s="190"/>
      <c r="M29" s="190"/>
      <c r="N29" s="190"/>
      <c r="O29" s="210"/>
      <c r="P29" s="182"/>
      <c r="Q29" s="148" t="s">
        <v>5120</v>
      </c>
      <c r="R29" s="144" t="s">
        <v>116</v>
      </c>
      <c r="S29" s="144">
        <v>14</v>
      </c>
      <c r="T29" s="144">
        <v>4</v>
      </c>
      <c r="U29" s="144">
        <v>0</v>
      </c>
      <c r="V29" s="144">
        <v>2</v>
      </c>
      <c r="W29" s="3475" t="s">
        <v>5005</v>
      </c>
      <c r="X29" s="146" t="s">
        <v>5000</v>
      </c>
      <c r="Y29" s="183" t="s">
        <v>4429</v>
      </c>
      <c r="Z29" s="268"/>
      <c r="AA29" s="269"/>
      <c r="AB29" s="269"/>
      <c r="AC29" s="269"/>
      <c r="AD29" s="269"/>
      <c r="AE29" s="269"/>
      <c r="AF29" s="269"/>
    </row>
    <row r="30" ht="14.25" customHeight="1" spans="2:32">
      <c r="B30" s="148" t="s">
        <v>5121</v>
      </c>
      <c r="C30" s="144" t="s">
        <v>5122</v>
      </c>
      <c r="D30" s="144">
        <v>0</v>
      </c>
      <c r="E30" s="144" t="s">
        <v>5123</v>
      </c>
      <c r="F30" s="144" t="s">
        <v>5003</v>
      </c>
      <c r="G30" s="144" t="s">
        <v>515</v>
      </c>
      <c r="H30" s="144" t="s">
        <v>4429</v>
      </c>
      <c r="I30" s="183" t="s">
        <v>5124</v>
      </c>
      <c r="J30" s="186"/>
      <c r="K30" s="191" t="s">
        <v>5125</v>
      </c>
      <c r="L30" s="191"/>
      <c r="M30" s="191"/>
      <c r="N30" s="191"/>
      <c r="O30" s="211"/>
      <c r="P30" s="182"/>
      <c r="Q30" s="225" t="s">
        <v>5126</v>
      </c>
      <c r="R30" s="226" t="s">
        <v>116</v>
      </c>
      <c r="S30" s="226">
        <v>14</v>
      </c>
      <c r="T30" s="226">
        <v>6</v>
      </c>
      <c r="U30" s="226">
        <v>2</v>
      </c>
      <c r="V30" s="226">
        <v>5</v>
      </c>
      <c r="W30" s="3473" t="s">
        <v>5005</v>
      </c>
      <c r="X30" s="244" t="s">
        <v>5049</v>
      </c>
      <c r="Y30" s="265" t="s">
        <v>4429</v>
      </c>
      <c r="Z30" s="268"/>
      <c r="AA30" s="269"/>
      <c r="AB30" s="269"/>
      <c r="AC30" s="269"/>
      <c r="AD30" s="269"/>
      <c r="AE30" s="269"/>
      <c r="AF30" s="269"/>
    </row>
    <row r="31" ht="14.25" customHeight="1" spans="2:34">
      <c r="B31" s="153" t="s">
        <v>5127</v>
      </c>
      <c r="C31" s="154" t="s">
        <v>5128</v>
      </c>
      <c r="D31" s="154">
        <v>0</v>
      </c>
      <c r="E31" s="154" t="s">
        <v>5129</v>
      </c>
      <c r="F31" s="154" t="s">
        <v>5003</v>
      </c>
      <c r="G31" s="154" t="s">
        <v>515</v>
      </c>
      <c r="H31" s="154" t="s">
        <v>4447</v>
      </c>
      <c r="I31" s="192">
        <v>15</v>
      </c>
      <c r="J31" s="186"/>
      <c r="K31" s="193"/>
      <c r="L31" s="193"/>
      <c r="M31" s="193"/>
      <c r="N31" s="193"/>
      <c r="O31" s="212"/>
      <c r="P31" s="182"/>
      <c r="Q31" s="148" t="s">
        <v>5130</v>
      </c>
      <c r="R31" s="144" t="s">
        <v>386</v>
      </c>
      <c r="S31" s="144" t="s">
        <v>5131</v>
      </c>
      <c r="T31" s="144">
        <v>-1</v>
      </c>
      <c r="U31" s="144">
        <v>0</v>
      </c>
      <c r="V31" s="144">
        <v>1</v>
      </c>
      <c r="W31" s="3475" t="s">
        <v>5005</v>
      </c>
      <c r="X31" s="146" t="s">
        <v>100</v>
      </c>
      <c r="Y31" s="183" t="s">
        <v>4447</v>
      </c>
      <c r="Z31" s="268"/>
      <c r="AA31" s="269"/>
      <c r="AB31" s="269"/>
      <c r="AC31" s="269"/>
      <c r="AD31" s="269"/>
      <c r="AE31" s="269"/>
      <c r="AF31" s="269"/>
      <c r="AG31" s="182"/>
      <c r="AH31" s="182"/>
    </row>
    <row r="32" ht="14.25" customHeight="1" spans="2:34">
      <c r="B32" s="148" t="s">
        <v>5132</v>
      </c>
      <c r="C32" s="144" t="s">
        <v>4492</v>
      </c>
      <c r="D32" s="144">
        <v>0</v>
      </c>
      <c r="E32" s="144" t="s">
        <v>1338</v>
      </c>
      <c r="F32" s="144" t="s">
        <v>5003</v>
      </c>
      <c r="G32" s="144" t="s">
        <v>515</v>
      </c>
      <c r="H32" s="144" t="s">
        <v>4429</v>
      </c>
      <c r="I32" s="3472" t="s">
        <v>4436</v>
      </c>
      <c r="J32" s="186"/>
      <c r="K32" s="194"/>
      <c r="L32" s="194"/>
      <c r="M32" s="194"/>
      <c r="N32" s="194"/>
      <c r="O32" s="213"/>
      <c r="P32" s="182"/>
      <c r="Q32" s="225" t="s">
        <v>5133</v>
      </c>
      <c r="R32" s="226" t="s">
        <v>386</v>
      </c>
      <c r="S32" s="226" t="s">
        <v>5131</v>
      </c>
      <c r="T32" s="226">
        <v>-1</v>
      </c>
      <c r="U32" s="226">
        <v>0</v>
      </c>
      <c r="V32" s="226">
        <v>1</v>
      </c>
      <c r="W32" s="3473" t="s">
        <v>5005</v>
      </c>
      <c r="X32" s="244" t="s">
        <v>100</v>
      </c>
      <c r="Y32" s="265" t="s">
        <v>4429</v>
      </c>
      <c r="Z32" s="268"/>
      <c r="AA32" s="269"/>
      <c r="AB32" s="269"/>
      <c r="AC32" s="269"/>
      <c r="AD32" s="269"/>
      <c r="AE32" s="269"/>
      <c r="AF32" s="269"/>
      <c r="AG32" s="182"/>
      <c r="AH32" s="182"/>
    </row>
    <row r="33" ht="14.25" customHeight="1" spans="2:34">
      <c r="B33" s="151" t="s">
        <v>5134</v>
      </c>
      <c r="C33" s="152" t="s">
        <v>5135</v>
      </c>
      <c r="D33" s="152">
        <v>0</v>
      </c>
      <c r="E33" s="152" t="s">
        <v>1338</v>
      </c>
      <c r="F33" s="152" t="s">
        <v>5136</v>
      </c>
      <c r="G33" s="152" t="s">
        <v>181</v>
      </c>
      <c r="H33" s="152" t="s">
        <v>4429</v>
      </c>
      <c r="I33" s="185" t="s">
        <v>5137</v>
      </c>
      <c r="J33" s="186"/>
      <c r="K33" s="182"/>
      <c r="L33" s="182"/>
      <c r="M33" s="182"/>
      <c r="N33" s="182"/>
      <c r="O33" s="182"/>
      <c r="P33" s="182"/>
      <c r="Q33" s="148" t="s">
        <v>5138</v>
      </c>
      <c r="R33" s="144" t="s">
        <v>117</v>
      </c>
      <c r="S33" s="144">
        <v>8</v>
      </c>
      <c r="T33" s="144">
        <v>4</v>
      </c>
      <c r="U33" s="144">
        <v>0</v>
      </c>
      <c r="V33" s="144">
        <v>1</v>
      </c>
      <c r="W33" s="3475" t="s">
        <v>5005</v>
      </c>
      <c r="X33" s="146" t="s">
        <v>100</v>
      </c>
      <c r="Y33" s="183" t="s">
        <v>4429</v>
      </c>
      <c r="Z33" s="268"/>
      <c r="AA33" s="269"/>
      <c r="AB33" s="269"/>
      <c r="AC33" s="269"/>
      <c r="AD33" s="269"/>
      <c r="AE33" s="269"/>
      <c r="AF33" s="269"/>
      <c r="AG33" s="182"/>
      <c r="AH33" s="182"/>
    </row>
    <row r="34" ht="14.25" customHeight="1" spans="2:34">
      <c r="B34" s="148" t="s">
        <v>5139</v>
      </c>
      <c r="C34" s="144" t="s">
        <v>5140</v>
      </c>
      <c r="D34" s="144">
        <v>0</v>
      </c>
      <c r="E34" s="144" t="s">
        <v>5141</v>
      </c>
      <c r="F34" s="144" t="s">
        <v>5003</v>
      </c>
      <c r="G34" s="144" t="s">
        <v>181</v>
      </c>
      <c r="H34" s="144" t="s">
        <v>4429</v>
      </c>
      <c r="I34" s="3472" t="s">
        <v>4436</v>
      </c>
      <c r="J34" s="186"/>
      <c r="K34" s="182"/>
      <c r="L34" s="182"/>
      <c r="M34" s="182"/>
      <c r="N34" s="182"/>
      <c r="O34" s="182"/>
      <c r="P34" s="182"/>
      <c r="Q34" s="225" t="s">
        <v>5142</v>
      </c>
      <c r="R34" s="226" t="s">
        <v>116</v>
      </c>
      <c r="S34" s="226">
        <v>10</v>
      </c>
      <c r="T34" s="226">
        <v>-2</v>
      </c>
      <c r="U34" s="226">
        <v>0</v>
      </c>
      <c r="V34" s="226">
        <v>1</v>
      </c>
      <c r="W34" s="3473" t="s">
        <v>5005</v>
      </c>
      <c r="X34" s="244" t="s">
        <v>100</v>
      </c>
      <c r="Y34" s="265" t="s">
        <v>4429</v>
      </c>
      <c r="Z34" s="268"/>
      <c r="AA34" s="269"/>
      <c r="AB34" s="269"/>
      <c r="AC34" s="269"/>
      <c r="AD34" s="269"/>
      <c r="AE34" s="269"/>
      <c r="AF34" s="269"/>
      <c r="AG34" s="182"/>
      <c r="AH34" s="182"/>
    </row>
    <row r="35" ht="14.25" customHeight="1" spans="2:34">
      <c r="B35" s="151" t="s">
        <v>5143</v>
      </c>
      <c r="C35" s="152" t="s">
        <v>4492</v>
      </c>
      <c r="D35" s="152">
        <v>0</v>
      </c>
      <c r="E35" s="152" t="s">
        <v>1327</v>
      </c>
      <c r="F35" s="152" t="s">
        <v>5003</v>
      </c>
      <c r="G35" s="152" t="s">
        <v>515</v>
      </c>
      <c r="H35" s="152" t="s">
        <v>4429</v>
      </c>
      <c r="I35" s="185" t="s">
        <v>5144</v>
      </c>
      <c r="J35" s="186"/>
      <c r="K35" s="182"/>
      <c r="L35" s="182"/>
      <c r="M35" s="182"/>
      <c r="N35" s="182"/>
      <c r="O35" s="182"/>
      <c r="P35" s="182"/>
      <c r="Q35" s="148" t="s">
        <v>5145</v>
      </c>
      <c r="R35" s="144" t="s">
        <v>5146</v>
      </c>
      <c r="S35" s="144">
        <v>10</v>
      </c>
      <c r="T35" s="144">
        <v>4</v>
      </c>
      <c r="U35" s="144">
        <v>0</v>
      </c>
      <c r="V35" s="144">
        <v>1</v>
      </c>
      <c r="W35" s="3475" t="s">
        <v>5005</v>
      </c>
      <c r="X35" s="146" t="s">
        <v>100</v>
      </c>
      <c r="Y35" s="183" t="s">
        <v>4429</v>
      </c>
      <c r="Z35" s="268"/>
      <c r="AA35" s="269"/>
      <c r="AB35" s="269"/>
      <c r="AC35" s="269"/>
      <c r="AD35" s="269"/>
      <c r="AE35" s="269"/>
      <c r="AF35" s="269"/>
      <c r="AG35" s="182"/>
      <c r="AH35" s="182"/>
    </row>
    <row r="36" ht="14.25" customHeight="1" spans="2:34">
      <c r="B36" s="148" t="s">
        <v>5147</v>
      </c>
      <c r="C36" s="144">
        <v>3</v>
      </c>
      <c r="D36" s="144">
        <v>0</v>
      </c>
      <c r="E36" s="144" t="s">
        <v>5148</v>
      </c>
      <c r="F36" s="144" t="s">
        <v>5003</v>
      </c>
      <c r="G36" s="144" t="s">
        <v>515</v>
      </c>
      <c r="H36" s="144" t="s">
        <v>5149</v>
      </c>
      <c r="I36" s="183" t="s">
        <v>4660</v>
      </c>
      <c r="J36" s="186"/>
      <c r="K36" s="182"/>
      <c r="L36" s="195" t="s">
        <v>5150</v>
      </c>
      <c r="M36" s="195"/>
      <c r="N36" s="195"/>
      <c r="O36" s="195"/>
      <c r="Q36" s="225" t="s">
        <v>5151</v>
      </c>
      <c r="R36" s="226" t="s">
        <v>5152</v>
      </c>
      <c r="S36" s="226">
        <v>9</v>
      </c>
      <c r="T36" s="226">
        <v>3</v>
      </c>
      <c r="U36" s="226">
        <v>0</v>
      </c>
      <c r="V36" s="226">
        <v>2</v>
      </c>
      <c r="W36" s="3473" t="s">
        <v>5005</v>
      </c>
      <c r="X36" s="244" t="s">
        <v>5000</v>
      </c>
      <c r="Y36" s="265" t="s">
        <v>4429</v>
      </c>
      <c r="Z36" s="268"/>
      <c r="AA36" s="269"/>
      <c r="AB36" s="269"/>
      <c r="AC36" s="269"/>
      <c r="AD36" s="269"/>
      <c r="AE36" s="269"/>
      <c r="AF36" s="269"/>
      <c r="AG36" s="182"/>
      <c r="AH36" s="182"/>
    </row>
    <row r="37" ht="14.25" customHeight="1" spans="2:34">
      <c r="B37" s="151" t="s">
        <v>5153</v>
      </c>
      <c r="C37" s="152">
        <v>3</v>
      </c>
      <c r="D37" s="152">
        <v>0</v>
      </c>
      <c r="E37" s="152" t="s">
        <v>5154</v>
      </c>
      <c r="F37" s="152" t="s">
        <v>5003</v>
      </c>
      <c r="G37" s="152" t="s">
        <v>515</v>
      </c>
      <c r="H37" s="152" t="s">
        <v>5149</v>
      </c>
      <c r="I37" s="185" t="s">
        <v>4660</v>
      </c>
      <c r="J37" s="186"/>
      <c r="K37" s="182"/>
      <c r="L37" s="195"/>
      <c r="M37" s="195"/>
      <c r="N37" s="195"/>
      <c r="O37" s="195"/>
      <c r="Q37" s="227" t="s">
        <v>5155</v>
      </c>
      <c r="R37" s="228" t="s">
        <v>5035</v>
      </c>
      <c r="S37" s="228">
        <v>19</v>
      </c>
      <c r="T37" s="228">
        <v>65</v>
      </c>
      <c r="U37" s="228">
        <v>10</v>
      </c>
      <c r="V37" s="228">
        <v>300</v>
      </c>
      <c r="W37" s="3476" t="s">
        <v>5005</v>
      </c>
      <c r="X37" s="245" t="s">
        <v>5049</v>
      </c>
      <c r="Y37" s="270" t="s">
        <v>4429</v>
      </c>
      <c r="Z37" s="271" t="s">
        <v>5156</v>
      </c>
      <c r="AA37" s="269"/>
      <c r="AB37" s="269"/>
      <c r="AC37" s="269"/>
      <c r="AD37" s="269"/>
      <c r="AE37" s="269"/>
      <c r="AF37" s="269"/>
      <c r="AG37" s="182"/>
      <c r="AH37" s="182"/>
    </row>
    <row r="38" ht="14.25" customHeight="1" spans="2:34">
      <c r="B38" s="148" t="s">
        <v>5157</v>
      </c>
      <c r="C38" s="144">
        <v>2</v>
      </c>
      <c r="D38" s="144">
        <v>0</v>
      </c>
      <c r="E38" s="144" t="s">
        <v>1327</v>
      </c>
      <c r="F38" s="144" t="s">
        <v>5003</v>
      </c>
      <c r="G38" s="144" t="s">
        <v>515</v>
      </c>
      <c r="H38" s="144" t="s">
        <v>5149</v>
      </c>
      <c r="I38" s="183" t="s">
        <v>4660</v>
      </c>
      <c r="J38" s="186"/>
      <c r="K38" s="182"/>
      <c r="L38" s="195"/>
      <c r="M38" s="195"/>
      <c r="N38" s="195"/>
      <c r="O38" s="195"/>
      <c r="Q38" s="148" t="s">
        <v>5158</v>
      </c>
      <c r="R38" s="144" t="s">
        <v>5159</v>
      </c>
      <c r="S38" s="144">
        <v>20</v>
      </c>
      <c r="T38" s="144">
        <v>45</v>
      </c>
      <c r="U38" s="144">
        <v>15</v>
      </c>
      <c r="V38" s="144">
        <v>1</v>
      </c>
      <c r="W38" s="3475" t="s">
        <v>4999</v>
      </c>
      <c r="X38" s="146" t="s">
        <v>5160</v>
      </c>
      <c r="Y38" s="183" t="s">
        <v>4429</v>
      </c>
      <c r="Z38" s="271"/>
      <c r="AA38" s="269"/>
      <c r="AB38" s="269"/>
      <c r="AC38" s="269"/>
      <c r="AD38" s="269"/>
      <c r="AE38" s="269"/>
      <c r="AF38" s="269"/>
      <c r="AG38" s="182"/>
      <c r="AH38" s="182"/>
    </row>
    <row r="39" ht="14.25" customHeight="1" spans="2:34">
      <c r="B39" s="151" t="s">
        <v>5161</v>
      </c>
      <c r="C39" s="152">
        <v>4</v>
      </c>
      <c r="D39" s="152">
        <v>0</v>
      </c>
      <c r="E39" s="152" t="s">
        <v>5118</v>
      </c>
      <c r="F39" s="152" t="s">
        <v>5003</v>
      </c>
      <c r="G39" s="157" t="s">
        <v>515</v>
      </c>
      <c r="H39" s="152" t="s">
        <v>5162</v>
      </c>
      <c r="I39" s="185" t="s">
        <v>4660</v>
      </c>
      <c r="J39" s="186"/>
      <c r="K39" s="182"/>
      <c r="L39" s="195"/>
      <c r="M39" s="195"/>
      <c r="N39" s="195"/>
      <c r="O39" s="195"/>
      <c r="Q39" s="227" t="s">
        <v>5163</v>
      </c>
      <c r="R39" s="228" t="s">
        <v>5159</v>
      </c>
      <c r="S39" s="228">
        <v>19</v>
      </c>
      <c r="T39" s="228">
        <v>53</v>
      </c>
      <c r="U39" s="228">
        <v>20</v>
      </c>
      <c r="V39" s="228">
        <v>2</v>
      </c>
      <c r="W39" s="3476" t="s">
        <v>4999</v>
      </c>
      <c r="X39" s="245" t="s">
        <v>5160</v>
      </c>
      <c r="Y39" s="270" t="s">
        <v>4429</v>
      </c>
      <c r="Z39" s="271"/>
      <c r="AA39" s="272" t="s">
        <v>5164</v>
      </c>
      <c r="AB39" s="273"/>
      <c r="AC39" s="273"/>
      <c r="AD39" s="273"/>
      <c r="AE39" s="305"/>
      <c r="AF39" s="269"/>
      <c r="AG39" s="182"/>
      <c r="AH39" s="182"/>
    </row>
    <row r="40" ht="14.25" customHeight="1" spans="2:32">
      <c r="B40" s="155" t="s">
        <v>5165</v>
      </c>
      <c r="C40" s="156">
        <v>4</v>
      </c>
      <c r="D40" s="156">
        <v>0</v>
      </c>
      <c r="E40" s="156" t="s">
        <v>5118</v>
      </c>
      <c r="F40" s="156" t="s">
        <v>5003</v>
      </c>
      <c r="G40" s="166" t="s">
        <v>515</v>
      </c>
      <c r="H40" s="156" t="s">
        <v>5166</v>
      </c>
      <c r="I40" s="196" t="s">
        <v>4660</v>
      </c>
      <c r="J40" s="186"/>
      <c r="K40" s="182"/>
      <c r="L40" s="195"/>
      <c r="M40" s="195"/>
      <c r="N40" s="195"/>
      <c r="O40" s="195"/>
      <c r="Q40" s="148" t="s">
        <v>5167</v>
      </c>
      <c r="R40" s="144" t="s">
        <v>5035</v>
      </c>
      <c r="S40" s="144">
        <v>18</v>
      </c>
      <c r="T40" s="144">
        <v>35</v>
      </c>
      <c r="U40" s="144">
        <v>7</v>
      </c>
      <c r="V40" s="144" t="s">
        <v>5168</v>
      </c>
      <c r="W40" s="3475" t="s">
        <v>5005</v>
      </c>
      <c r="X40" s="146" t="s">
        <v>5049</v>
      </c>
      <c r="Y40" s="183" t="s">
        <v>4447</v>
      </c>
      <c r="Z40" s="271"/>
      <c r="AA40" s="274"/>
      <c r="AB40" s="275"/>
      <c r="AC40" s="275"/>
      <c r="AD40" s="275"/>
      <c r="AE40" s="306"/>
      <c r="AF40" s="269"/>
    </row>
    <row r="41" ht="14.25" customHeight="1" spans="2:32">
      <c r="B41" s="151" t="s">
        <v>5169</v>
      </c>
      <c r="C41" s="157">
        <v>1</v>
      </c>
      <c r="D41" s="152">
        <v>0</v>
      </c>
      <c r="E41" s="152" t="s">
        <v>5141</v>
      </c>
      <c r="F41" s="152" t="s">
        <v>5003</v>
      </c>
      <c r="G41" s="157" t="s">
        <v>181</v>
      </c>
      <c r="H41" s="152" t="s">
        <v>5170</v>
      </c>
      <c r="I41" s="185" t="s">
        <v>5171</v>
      </c>
      <c r="J41" s="186"/>
      <c r="K41" s="182"/>
      <c r="L41" s="195"/>
      <c r="M41" s="195"/>
      <c r="N41" s="195"/>
      <c r="O41" s="195"/>
      <c r="Q41" s="227" t="s">
        <v>5172</v>
      </c>
      <c r="R41" s="228" t="s">
        <v>5035</v>
      </c>
      <c r="S41" s="228">
        <v>18</v>
      </c>
      <c r="T41" s="228">
        <v>60</v>
      </c>
      <c r="U41" s="228">
        <v>15</v>
      </c>
      <c r="V41" s="228">
        <v>2</v>
      </c>
      <c r="W41" s="3476" t="s">
        <v>4999</v>
      </c>
      <c r="X41" s="245" t="s">
        <v>5160</v>
      </c>
      <c r="Y41" s="270" t="s">
        <v>4429</v>
      </c>
      <c r="Z41" s="271"/>
      <c r="AA41" s="276"/>
      <c r="AB41" s="277"/>
      <c r="AC41" s="277"/>
      <c r="AD41" s="277"/>
      <c r="AE41" s="307"/>
      <c r="AF41" s="269"/>
    </row>
    <row r="42" ht="14.25" customHeight="1" spans="2:32">
      <c r="B42" s="158" t="s">
        <v>5173</v>
      </c>
      <c r="C42" s="159">
        <v>2</v>
      </c>
      <c r="D42" s="160">
        <v>0</v>
      </c>
      <c r="E42" s="160" t="s">
        <v>5174</v>
      </c>
      <c r="F42" s="160" t="s">
        <v>4993</v>
      </c>
      <c r="G42" s="159" t="s">
        <v>181</v>
      </c>
      <c r="H42" s="160" t="s">
        <v>4429</v>
      </c>
      <c r="I42" s="197" t="s">
        <v>5175</v>
      </c>
      <c r="J42" s="198" t="s">
        <v>5176</v>
      </c>
      <c r="K42" s="182"/>
      <c r="L42" s="195"/>
      <c r="M42" s="195"/>
      <c r="N42" s="195"/>
      <c r="O42" s="195"/>
      <c r="Q42" s="148" t="s">
        <v>5177</v>
      </c>
      <c r="R42" s="144" t="s">
        <v>5035</v>
      </c>
      <c r="S42" s="144">
        <v>16</v>
      </c>
      <c r="T42" s="144">
        <v>64</v>
      </c>
      <c r="U42" s="144">
        <v>10</v>
      </c>
      <c r="V42" s="144">
        <v>2</v>
      </c>
      <c r="W42" s="3475" t="s">
        <v>5005</v>
      </c>
      <c r="X42" s="146" t="s">
        <v>5049</v>
      </c>
      <c r="Y42" s="183" t="s">
        <v>4429</v>
      </c>
      <c r="Z42" s="271"/>
      <c r="AA42" s="278" t="s">
        <v>5178</v>
      </c>
      <c r="AB42" s="279"/>
      <c r="AC42" s="279"/>
      <c r="AD42" s="279"/>
      <c r="AE42" s="308"/>
      <c r="AF42" s="269"/>
    </row>
    <row r="43" ht="14.25" customHeight="1" spans="2:32">
      <c r="B43" s="148" t="s">
        <v>5179</v>
      </c>
      <c r="C43" s="146">
        <v>2</v>
      </c>
      <c r="D43" s="144">
        <v>0</v>
      </c>
      <c r="E43" s="144" t="s">
        <v>5180</v>
      </c>
      <c r="F43" s="144" t="s">
        <v>4993</v>
      </c>
      <c r="G43" s="146" t="s">
        <v>181</v>
      </c>
      <c r="H43" s="144" t="s">
        <v>4447</v>
      </c>
      <c r="I43" s="183">
        <v>160</v>
      </c>
      <c r="J43" s="198"/>
      <c r="K43" s="182"/>
      <c r="L43" s="195"/>
      <c r="M43" s="195"/>
      <c r="N43" s="195"/>
      <c r="O43" s="195"/>
      <c r="Q43" s="227" t="s">
        <v>5181</v>
      </c>
      <c r="R43" s="228" t="s">
        <v>5159</v>
      </c>
      <c r="S43" s="228" t="s">
        <v>5182</v>
      </c>
      <c r="T43" s="228">
        <v>35</v>
      </c>
      <c r="U43" s="228">
        <v>20</v>
      </c>
      <c r="V43" s="228">
        <v>1</v>
      </c>
      <c r="W43" s="3476" t="s">
        <v>4999</v>
      </c>
      <c r="X43" s="245" t="s">
        <v>100</v>
      </c>
      <c r="Y43" s="270" t="s">
        <v>4447</v>
      </c>
      <c r="Z43" s="271"/>
      <c r="AA43" s="280"/>
      <c r="AB43" s="281"/>
      <c r="AC43" s="281"/>
      <c r="AD43" s="281"/>
      <c r="AE43" s="309"/>
      <c r="AF43" s="269"/>
    </row>
    <row r="44" ht="14.25" customHeight="1" spans="2:32">
      <c r="B44" s="158" t="s">
        <v>5183</v>
      </c>
      <c r="C44" s="159">
        <v>2</v>
      </c>
      <c r="D44" s="160">
        <v>0</v>
      </c>
      <c r="E44" s="160" t="s">
        <v>5184</v>
      </c>
      <c r="F44" s="160" t="s">
        <v>5185</v>
      </c>
      <c r="G44" s="159" t="s">
        <v>515</v>
      </c>
      <c r="H44" s="160" t="s">
        <v>4429</v>
      </c>
      <c r="I44" s="3477" t="s">
        <v>5186</v>
      </c>
      <c r="J44" s="198"/>
      <c r="K44" s="182"/>
      <c r="L44" s="195"/>
      <c r="M44" s="195"/>
      <c r="N44" s="195"/>
      <c r="O44" s="195"/>
      <c r="Q44" s="148" t="s">
        <v>5187</v>
      </c>
      <c r="R44" s="146" t="s">
        <v>5035</v>
      </c>
      <c r="S44" s="144">
        <v>15</v>
      </c>
      <c r="T44" s="146">
        <v>20</v>
      </c>
      <c r="U44" s="146">
        <v>4</v>
      </c>
      <c r="V44" s="146">
        <v>8</v>
      </c>
      <c r="W44" s="3478" t="s">
        <v>5005</v>
      </c>
      <c r="X44" s="146" t="s">
        <v>5000</v>
      </c>
      <c r="Y44" s="180" t="s">
        <v>4447</v>
      </c>
      <c r="Z44" s="271"/>
      <c r="AA44" s="280"/>
      <c r="AB44" s="281"/>
      <c r="AC44" s="281"/>
      <c r="AD44" s="281"/>
      <c r="AE44" s="309"/>
      <c r="AF44" s="269"/>
    </row>
    <row r="45" ht="14.25" customHeight="1" spans="2:32">
      <c r="B45" s="148" t="s">
        <v>5188</v>
      </c>
      <c r="C45" s="146">
        <v>3</v>
      </c>
      <c r="D45" s="144">
        <v>0</v>
      </c>
      <c r="E45" s="144" t="s">
        <v>5189</v>
      </c>
      <c r="F45" s="144" t="s">
        <v>4993</v>
      </c>
      <c r="G45" s="146" t="s">
        <v>515</v>
      </c>
      <c r="H45" s="144" t="s">
        <v>4447</v>
      </c>
      <c r="I45" s="183">
        <v>35</v>
      </c>
      <c r="J45" s="198"/>
      <c r="K45" s="182"/>
      <c r="L45" s="195"/>
      <c r="M45" s="195"/>
      <c r="N45" s="195"/>
      <c r="O45" s="195"/>
      <c r="Q45" s="229" t="s">
        <v>5190</v>
      </c>
      <c r="R45" s="230" t="s">
        <v>401</v>
      </c>
      <c r="S45" s="231">
        <v>14</v>
      </c>
      <c r="T45" s="232">
        <v>-2</v>
      </c>
      <c r="U45" s="232">
        <v>0</v>
      </c>
      <c r="V45" s="232" t="s">
        <v>100</v>
      </c>
      <c r="W45" s="232" t="s">
        <v>100</v>
      </c>
      <c r="X45" s="231" t="s">
        <v>100</v>
      </c>
      <c r="Y45" s="282" t="s">
        <v>4447</v>
      </c>
      <c r="Z45" s="271"/>
      <c r="AA45" s="283"/>
      <c r="AB45" s="284"/>
      <c r="AC45" s="284"/>
      <c r="AD45" s="284"/>
      <c r="AE45" s="310"/>
      <c r="AF45" s="269"/>
    </row>
    <row r="46" ht="14.25" customHeight="1" spans="2:32">
      <c r="B46" s="158" t="s">
        <v>5191</v>
      </c>
      <c r="C46" s="159">
        <v>4</v>
      </c>
      <c r="D46" s="160">
        <v>1</v>
      </c>
      <c r="E46" s="160" t="s">
        <v>5192</v>
      </c>
      <c r="F46" s="160" t="s">
        <v>4993</v>
      </c>
      <c r="G46" s="159" t="s">
        <v>515</v>
      </c>
      <c r="H46" s="160" t="s">
        <v>5149</v>
      </c>
      <c r="I46" s="197" t="s">
        <v>4660</v>
      </c>
      <c r="J46" s="198"/>
      <c r="K46" s="182"/>
      <c r="L46" s="200"/>
      <c r="M46" s="200"/>
      <c r="N46" s="200"/>
      <c r="O46" s="200"/>
      <c r="Q46" s="147" t="s">
        <v>5193</v>
      </c>
      <c r="R46" s="143" t="s">
        <v>5035</v>
      </c>
      <c r="S46" s="143" t="s">
        <v>100</v>
      </c>
      <c r="T46" s="143">
        <v>6</v>
      </c>
      <c r="U46" s="143">
        <v>0</v>
      </c>
      <c r="V46" s="143">
        <v>9</v>
      </c>
      <c r="W46" s="3479" t="s">
        <v>5005</v>
      </c>
      <c r="X46" s="246" t="s">
        <v>5000</v>
      </c>
      <c r="Y46" s="176" t="s">
        <v>4429</v>
      </c>
      <c r="Z46" s="271"/>
      <c r="AA46" s="285"/>
      <c r="AB46" s="269"/>
      <c r="AC46" s="269"/>
      <c r="AD46" s="269"/>
      <c r="AE46" s="269"/>
      <c r="AF46" s="269"/>
    </row>
    <row r="47" ht="14.25" customHeight="1" spans="2:32">
      <c r="B47" s="148" t="s">
        <v>5194</v>
      </c>
      <c r="C47" s="146">
        <v>4</v>
      </c>
      <c r="D47" s="144">
        <v>1</v>
      </c>
      <c r="E47" s="144" t="s">
        <v>5192</v>
      </c>
      <c r="F47" s="144" t="s">
        <v>4993</v>
      </c>
      <c r="G47" s="146" t="s">
        <v>515</v>
      </c>
      <c r="H47" s="144" t="s">
        <v>5149</v>
      </c>
      <c r="I47" s="183" t="s">
        <v>4660</v>
      </c>
      <c r="J47" s="198"/>
      <c r="K47" s="182"/>
      <c r="L47" s="200"/>
      <c r="M47" s="200"/>
      <c r="N47" s="200"/>
      <c r="O47" s="200"/>
      <c r="Q47" s="148" t="s">
        <v>5195</v>
      </c>
      <c r="R47" s="144" t="s">
        <v>5035</v>
      </c>
      <c r="S47" s="144">
        <v>12</v>
      </c>
      <c r="T47" s="144">
        <v>20</v>
      </c>
      <c r="U47" s="144">
        <v>2</v>
      </c>
      <c r="V47" s="144" t="s">
        <v>5196</v>
      </c>
      <c r="W47" s="3475" t="s">
        <v>4999</v>
      </c>
      <c r="X47" s="146" t="s">
        <v>5160</v>
      </c>
      <c r="Y47" s="183" t="s">
        <v>15</v>
      </c>
      <c r="Z47" s="271"/>
      <c r="AA47" s="285"/>
      <c r="AB47" s="269"/>
      <c r="AC47" s="269"/>
      <c r="AD47" s="269"/>
      <c r="AE47" s="269"/>
      <c r="AF47" s="269"/>
    </row>
    <row r="48" ht="14.25" customHeight="1" spans="2:32">
      <c r="B48" s="158" t="s">
        <v>5197</v>
      </c>
      <c r="C48" s="159">
        <v>4</v>
      </c>
      <c r="D48" s="160">
        <v>1</v>
      </c>
      <c r="E48" s="160" t="s">
        <v>5192</v>
      </c>
      <c r="F48" s="160" t="s">
        <v>4993</v>
      </c>
      <c r="G48" s="159" t="s">
        <v>515</v>
      </c>
      <c r="H48" s="160" t="s">
        <v>5149</v>
      </c>
      <c r="I48" s="197" t="s">
        <v>4660</v>
      </c>
      <c r="J48" s="198"/>
      <c r="K48" s="182"/>
      <c r="L48" s="200"/>
      <c r="M48" s="200"/>
      <c r="N48" s="200"/>
      <c r="O48" s="200"/>
      <c r="Q48" s="227" t="s">
        <v>5198</v>
      </c>
      <c r="R48" s="228" t="s">
        <v>5159</v>
      </c>
      <c r="S48" s="228">
        <v>12</v>
      </c>
      <c r="T48" s="228">
        <v>3</v>
      </c>
      <c r="U48" s="228">
        <v>0</v>
      </c>
      <c r="V48" s="228" t="s">
        <v>5196</v>
      </c>
      <c r="W48" s="3476" t="s">
        <v>4999</v>
      </c>
      <c r="X48" s="245" t="s">
        <v>5160</v>
      </c>
      <c r="Y48" s="270" t="s">
        <v>4429</v>
      </c>
      <c r="Z48" s="271"/>
      <c r="AA48" s="285"/>
      <c r="AB48" s="269"/>
      <c r="AC48" s="269"/>
      <c r="AD48" s="269"/>
      <c r="AE48" s="269"/>
      <c r="AF48" s="269"/>
    </row>
    <row r="49" ht="14.25" customHeight="1" spans="2:32">
      <c r="B49" s="148" t="s">
        <v>5199</v>
      </c>
      <c r="C49" s="146">
        <v>5</v>
      </c>
      <c r="D49" s="144">
        <v>1</v>
      </c>
      <c r="E49" s="144" t="s">
        <v>5200</v>
      </c>
      <c r="F49" s="144" t="s">
        <v>4993</v>
      </c>
      <c r="G49" s="146" t="s">
        <v>515</v>
      </c>
      <c r="H49" s="144" t="s">
        <v>5149</v>
      </c>
      <c r="I49" s="183" t="s">
        <v>4660</v>
      </c>
      <c r="J49" s="198"/>
      <c r="K49" s="182"/>
      <c r="L49" s="200"/>
      <c r="M49" s="200"/>
      <c r="N49" s="200"/>
      <c r="O49" s="200"/>
      <c r="Q49" s="233" t="s">
        <v>5201</v>
      </c>
      <c r="R49" s="234" t="s">
        <v>5066</v>
      </c>
      <c r="S49" s="234">
        <v>9</v>
      </c>
      <c r="T49" s="234">
        <v>3</v>
      </c>
      <c r="U49" s="234">
        <v>0</v>
      </c>
      <c r="V49" s="234" t="s">
        <v>5196</v>
      </c>
      <c r="W49" s="3480" t="s">
        <v>4999</v>
      </c>
      <c r="X49" s="3481" t="s">
        <v>4999</v>
      </c>
      <c r="Y49" s="286" t="s">
        <v>5149</v>
      </c>
      <c r="Z49" s="287" t="s">
        <v>5202</v>
      </c>
      <c r="AA49" s="285"/>
      <c r="AB49" s="269"/>
      <c r="AC49" s="269"/>
      <c r="AD49" s="269"/>
      <c r="AE49" s="269"/>
      <c r="AF49" s="269"/>
    </row>
    <row r="50" ht="14.25" customHeight="1" spans="2:32">
      <c r="B50" s="158" t="s">
        <v>5203</v>
      </c>
      <c r="C50" s="159">
        <v>4</v>
      </c>
      <c r="D50" s="160">
        <v>0</v>
      </c>
      <c r="E50" s="160" t="s">
        <v>5192</v>
      </c>
      <c r="F50" s="160" t="s">
        <v>4993</v>
      </c>
      <c r="G50" s="159" t="s">
        <v>515</v>
      </c>
      <c r="H50" s="160" t="s">
        <v>5149</v>
      </c>
      <c r="I50" s="197" t="s">
        <v>4660</v>
      </c>
      <c r="J50" s="198"/>
      <c r="K50" s="182"/>
      <c r="L50" s="200"/>
      <c r="M50" s="200"/>
      <c r="N50" s="200"/>
      <c r="O50" s="200"/>
      <c r="Q50" s="148" t="s">
        <v>5204</v>
      </c>
      <c r="R50" s="144" t="s">
        <v>5066</v>
      </c>
      <c r="S50" s="144">
        <v>9</v>
      </c>
      <c r="T50" s="144">
        <v>3</v>
      </c>
      <c r="U50" s="144">
        <v>0</v>
      </c>
      <c r="V50" s="144" t="s">
        <v>5205</v>
      </c>
      <c r="W50" s="3475" t="s">
        <v>5072</v>
      </c>
      <c r="X50" s="146" t="s">
        <v>5049</v>
      </c>
      <c r="Y50" s="183" t="s">
        <v>5149</v>
      </c>
      <c r="Z50" s="287"/>
      <c r="AA50" s="269"/>
      <c r="AB50" s="269"/>
      <c r="AC50" s="269"/>
      <c r="AD50" s="269"/>
      <c r="AE50" s="269"/>
      <c r="AF50" s="269"/>
    </row>
    <row r="51" ht="14.25" customHeight="1" spans="2:32">
      <c r="B51" s="148" t="s">
        <v>5206</v>
      </c>
      <c r="C51" s="146">
        <v>5</v>
      </c>
      <c r="D51" s="144">
        <v>1</v>
      </c>
      <c r="E51" s="144" t="s">
        <v>5200</v>
      </c>
      <c r="F51" s="144" t="s">
        <v>4993</v>
      </c>
      <c r="G51" s="146" t="s">
        <v>515</v>
      </c>
      <c r="H51" s="144" t="s">
        <v>5149</v>
      </c>
      <c r="I51" s="183" t="s">
        <v>4660</v>
      </c>
      <c r="J51" s="198"/>
      <c r="K51" s="182"/>
      <c r="L51" s="200"/>
      <c r="M51" s="200"/>
      <c r="N51" s="200"/>
      <c r="O51" s="200"/>
      <c r="Q51" s="233" t="s">
        <v>5207</v>
      </c>
      <c r="R51" s="234" t="s">
        <v>5208</v>
      </c>
      <c r="S51" s="234">
        <v>12</v>
      </c>
      <c r="T51" s="234">
        <v>4</v>
      </c>
      <c r="U51" s="234">
        <v>0</v>
      </c>
      <c r="V51" s="234">
        <v>13</v>
      </c>
      <c r="W51" s="3480" t="s">
        <v>5072</v>
      </c>
      <c r="X51" s="247" t="s">
        <v>5049</v>
      </c>
      <c r="Y51" s="286" t="s">
        <v>4429</v>
      </c>
      <c r="Z51" s="287"/>
      <c r="AA51" s="269"/>
      <c r="AB51" s="269"/>
      <c r="AC51" s="269"/>
      <c r="AD51" s="269"/>
      <c r="AE51" s="269"/>
      <c r="AF51" s="269"/>
    </row>
    <row r="52" ht="14.25" customHeight="1" spans="2:32">
      <c r="B52" s="158" t="s">
        <v>5209</v>
      </c>
      <c r="C52" s="159">
        <v>4</v>
      </c>
      <c r="D52" s="160">
        <v>1</v>
      </c>
      <c r="E52" s="160" t="s">
        <v>5200</v>
      </c>
      <c r="F52" s="160" t="s">
        <v>4993</v>
      </c>
      <c r="G52" s="159" t="s">
        <v>515</v>
      </c>
      <c r="H52" s="160" t="s">
        <v>5149</v>
      </c>
      <c r="I52" s="197" t="s">
        <v>4660</v>
      </c>
      <c r="J52" s="198"/>
      <c r="K52" s="182"/>
      <c r="L52" s="200"/>
      <c r="M52" s="200"/>
      <c r="N52" s="200"/>
      <c r="O52" s="200"/>
      <c r="Q52" s="148" t="s">
        <v>5210</v>
      </c>
      <c r="R52" s="144" t="s">
        <v>5208</v>
      </c>
      <c r="S52" s="235" t="s">
        <v>5211</v>
      </c>
      <c r="T52" s="144">
        <v>3</v>
      </c>
      <c r="U52" s="144">
        <v>0</v>
      </c>
      <c r="V52" s="144">
        <v>1</v>
      </c>
      <c r="W52" s="3475" t="s">
        <v>5005</v>
      </c>
      <c r="X52" s="146" t="s">
        <v>100</v>
      </c>
      <c r="Y52" s="183" t="s">
        <v>4429</v>
      </c>
      <c r="Z52" s="287"/>
      <c r="AA52" s="269"/>
      <c r="AB52" s="269"/>
      <c r="AC52" s="269"/>
      <c r="AD52" s="269"/>
      <c r="AE52" s="269"/>
      <c r="AF52" s="269"/>
    </row>
    <row r="53" ht="14.25" customHeight="1" spans="2:32">
      <c r="B53" s="148" t="s">
        <v>5212</v>
      </c>
      <c r="C53" s="146">
        <v>3</v>
      </c>
      <c r="D53" s="144">
        <v>0</v>
      </c>
      <c r="E53" s="144" t="s">
        <v>5192</v>
      </c>
      <c r="F53" s="144" t="s">
        <v>4993</v>
      </c>
      <c r="G53" s="146" t="s">
        <v>515</v>
      </c>
      <c r="H53" s="144" t="s">
        <v>5149</v>
      </c>
      <c r="I53" s="183" t="s">
        <v>4660</v>
      </c>
      <c r="J53" s="198"/>
      <c r="K53" s="182"/>
      <c r="L53" s="200"/>
      <c r="M53" s="200"/>
      <c r="N53" s="200"/>
      <c r="O53" s="200"/>
      <c r="Q53" s="233" t="s">
        <v>5213</v>
      </c>
      <c r="R53" s="234" t="s">
        <v>5066</v>
      </c>
      <c r="S53" s="234">
        <v>8</v>
      </c>
      <c r="T53" s="234">
        <v>5</v>
      </c>
      <c r="U53" s="234">
        <v>0</v>
      </c>
      <c r="V53" s="234">
        <v>12</v>
      </c>
      <c r="W53" s="3480" t="s">
        <v>5005</v>
      </c>
      <c r="X53" s="247" t="s">
        <v>5000</v>
      </c>
      <c r="Y53" s="286" t="s">
        <v>5214</v>
      </c>
      <c r="Z53" s="287"/>
      <c r="AA53" s="269"/>
      <c r="AB53" s="269"/>
      <c r="AC53" s="269"/>
      <c r="AD53" s="269"/>
      <c r="AE53" s="269"/>
      <c r="AF53" s="269"/>
    </row>
    <row r="54" ht="14.25" customHeight="1" spans="2:32">
      <c r="B54" s="158" t="s">
        <v>5215</v>
      </c>
      <c r="C54" s="159">
        <v>4</v>
      </c>
      <c r="D54" s="160">
        <v>0</v>
      </c>
      <c r="E54" s="160" t="s">
        <v>4992</v>
      </c>
      <c r="F54" s="160" t="s">
        <v>4993</v>
      </c>
      <c r="G54" s="159" t="s">
        <v>515</v>
      </c>
      <c r="H54" s="160" t="s">
        <v>4447</v>
      </c>
      <c r="I54" s="197">
        <v>40</v>
      </c>
      <c r="J54" s="198"/>
      <c r="K54" s="182"/>
      <c r="L54" s="200"/>
      <c r="M54" s="200"/>
      <c r="N54" s="200"/>
      <c r="O54" s="200"/>
      <c r="Q54" s="148" t="s">
        <v>5216</v>
      </c>
      <c r="R54" s="144" t="s">
        <v>5076</v>
      </c>
      <c r="S54" s="144">
        <v>13</v>
      </c>
      <c r="T54" s="144">
        <v>5</v>
      </c>
      <c r="U54" s="144">
        <v>0</v>
      </c>
      <c r="V54" s="144">
        <v>9</v>
      </c>
      <c r="W54" s="3475" t="s">
        <v>5067</v>
      </c>
      <c r="X54" s="146" t="s">
        <v>5000</v>
      </c>
      <c r="Y54" s="183" t="s">
        <v>4429</v>
      </c>
      <c r="Z54" s="287"/>
      <c r="AA54" s="269"/>
      <c r="AB54" s="269"/>
      <c r="AC54" s="269"/>
      <c r="AD54" s="269"/>
      <c r="AE54" s="269"/>
      <c r="AF54" s="269"/>
    </row>
    <row r="55" ht="14.25" customHeight="1" spans="2:32">
      <c r="B55" s="148" t="s">
        <v>5217</v>
      </c>
      <c r="C55" s="146">
        <v>6</v>
      </c>
      <c r="D55" s="144">
        <v>0</v>
      </c>
      <c r="E55" s="144" t="s">
        <v>4992</v>
      </c>
      <c r="F55" s="144" t="s">
        <v>4993</v>
      </c>
      <c r="G55" s="146" t="s">
        <v>515</v>
      </c>
      <c r="H55" s="144" t="s">
        <v>4429</v>
      </c>
      <c r="I55" s="183" t="s">
        <v>4660</v>
      </c>
      <c r="J55" s="198"/>
      <c r="K55" s="182"/>
      <c r="L55" s="200"/>
      <c r="M55" s="200"/>
      <c r="N55" s="200"/>
      <c r="O55" s="200"/>
      <c r="Q55" s="233" t="s">
        <v>5218</v>
      </c>
      <c r="R55" s="234" t="s">
        <v>5088</v>
      </c>
      <c r="S55" s="234">
        <v>10</v>
      </c>
      <c r="T55" s="234">
        <v>12</v>
      </c>
      <c r="U55" s="234" t="s">
        <v>5081</v>
      </c>
      <c r="V55" s="234" t="s">
        <v>5219</v>
      </c>
      <c r="W55" s="3480" t="s">
        <v>5005</v>
      </c>
      <c r="X55" s="247" t="s">
        <v>5095</v>
      </c>
      <c r="Y55" s="286" t="s">
        <v>4429</v>
      </c>
      <c r="Z55" s="287"/>
      <c r="AA55" s="267"/>
      <c r="AB55" s="269"/>
      <c r="AC55" s="269"/>
      <c r="AD55" s="269"/>
      <c r="AE55" s="269"/>
      <c r="AF55" s="269"/>
    </row>
    <row r="56" ht="14.25" customHeight="1" spans="2:32">
      <c r="B56" s="158" t="s">
        <v>5220</v>
      </c>
      <c r="C56" s="159">
        <v>5</v>
      </c>
      <c r="D56" s="160">
        <v>1</v>
      </c>
      <c r="E56" s="160" t="s">
        <v>5221</v>
      </c>
      <c r="F56" s="160" t="s">
        <v>4993</v>
      </c>
      <c r="G56" s="159" t="s">
        <v>515</v>
      </c>
      <c r="H56" s="160" t="s">
        <v>4447</v>
      </c>
      <c r="I56" s="197">
        <v>120</v>
      </c>
      <c r="J56" s="198"/>
      <c r="K56" s="182"/>
      <c r="L56" s="200"/>
      <c r="M56" s="200"/>
      <c r="N56" s="200"/>
      <c r="O56" s="200"/>
      <c r="Q56" s="148" t="s">
        <v>5222</v>
      </c>
      <c r="R56" s="144" t="s">
        <v>5088</v>
      </c>
      <c r="S56" s="144">
        <v>10</v>
      </c>
      <c r="T56" s="144">
        <v>11</v>
      </c>
      <c r="U56" s="144" t="s">
        <v>5081</v>
      </c>
      <c r="V56" s="144" t="s">
        <v>3882</v>
      </c>
      <c r="W56" s="3475" t="s">
        <v>5005</v>
      </c>
      <c r="X56" s="146" t="s">
        <v>5049</v>
      </c>
      <c r="Y56" s="183" t="s">
        <v>4429</v>
      </c>
      <c r="Z56" s="287"/>
      <c r="AA56" s="267"/>
      <c r="AB56" s="269"/>
      <c r="AC56" s="269"/>
      <c r="AD56" s="269"/>
      <c r="AE56" s="269"/>
      <c r="AF56" s="269"/>
    </row>
    <row r="57" ht="14.25" customHeight="1" spans="2:32">
      <c r="B57" s="158" t="s">
        <v>5223</v>
      </c>
      <c r="C57" s="159" t="s">
        <v>5224</v>
      </c>
      <c r="D57" s="160">
        <v>1</v>
      </c>
      <c r="E57" s="160" t="s">
        <v>5028</v>
      </c>
      <c r="F57" s="160" t="s">
        <v>4993</v>
      </c>
      <c r="G57" s="159" t="s">
        <v>181</v>
      </c>
      <c r="H57" s="160" t="s">
        <v>4429</v>
      </c>
      <c r="I57" s="197" t="s">
        <v>4660</v>
      </c>
      <c r="J57" s="198"/>
      <c r="K57" s="182"/>
      <c r="L57" s="200"/>
      <c r="M57" s="200"/>
      <c r="N57" s="200"/>
      <c r="O57" s="200"/>
      <c r="Q57" s="233" t="s">
        <v>5225</v>
      </c>
      <c r="R57" s="234" t="s">
        <v>5226</v>
      </c>
      <c r="S57" s="234">
        <v>7</v>
      </c>
      <c r="T57" s="234">
        <v>90</v>
      </c>
      <c r="U57" s="234" t="s">
        <v>5081</v>
      </c>
      <c r="V57" s="234" t="s">
        <v>5227</v>
      </c>
      <c r="W57" s="3480" t="s">
        <v>5040</v>
      </c>
      <c r="X57" s="247" t="s">
        <v>5228</v>
      </c>
      <c r="Y57" s="286" t="s">
        <v>4429</v>
      </c>
      <c r="Z57" s="288"/>
      <c r="AA57" s="269"/>
      <c r="AB57" s="269"/>
      <c r="AC57" s="269"/>
      <c r="AD57" s="269"/>
      <c r="AE57" s="269"/>
      <c r="AF57" s="269"/>
    </row>
    <row r="58" ht="14.25" customHeight="1" spans="2:32">
      <c r="B58" s="161" t="s">
        <v>5229</v>
      </c>
      <c r="C58" s="162">
        <v>1</v>
      </c>
      <c r="D58" s="163">
        <v>0</v>
      </c>
      <c r="E58" s="163" t="s">
        <v>1491</v>
      </c>
      <c r="F58" s="163" t="s">
        <v>5230</v>
      </c>
      <c r="G58" s="162" t="s">
        <v>181</v>
      </c>
      <c r="H58" s="163" t="s">
        <v>4429</v>
      </c>
      <c r="I58" s="201" t="s">
        <v>5231</v>
      </c>
      <c r="J58" s="202" t="s">
        <v>5232</v>
      </c>
      <c r="K58" s="182"/>
      <c r="L58" s="200"/>
      <c r="M58" s="200"/>
      <c r="N58" s="200"/>
      <c r="O58" s="200"/>
      <c r="Q58" s="236" t="s">
        <v>5233</v>
      </c>
      <c r="R58" s="237" t="s">
        <v>5146</v>
      </c>
      <c r="S58" s="237">
        <v>13</v>
      </c>
      <c r="T58" s="237">
        <v>16</v>
      </c>
      <c r="U58" s="237">
        <v>6</v>
      </c>
      <c r="V58" s="237" t="s">
        <v>4109</v>
      </c>
      <c r="W58" s="3482" t="s">
        <v>5005</v>
      </c>
      <c r="X58" s="248" t="s">
        <v>5049</v>
      </c>
      <c r="Y58" s="289" t="s">
        <v>4447</v>
      </c>
      <c r="Z58" s="290" t="s">
        <v>5234</v>
      </c>
      <c r="AA58" s="285"/>
      <c r="AB58" s="269"/>
      <c r="AC58" s="269"/>
      <c r="AD58" s="269"/>
      <c r="AE58" s="269"/>
      <c r="AF58" s="269"/>
    </row>
    <row r="59" ht="14.25" customHeight="1" spans="2:32">
      <c r="B59" s="148" t="s">
        <v>5235</v>
      </c>
      <c r="C59" s="146">
        <v>2</v>
      </c>
      <c r="D59" s="144">
        <v>0</v>
      </c>
      <c r="E59" s="144" t="s">
        <v>1491</v>
      </c>
      <c r="F59" s="144" t="s">
        <v>5230</v>
      </c>
      <c r="G59" s="146" t="s">
        <v>515</v>
      </c>
      <c r="H59" s="144" t="s">
        <v>4447</v>
      </c>
      <c r="I59" s="183">
        <v>20</v>
      </c>
      <c r="J59" s="202"/>
      <c r="K59" s="182"/>
      <c r="L59" s="182"/>
      <c r="Q59" s="148" t="s">
        <v>5236</v>
      </c>
      <c r="R59" s="144" t="s">
        <v>5146</v>
      </c>
      <c r="S59" s="238">
        <v>11</v>
      </c>
      <c r="T59" s="144">
        <v>8</v>
      </c>
      <c r="U59" s="144">
        <v>4</v>
      </c>
      <c r="V59" s="144" t="s">
        <v>3799</v>
      </c>
      <c r="W59" s="3475" t="s">
        <v>5005</v>
      </c>
      <c r="X59" s="146" t="s">
        <v>5049</v>
      </c>
      <c r="Y59" s="183" t="s">
        <v>4429</v>
      </c>
      <c r="Z59" s="290"/>
      <c r="AA59" s="285"/>
      <c r="AB59" s="269"/>
      <c r="AC59" s="269"/>
      <c r="AD59" s="269"/>
      <c r="AE59" s="269"/>
      <c r="AF59" s="269"/>
    </row>
    <row r="60" ht="14.25" customHeight="1" spans="2:32">
      <c r="B60" s="164" t="s">
        <v>5237</v>
      </c>
      <c r="C60" s="162">
        <v>1</v>
      </c>
      <c r="D60" s="165">
        <v>0</v>
      </c>
      <c r="E60" s="165" t="s">
        <v>1491</v>
      </c>
      <c r="F60" s="165" t="s">
        <v>5230</v>
      </c>
      <c r="G60" s="162" t="s">
        <v>181</v>
      </c>
      <c r="H60" s="165" t="s">
        <v>4429</v>
      </c>
      <c r="I60" s="3483" t="s">
        <v>5186</v>
      </c>
      <c r="J60" s="202"/>
      <c r="K60" s="182"/>
      <c r="L60" s="182"/>
      <c r="Q60" s="236" t="s">
        <v>5238</v>
      </c>
      <c r="R60" s="237" t="s">
        <v>5146</v>
      </c>
      <c r="S60" s="239" t="s">
        <v>4684</v>
      </c>
      <c r="T60" s="237">
        <v>6</v>
      </c>
      <c r="U60" s="237">
        <v>2</v>
      </c>
      <c r="V60" s="237" t="s">
        <v>3856</v>
      </c>
      <c r="W60" s="3482" t="s">
        <v>5005</v>
      </c>
      <c r="X60" s="248" t="s">
        <v>5049</v>
      </c>
      <c r="Y60" s="289" t="s">
        <v>4447</v>
      </c>
      <c r="Z60" s="290"/>
      <c r="AA60" s="291" t="s">
        <v>5239</v>
      </c>
      <c r="AB60" s="292"/>
      <c r="AC60" s="292"/>
      <c r="AD60" s="292"/>
      <c r="AE60" s="311"/>
      <c r="AF60" s="269"/>
    </row>
    <row r="61" ht="14.25" customHeight="1" spans="2:32">
      <c r="B61" s="148" t="s">
        <v>5240</v>
      </c>
      <c r="C61" s="146">
        <v>1</v>
      </c>
      <c r="D61" s="144">
        <v>0</v>
      </c>
      <c r="E61" s="144" t="s">
        <v>1491</v>
      </c>
      <c r="F61" s="144" t="s">
        <v>5230</v>
      </c>
      <c r="G61" s="146" t="s">
        <v>515</v>
      </c>
      <c r="H61" s="144" t="s">
        <v>4447</v>
      </c>
      <c r="I61" s="183" t="s">
        <v>4660</v>
      </c>
      <c r="J61" s="202"/>
      <c r="K61" s="182"/>
      <c r="L61" s="182"/>
      <c r="Q61" s="148" t="s">
        <v>5241</v>
      </c>
      <c r="R61" s="144" t="s">
        <v>2397</v>
      </c>
      <c r="S61" s="238" t="s">
        <v>4548</v>
      </c>
      <c r="T61" s="144">
        <v>4</v>
      </c>
      <c r="U61" s="144">
        <v>2</v>
      </c>
      <c r="V61" s="238" t="s">
        <v>5242</v>
      </c>
      <c r="W61" s="144" t="s">
        <v>100</v>
      </c>
      <c r="X61" s="146" t="s">
        <v>5000</v>
      </c>
      <c r="Y61" s="183" t="s">
        <v>4429</v>
      </c>
      <c r="Z61" s="290"/>
      <c r="AA61" s="293" t="s">
        <v>362</v>
      </c>
      <c r="AB61" s="294">
        <v>5</v>
      </c>
      <c r="AC61" s="294">
        <v>6</v>
      </c>
      <c r="AD61" s="294">
        <v>7</v>
      </c>
      <c r="AE61" s="312">
        <v>8</v>
      </c>
      <c r="AF61" s="269"/>
    </row>
    <row r="62" ht="14.25" customHeight="1" spans="2:32">
      <c r="B62" s="161" t="s">
        <v>5243</v>
      </c>
      <c r="C62" s="162">
        <v>2</v>
      </c>
      <c r="D62" s="163">
        <v>0</v>
      </c>
      <c r="E62" s="163" t="s">
        <v>1491</v>
      </c>
      <c r="F62" s="163" t="s">
        <v>5230</v>
      </c>
      <c r="G62" s="162" t="s">
        <v>515</v>
      </c>
      <c r="H62" s="163" t="s">
        <v>4429</v>
      </c>
      <c r="I62" s="3483" t="s">
        <v>5186</v>
      </c>
      <c r="J62" s="202"/>
      <c r="K62" s="182"/>
      <c r="L62" s="182"/>
      <c r="Q62" s="236" t="s">
        <v>5244</v>
      </c>
      <c r="R62" s="237" t="s">
        <v>5146</v>
      </c>
      <c r="S62" s="239" t="s">
        <v>4544</v>
      </c>
      <c r="T62" s="237">
        <v>35</v>
      </c>
      <c r="U62" s="237">
        <v>3</v>
      </c>
      <c r="V62" s="237" t="s">
        <v>3882</v>
      </c>
      <c r="W62" s="3482" t="s">
        <v>5005</v>
      </c>
      <c r="X62" s="248" t="s">
        <v>5049</v>
      </c>
      <c r="Y62" s="289" t="s">
        <v>4447</v>
      </c>
      <c r="Z62" s="290"/>
      <c r="AA62" s="295" t="s">
        <v>5245</v>
      </c>
      <c r="AB62" s="296">
        <v>3</v>
      </c>
      <c r="AC62" s="296">
        <v>4</v>
      </c>
      <c r="AD62" s="296">
        <v>6</v>
      </c>
      <c r="AE62" s="313">
        <v>8</v>
      </c>
      <c r="AF62" s="269"/>
    </row>
    <row r="63" ht="14.25" customHeight="1" spans="2:32">
      <c r="B63" s="148" t="s">
        <v>5246</v>
      </c>
      <c r="C63" s="146">
        <v>2</v>
      </c>
      <c r="D63" s="144">
        <v>0</v>
      </c>
      <c r="E63" s="144" t="s">
        <v>1491</v>
      </c>
      <c r="F63" s="144" t="s">
        <v>5230</v>
      </c>
      <c r="G63" s="146" t="s">
        <v>515</v>
      </c>
      <c r="H63" s="144" t="s">
        <v>5149</v>
      </c>
      <c r="I63" s="183" t="s">
        <v>4660</v>
      </c>
      <c r="J63" s="202"/>
      <c r="K63" s="182"/>
      <c r="L63" s="182"/>
      <c r="Q63" s="148" t="s">
        <v>5247</v>
      </c>
      <c r="R63" s="144" t="s">
        <v>5146</v>
      </c>
      <c r="S63" s="238" t="s">
        <v>5248</v>
      </c>
      <c r="T63" s="144">
        <v>30</v>
      </c>
      <c r="U63" s="144">
        <v>3</v>
      </c>
      <c r="V63" s="238" t="s">
        <v>3862</v>
      </c>
      <c r="W63" s="3475" t="s">
        <v>5005</v>
      </c>
      <c r="X63" s="146" t="s">
        <v>5049</v>
      </c>
      <c r="Y63" s="183" t="s">
        <v>4447</v>
      </c>
      <c r="Z63" s="290"/>
      <c r="AA63" s="293" t="s">
        <v>362</v>
      </c>
      <c r="AB63" s="294">
        <v>9</v>
      </c>
      <c r="AC63" s="294">
        <v>10</v>
      </c>
      <c r="AD63" s="294">
        <v>11</v>
      </c>
      <c r="AE63" s="312">
        <v>12</v>
      </c>
      <c r="AF63" s="269"/>
    </row>
    <row r="64" ht="14.25" customHeight="1" spans="2:32">
      <c r="B64" s="164" t="s">
        <v>5249</v>
      </c>
      <c r="C64" s="162">
        <v>1</v>
      </c>
      <c r="D64" s="165">
        <v>0</v>
      </c>
      <c r="E64" s="165" t="s">
        <v>1613</v>
      </c>
      <c r="F64" s="165" t="s">
        <v>5250</v>
      </c>
      <c r="G64" s="162" t="s">
        <v>181</v>
      </c>
      <c r="H64" s="165" t="s">
        <v>4429</v>
      </c>
      <c r="I64" s="204" t="s">
        <v>5251</v>
      </c>
      <c r="J64" s="202"/>
      <c r="K64" s="182"/>
      <c r="L64" s="182"/>
      <c r="Q64" s="236" t="s">
        <v>5252</v>
      </c>
      <c r="R64" s="237" t="s">
        <v>5146</v>
      </c>
      <c r="S64" s="239" t="s">
        <v>5253</v>
      </c>
      <c r="T64" s="237">
        <v>16</v>
      </c>
      <c r="U64" s="237">
        <v>2</v>
      </c>
      <c r="V64" s="237" t="s">
        <v>3564</v>
      </c>
      <c r="W64" s="3482" t="s">
        <v>5005</v>
      </c>
      <c r="X64" s="248" t="s">
        <v>5000</v>
      </c>
      <c r="Y64" s="289" t="s">
        <v>4447</v>
      </c>
      <c r="Z64" s="297"/>
      <c r="AA64" s="295" t="s">
        <v>5245</v>
      </c>
      <c r="AB64" s="296">
        <v>12</v>
      </c>
      <c r="AC64" s="296">
        <v>18</v>
      </c>
      <c r="AD64" s="296">
        <v>27</v>
      </c>
      <c r="AE64" s="313">
        <v>40</v>
      </c>
      <c r="AF64" s="269"/>
    </row>
    <row r="65" ht="14.25" customHeight="1" spans="2:34">
      <c r="B65" s="148" t="s">
        <v>5254</v>
      </c>
      <c r="C65" s="146">
        <v>2</v>
      </c>
      <c r="D65" s="144">
        <v>1</v>
      </c>
      <c r="E65" s="144" t="s">
        <v>1613</v>
      </c>
      <c r="F65" s="144" t="s">
        <v>5250</v>
      </c>
      <c r="G65" s="146" t="s">
        <v>515</v>
      </c>
      <c r="H65" s="144" t="s">
        <v>5149</v>
      </c>
      <c r="I65" s="183" t="s">
        <v>4660</v>
      </c>
      <c r="J65" s="202"/>
      <c r="K65" s="182"/>
      <c r="L65" s="182"/>
      <c r="Q65" s="377"/>
      <c r="R65" s="378"/>
      <c r="S65" s="378"/>
      <c r="T65" s="378"/>
      <c r="U65" s="378"/>
      <c r="V65" s="378"/>
      <c r="W65" s="378"/>
      <c r="X65" s="457"/>
      <c r="Y65" s="493"/>
      <c r="Z65" s="267"/>
      <c r="AA65" s="293" t="s">
        <v>362</v>
      </c>
      <c r="AB65" s="294">
        <v>13</v>
      </c>
      <c r="AC65" s="294">
        <v>14</v>
      </c>
      <c r="AD65" s="294">
        <v>15</v>
      </c>
      <c r="AE65" s="312">
        <v>16</v>
      </c>
      <c r="AF65" s="269"/>
      <c r="AG65" s="182"/>
      <c r="AH65" s="182"/>
    </row>
    <row r="66" ht="14.25" customHeight="1" spans="2:34">
      <c r="B66" s="161" t="s">
        <v>5255</v>
      </c>
      <c r="C66" s="162">
        <v>2</v>
      </c>
      <c r="D66" s="163">
        <v>1</v>
      </c>
      <c r="E66" s="163" t="s">
        <v>1613</v>
      </c>
      <c r="F66" s="163" t="s">
        <v>5250</v>
      </c>
      <c r="G66" s="162" t="s">
        <v>181</v>
      </c>
      <c r="H66" s="163" t="s">
        <v>4429</v>
      </c>
      <c r="I66" s="3484" t="s">
        <v>5256</v>
      </c>
      <c r="J66" s="202"/>
      <c r="K66" s="182"/>
      <c r="L66" s="182"/>
      <c r="Q66" s="379"/>
      <c r="R66" s="380"/>
      <c r="S66" s="380"/>
      <c r="T66" s="380"/>
      <c r="U66" s="380"/>
      <c r="V66" s="380"/>
      <c r="W66" s="380"/>
      <c r="X66" s="298"/>
      <c r="Y66" s="494"/>
      <c r="Z66" s="267"/>
      <c r="AA66" s="295" t="s">
        <v>5245</v>
      </c>
      <c r="AB66" s="296">
        <v>60</v>
      </c>
      <c r="AC66" s="296">
        <v>90</v>
      </c>
      <c r="AD66" s="296">
        <v>135</v>
      </c>
      <c r="AE66" s="313">
        <v>200</v>
      </c>
      <c r="AF66" s="269"/>
      <c r="AG66" s="182"/>
      <c r="AH66" s="182"/>
    </row>
    <row r="67" ht="14.25" customHeight="1" spans="2:34">
      <c r="B67" s="315" t="s">
        <v>5257</v>
      </c>
      <c r="C67" s="316">
        <v>9</v>
      </c>
      <c r="D67" s="317">
        <v>1</v>
      </c>
      <c r="E67" s="317" t="s">
        <v>100</v>
      </c>
      <c r="F67" s="317" t="s">
        <v>5258</v>
      </c>
      <c r="G67" s="316" t="s">
        <v>515</v>
      </c>
      <c r="H67" s="317" t="s">
        <v>4447</v>
      </c>
      <c r="I67" s="344">
        <v>40</v>
      </c>
      <c r="J67" s="345" t="s">
        <v>5259</v>
      </c>
      <c r="K67" s="346" t="s">
        <v>5260</v>
      </c>
      <c r="L67" s="347" t="s">
        <v>5261</v>
      </c>
      <c r="M67" s="370"/>
      <c r="N67" s="370"/>
      <c r="O67" s="371"/>
      <c r="Q67" s="377"/>
      <c r="R67" s="378"/>
      <c r="S67" s="378"/>
      <c r="T67" s="378"/>
      <c r="U67" s="378"/>
      <c r="V67" s="378"/>
      <c r="W67" s="457"/>
      <c r="X67" s="378"/>
      <c r="Y67" s="495"/>
      <c r="Z67" s="267"/>
      <c r="AA67" s="293" t="s">
        <v>362</v>
      </c>
      <c r="AB67" s="294">
        <v>17</v>
      </c>
      <c r="AC67" s="294">
        <v>18</v>
      </c>
      <c r="AD67" s="294">
        <v>19</v>
      </c>
      <c r="AE67" s="312">
        <v>20</v>
      </c>
      <c r="AF67" s="269"/>
      <c r="AG67" s="182"/>
      <c r="AH67" s="182"/>
    </row>
    <row r="68" ht="14.25" customHeight="1" spans="2:32">
      <c r="B68" s="318" t="s">
        <v>5262</v>
      </c>
      <c r="C68" s="146">
        <v>25</v>
      </c>
      <c r="D68" s="319">
        <v>1</v>
      </c>
      <c r="E68" s="319" t="s">
        <v>100</v>
      </c>
      <c r="F68" s="319" t="s">
        <v>5258</v>
      </c>
      <c r="G68" s="146" t="s">
        <v>515</v>
      </c>
      <c r="H68" s="319" t="s">
        <v>4447</v>
      </c>
      <c r="I68" s="348" t="s">
        <v>4660</v>
      </c>
      <c r="J68" s="349"/>
      <c r="K68" s="350"/>
      <c r="L68" s="351"/>
      <c r="M68" s="372"/>
      <c r="N68" s="372"/>
      <c r="O68" s="373"/>
      <c r="Q68" s="381"/>
      <c r="R68" s="382"/>
      <c r="S68" s="382"/>
      <c r="T68" s="382"/>
      <c r="U68" s="382"/>
      <c r="V68" s="382"/>
      <c r="W68" s="458"/>
      <c r="X68" s="382"/>
      <c r="Y68" s="496"/>
      <c r="Z68" s="267"/>
      <c r="AA68" s="497" t="s">
        <v>5245</v>
      </c>
      <c r="AB68" s="498">
        <v>300</v>
      </c>
      <c r="AC68" s="498">
        <v>450</v>
      </c>
      <c r="AD68" s="498">
        <v>675</v>
      </c>
      <c r="AE68" s="538">
        <v>1000</v>
      </c>
      <c r="AF68" s="269"/>
    </row>
    <row r="69" ht="14.25" customHeight="1" spans="2:32">
      <c r="B69" s="315" t="s">
        <v>5263</v>
      </c>
      <c r="C69" s="316">
        <v>30</v>
      </c>
      <c r="D69" s="317">
        <v>2</v>
      </c>
      <c r="E69" s="317" t="s">
        <v>100</v>
      </c>
      <c r="F69" s="317" t="s">
        <v>5258</v>
      </c>
      <c r="G69" s="316" t="s">
        <v>515</v>
      </c>
      <c r="H69" s="317" t="s">
        <v>4447</v>
      </c>
      <c r="I69" s="344" t="s">
        <v>4660</v>
      </c>
      <c r="J69" s="349"/>
      <c r="K69" s="350"/>
      <c r="L69" s="351"/>
      <c r="M69" s="372"/>
      <c r="N69" s="372"/>
      <c r="O69" s="373"/>
      <c r="Q69" s="383"/>
      <c r="R69" s="298"/>
      <c r="S69" s="298"/>
      <c r="T69" s="298"/>
      <c r="U69" s="298"/>
      <c r="V69" s="298"/>
      <c r="W69" s="298"/>
      <c r="X69" s="269"/>
      <c r="Y69" s="269"/>
      <c r="Z69" s="269"/>
      <c r="AA69" s="499" t="s">
        <v>5264</v>
      </c>
      <c r="AB69" s="499"/>
      <c r="AC69" s="499"/>
      <c r="AD69" s="499"/>
      <c r="AE69" s="499"/>
      <c r="AF69" s="269"/>
    </row>
    <row r="70" ht="14.25" customHeight="1" spans="2:32">
      <c r="B70" s="320" t="s">
        <v>5265</v>
      </c>
      <c r="C70" s="321">
        <v>15</v>
      </c>
      <c r="D70" s="322">
        <v>0</v>
      </c>
      <c r="E70" s="322" t="s">
        <v>5266</v>
      </c>
      <c r="F70" s="322" t="s">
        <v>5267</v>
      </c>
      <c r="G70" s="321" t="s">
        <v>515</v>
      </c>
      <c r="H70" s="322" t="s">
        <v>5149</v>
      </c>
      <c r="I70" s="352" t="s">
        <v>4660</v>
      </c>
      <c r="J70" s="349"/>
      <c r="K70" s="350"/>
      <c r="L70" s="353"/>
      <c r="M70" s="374"/>
      <c r="N70" s="374"/>
      <c r="O70" s="375"/>
      <c r="Q70" s="384" t="s">
        <v>5268</v>
      </c>
      <c r="R70" s="385"/>
      <c r="S70" s="385"/>
      <c r="T70" s="385"/>
      <c r="U70" s="385"/>
      <c r="V70" s="385"/>
      <c r="W70" s="385"/>
      <c r="X70" s="385"/>
      <c r="Y70" s="385"/>
      <c r="Z70" s="500"/>
      <c r="AA70" s="269"/>
      <c r="AB70" s="501"/>
      <c r="AC70" s="269"/>
      <c r="AD70" s="269"/>
      <c r="AE70" s="269"/>
      <c r="AF70" s="269"/>
    </row>
    <row r="71" ht="14.25" customHeight="1" spans="2:32">
      <c r="B71" s="315" t="s">
        <v>5269</v>
      </c>
      <c r="C71" s="316">
        <v>10</v>
      </c>
      <c r="D71" s="317">
        <v>1</v>
      </c>
      <c r="E71" s="317" t="s">
        <v>100</v>
      </c>
      <c r="F71" s="317" t="s">
        <v>5258</v>
      </c>
      <c r="G71" s="316" t="s">
        <v>515</v>
      </c>
      <c r="H71" s="317" t="s">
        <v>5149</v>
      </c>
      <c r="I71" s="344" t="s">
        <v>4660</v>
      </c>
      <c r="J71" s="349"/>
      <c r="K71" s="350"/>
      <c r="L71" s="354" t="s">
        <v>5270</v>
      </c>
      <c r="M71" s="354"/>
      <c r="N71" s="354"/>
      <c r="O71" s="354"/>
      <c r="Q71" s="386" t="s">
        <v>5271</v>
      </c>
      <c r="R71" s="387"/>
      <c r="S71" s="387"/>
      <c r="T71" s="387"/>
      <c r="U71" s="387"/>
      <c r="V71" s="387"/>
      <c r="W71" s="387"/>
      <c r="X71" s="387"/>
      <c r="Y71" s="387"/>
      <c r="Z71" s="502"/>
      <c r="AA71" s="269"/>
      <c r="AB71" s="501"/>
      <c r="AC71" s="269"/>
      <c r="AD71" s="269"/>
      <c r="AE71" s="269"/>
      <c r="AF71" s="269"/>
    </row>
    <row r="72" ht="14.25" customHeight="1" spans="2:32">
      <c r="B72" s="318" t="s">
        <v>5272</v>
      </c>
      <c r="C72" s="146">
        <v>15</v>
      </c>
      <c r="D72" s="319">
        <v>1</v>
      </c>
      <c r="E72" s="319" t="s">
        <v>100</v>
      </c>
      <c r="F72" s="319" t="s">
        <v>5258</v>
      </c>
      <c r="G72" s="146" t="s">
        <v>515</v>
      </c>
      <c r="H72" s="319" t="s">
        <v>5149</v>
      </c>
      <c r="I72" s="348" t="s">
        <v>4660</v>
      </c>
      <c r="J72" s="349"/>
      <c r="K72" s="350"/>
      <c r="L72" s="354"/>
      <c r="M72" s="354"/>
      <c r="N72" s="354"/>
      <c r="O72" s="354"/>
      <c r="Q72" s="388"/>
      <c r="R72" s="389"/>
      <c r="S72" s="389"/>
      <c r="T72" s="389"/>
      <c r="U72" s="389"/>
      <c r="V72" s="389"/>
      <c r="W72" s="389"/>
      <c r="X72" s="389"/>
      <c r="Y72" s="389"/>
      <c r="Z72" s="503"/>
      <c r="AA72" s="269"/>
      <c r="AB72" s="501"/>
      <c r="AC72" s="269"/>
      <c r="AD72" s="269"/>
      <c r="AE72" s="269"/>
      <c r="AF72" s="269"/>
    </row>
    <row r="73" ht="14.25" customHeight="1" spans="2:32">
      <c r="B73" s="315" t="s">
        <v>5273</v>
      </c>
      <c r="C73" s="316">
        <v>20</v>
      </c>
      <c r="D73" s="317">
        <v>2</v>
      </c>
      <c r="E73" s="317" t="s">
        <v>100</v>
      </c>
      <c r="F73" s="317" t="s">
        <v>5258</v>
      </c>
      <c r="G73" s="316" t="s">
        <v>515</v>
      </c>
      <c r="H73" s="317" t="s">
        <v>5149</v>
      </c>
      <c r="I73" s="344" t="s">
        <v>4660</v>
      </c>
      <c r="J73" s="349"/>
      <c r="K73" s="350"/>
      <c r="L73" s="354"/>
      <c r="M73" s="354"/>
      <c r="N73" s="354"/>
      <c r="O73" s="354"/>
      <c r="Q73" s="390"/>
      <c r="R73" s="391"/>
      <c r="S73" s="391"/>
      <c r="T73" s="391"/>
      <c r="U73" s="391"/>
      <c r="V73" s="391"/>
      <c r="W73" s="391"/>
      <c r="X73" s="391"/>
      <c r="Y73" s="391"/>
      <c r="Z73" s="504"/>
      <c r="AA73" s="269"/>
      <c r="AB73" s="501"/>
      <c r="AC73" s="269"/>
      <c r="AD73" s="269"/>
      <c r="AE73" s="269"/>
      <c r="AF73" s="269"/>
    </row>
    <row r="74" ht="14.25" customHeight="1" spans="2:32">
      <c r="B74" s="323" t="s">
        <v>5274</v>
      </c>
      <c r="C74" s="324">
        <v>20</v>
      </c>
      <c r="D74" s="324" t="s">
        <v>100</v>
      </c>
      <c r="E74" s="324" t="s">
        <v>100</v>
      </c>
      <c r="F74" s="324" t="s">
        <v>2565</v>
      </c>
      <c r="G74" s="324" t="s">
        <v>515</v>
      </c>
      <c r="H74" s="324" t="s">
        <v>5149</v>
      </c>
      <c r="I74" s="355" t="s">
        <v>4660</v>
      </c>
      <c r="J74" s="356"/>
      <c r="K74" s="357"/>
      <c r="L74" s="354"/>
      <c r="M74" s="354"/>
      <c r="N74" s="354"/>
      <c r="O74" s="354"/>
      <c r="Q74" s="386" t="s">
        <v>5275</v>
      </c>
      <c r="R74" s="392"/>
      <c r="S74" s="392"/>
      <c r="T74" s="392"/>
      <c r="U74" s="392"/>
      <c r="V74" s="392"/>
      <c r="W74" s="392"/>
      <c r="X74" s="392"/>
      <c r="Y74" s="392"/>
      <c r="Z74" s="505"/>
      <c r="AA74" s="269"/>
      <c r="AB74" s="501"/>
      <c r="AC74" s="269"/>
      <c r="AD74" s="269"/>
      <c r="AE74" s="269"/>
      <c r="AF74" s="269"/>
    </row>
    <row r="75" ht="14.25" customHeight="1" spans="2:34">
      <c r="B75" s="325" t="s">
        <v>59</v>
      </c>
      <c r="C75" s="326" t="s">
        <v>237</v>
      </c>
      <c r="D75" s="327" t="s">
        <v>237</v>
      </c>
      <c r="E75" s="327" t="s">
        <v>237</v>
      </c>
      <c r="F75" s="327" t="s">
        <v>237</v>
      </c>
      <c r="G75" s="326" t="s">
        <v>237</v>
      </c>
      <c r="H75" s="327" t="s">
        <v>237</v>
      </c>
      <c r="I75" s="358" t="s">
        <v>237</v>
      </c>
      <c r="J75" s="359" t="s">
        <v>1329</v>
      </c>
      <c r="K75" s="182"/>
      <c r="Q75" s="393"/>
      <c r="R75" s="394"/>
      <c r="S75" s="394"/>
      <c r="T75" s="394"/>
      <c r="U75" s="394"/>
      <c r="V75" s="394"/>
      <c r="W75" s="394"/>
      <c r="X75" s="394"/>
      <c r="Y75" s="394"/>
      <c r="Z75" s="506"/>
      <c r="AA75" s="269"/>
      <c r="AB75" s="501"/>
      <c r="AC75" s="269"/>
      <c r="AD75" s="269"/>
      <c r="AE75" s="269"/>
      <c r="AF75" s="269"/>
      <c r="AG75" s="182"/>
      <c r="AH75" s="182"/>
    </row>
    <row r="76" ht="14.25" customHeight="1" spans="2:34">
      <c r="B76" s="148"/>
      <c r="C76" s="146"/>
      <c r="D76" s="144"/>
      <c r="E76" s="144"/>
      <c r="F76" s="144"/>
      <c r="G76" s="146"/>
      <c r="H76" s="144"/>
      <c r="I76" s="183"/>
      <c r="J76" s="360"/>
      <c r="N76" s="376"/>
      <c r="Q76" s="393"/>
      <c r="R76" s="394"/>
      <c r="S76" s="394"/>
      <c r="T76" s="394"/>
      <c r="U76" s="394"/>
      <c r="V76" s="394"/>
      <c r="W76" s="394"/>
      <c r="X76" s="394"/>
      <c r="Y76" s="394"/>
      <c r="Z76" s="506"/>
      <c r="AA76" s="269"/>
      <c r="AB76" s="501"/>
      <c r="AC76" s="269"/>
      <c r="AD76" s="269"/>
      <c r="AE76" s="269"/>
      <c r="AF76" s="269"/>
      <c r="AG76" s="182"/>
      <c r="AH76" s="182"/>
    </row>
    <row r="77" ht="14.25" customHeight="1" spans="2:34">
      <c r="B77" s="325"/>
      <c r="C77" s="327"/>
      <c r="D77" s="327"/>
      <c r="E77" s="327"/>
      <c r="F77" s="327"/>
      <c r="G77" s="327"/>
      <c r="H77" s="327"/>
      <c r="I77" s="358"/>
      <c r="J77" s="360"/>
      <c r="N77" s="376"/>
      <c r="Q77" s="395" t="s">
        <v>5276</v>
      </c>
      <c r="R77" s="396"/>
      <c r="S77" s="396"/>
      <c r="T77" s="396"/>
      <c r="U77" s="396"/>
      <c r="V77" s="396"/>
      <c r="W77" s="396"/>
      <c r="X77" s="396"/>
      <c r="Y77" s="396"/>
      <c r="Z77" s="507"/>
      <c r="AA77" s="269"/>
      <c r="AB77" s="501"/>
      <c r="AC77" s="269"/>
      <c r="AD77" s="269"/>
      <c r="AE77" s="269"/>
      <c r="AF77" s="269"/>
      <c r="AG77" s="182"/>
      <c r="AH77" s="182"/>
    </row>
    <row r="78" ht="14.25" customHeight="1" spans="2:34">
      <c r="B78" s="328"/>
      <c r="C78" s="329"/>
      <c r="D78" s="329"/>
      <c r="E78" s="329"/>
      <c r="F78" s="329"/>
      <c r="G78" s="329"/>
      <c r="H78" s="329"/>
      <c r="I78" s="361"/>
      <c r="J78" s="360"/>
      <c r="N78" s="376"/>
      <c r="Q78" s="397" t="s">
        <v>5277</v>
      </c>
      <c r="R78" s="398"/>
      <c r="S78" s="398"/>
      <c r="T78" s="398"/>
      <c r="U78" s="398"/>
      <c r="V78" s="398"/>
      <c r="W78" s="398"/>
      <c r="X78" s="398"/>
      <c r="Y78" s="398"/>
      <c r="Z78" s="508"/>
      <c r="AA78" s="269"/>
      <c r="AB78" s="501"/>
      <c r="AC78" s="269"/>
      <c r="AD78" s="269"/>
      <c r="AE78" s="269"/>
      <c r="AF78" s="269"/>
      <c r="AG78" s="182"/>
      <c r="AH78" s="182"/>
    </row>
    <row r="79" ht="14.25" customHeight="1" spans="2:34">
      <c r="B79" s="148"/>
      <c r="C79" s="144"/>
      <c r="D79" s="144"/>
      <c r="E79" s="144"/>
      <c r="F79" s="144"/>
      <c r="G79" s="144"/>
      <c r="H79" s="144"/>
      <c r="I79" s="183"/>
      <c r="J79" s="360"/>
      <c r="K79" s="182"/>
      <c r="Q79" s="397"/>
      <c r="R79" s="398"/>
      <c r="S79" s="398"/>
      <c r="T79" s="398"/>
      <c r="U79" s="398"/>
      <c r="V79" s="398"/>
      <c r="W79" s="398"/>
      <c r="X79" s="398"/>
      <c r="Y79" s="398"/>
      <c r="Z79" s="508"/>
      <c r="AA79" s="269"/>
      <c r="AB79" s="501"/>
      <c r="AC79" s="269"/>
      <c r="AD79" s="269"/>
      <c r="AE79" s="269"/>
      <c r="AF79" s="269"/>
      <c r="AG79" s="182"/>
      <c r="AH79" s="182"/>
    </row>
    <row r="80" ht="14.25" customHeight="1" spans="2:34">
      <c r="B80" s="328"/>
      <c r="C80" s="329"/>
      <c r="D80" s="329"/>
      <c r="E80" s="329"/>
      <c r="F80" s="329"/>
      <c r="G80" s="329"/>
      <c r="H80" s="329"/>
      <c r="I80" s="361"/>
      <c r="J80" s="360"/>
      <c r="K80" s="182"/>
      <c r="Q80" s="397"/>
      <c r="R80" s="398"/>
      <c r="S80" s="398"/>
      <c r="T80" s="398"/>
      <c r="U80" s="398"/>
      <c r="V80" s="398"/>
      <c r="W80" s="398"/>
      <c r="X80" s="398"/>
      <c r="Y80" s="398"/>
      <c r="Z80" s="508"/>
      <c r="AA80" s="269"/>
      <c r="AB80" s="501"/>
      <c r="AC80" s="269"/>
      <c r="AD80" s="269"/>
      <c r="AE80" s="269"/>
      <c r="AF80" s="269"/>
      <c r="AG80" s="182"/>
      <c r="AH80" s="182"/>
    </row>
    <row r="81" ht="14.25" customHeight="1" spans="2:27">
      <c r="B81" s="148"/>
      <c r="C81" s="144"/>
      <c r="D81" s="144"/>
      <c r="E81" s="144"/>
      <c r="F81" s="144"/>
      <c r="G81" s="144"/>
      <c r="H81" s="144"/>
      <c r="I81" s="183"/>
      <c r="J81" s="360"/>
      <c r="K81" s="182"/>
      <c r="Q81" s="399" t="s">
        <v>5278</v>
      </c>
      <c r="R81" s="400"/>
      <c r="S81" s="400"/>
      <c r="T81" s="400"/>
      <c r="U81" s="400"/>
      <c r="V81" s="400"/>
      <c r="W81" s="400"/>
      <c r="X81" s="400"/>
      <c r="Y81" s="400"/>
      <c r="Z81" s="509"/>
      <c r="AA81" s="267"/>
    </row>
    <row r="82" ht="14.25" customHeight="1" spans="2:27">
      <c r="B82" s="330"/>
      <c r="C82" s="331"/>
      <c r="D82" s="331"/>
      <c r="E82" s="331"/>
      <c r="F82" s="331"/>
      <c r="G82" s="331"/>
      <c r="H82" s="331"/>
      <c r="I82" s="362"/>
      <c r="J82" s="363"/>
      <c r="K82" s="182"/>
      <c r="Q82" s="397"/>
      <c r="R82" s="398"/>
      <c r="S82" s="398"/>
      <c r="T82" s="398"/>
      <c r="U82" s="398"/>
      <c r="V82" s="398"/>
      <c r="W82" s="398"/>
      <c r="X82" s="398"/>
      <c r="Y82" s="398"/>
      <c r="Z82" s="508"/>
      <c r="AA82" s="267"/>
    </row>
    <row r="83" ht="14.25" customHeight="1" spans="11:27">
      <c r="K83" s="182"/>
      <c r="M83" s="182"/>
      <c r="N83" s="376"/>
      <c r="Q83" s="401"/>
      <c r="R83" s="402"/>
      <c r="S83" s="402"/>
      <c r="T83" s="402"/>
      <c r="U83" s="402"/>
      <c r="V83" s="402"/>
      <c r="W83" s="402"/>
      <c r="X83" s="402"/>
      <c r="Y83" s="402"/>
      <c r="Z83" s="510"/>
      <c r="AA83" s="267"/>
    </row>
    <row r="84" ht="14.25" customHeight="1" spans="2:34">
      <c r="B84" s="332" t="s">
        <v>4815</v>
      </c>
      <c r="C84" s="333"/>
      <c r="D84" s="333"/>
      <c r="E84" s="333"/>
      <c r="F84" s="333"/>
      <c r="G84" s="333"/>
      <c r="H84" s="333"/>
      <c r="I84" s="333"/>
      <c r="J84" s="364"/>
      <c r="K84" s="182"/>
      <c r="L84" s="182"/>
      <c r="M84" s="182"/>
      <c r="N84" s="376"/>
      <c r="Q84" s="397" t="s">
        <v>5279</v>
      </c>
      <c r="R84" s="403"/>
      <c r="S84" s="403"/>
      <c r="T84" s="403"/>
      <c r="U84" s="403"/>
      <c r="V84" s="403"/>
      <c r="W84" s="403"/>
      <c r="X84" s="403"/>
      <c r="Y84" s="403"/>
      <c r="Z84" s="511"/>
      <c r="AA84" s="267"/>
      <c r="AB84" s="501"/>
      <c r="AC84" s="269"/>
      <c r="AD84" s="269"/>
      <c r="AE84" s="269"/>
      <c r="AF84" s="269"/>
      <c r="AG84" s="182"/>
      <c r="AH84" s="182"/>
    </row>
    <row r="85" ht="14.25" customHeight="1" spans="2:34">
      <c r="B85" s="334" t="s">
        <v>5280</v>
      </c>
      <c r="C85" s="335"/>
      <c r="D85" s="335"/>
      <c r="E85" s="335"/>
      <c r="F85" s="335"/>
      <c r="G85" s="335"/>
      <c r="H85" s="335"/>
      <c r="I85" s="335"/>
      <c r="J85" s="365"/>
      <c r="K85" s="182"/>
      <c r="L85" s="182"/>
      <c r="M85" s="182"/>
      <c r="N85" s="376"/>
      <c r="Q85" s="404"/>
      <c r="R85" s="405"/>
      <c r="S85" s="405"/>
      <c r="T85" s="405"/>
      <c r="U85" s="405"/>
      <c r="V85" s="405"/>
      <c r="W85" s="405"/>
      <c r="X85" s="405"/>
      <c r="Y85" s="405"/>
      <c r="Z85" s="512"/>
      <c r="AA85" s="267"/>
      <c r="AB85" s="501"/>
      <c r="AC85" s="269"/>
      <c r="AD85" s="269"/>
      <c r="AE85" s="269"/>
      <c r="AF85" s="269"/>
      <c r="AG85" s="182"/>
      <c r="AH85" s="182"/>
    </row>
    <row r="86" ht="14.25" customHeight="1" spans="2:34">
      <c r="B86" s="334" t="s">
        <v>5281</v>
      </c>
      <c r="C86" s="335"/>
      <c r="D86" s="335"/>
      <c r="E86" s="335"/>
      <c r="F86" s="335"/>
      <c r="G86" s="335"/>
      <c r="H86" s="335"/>
      <c r="I86" s="335"/>
      <c r="J86" s="365"/>
      <c r="K86" s="182"/>
      <c r="L86" s="182"/>
      <c r="M86" s="182"/>
      <c r="N86" s="376"/>
      <c r="Q86" s="397" t="s">
        <v>5282</v>
      </c>
      <c r="R86" s="403"/>
      <c r="S86" s="403"/>
      <c r="T86" s="403"/>
      <c r="U86" s="403"/>
      <c r="V86" s="403"/>
      <c r="W86" s="403"/>
      <c r="X86" s="403"/>
      <c r="Y86" s="403"/>
      <c r="Z86" s="511"/>
      <c r="AA86" s="267"/>
      <c r="AB86" s="501"/>
      <c r="AC86" s="269"/>
      <c r="AD86" s="269"/>
      <c r="AE86" s="269"/>
      <c r="AF86" s="269"/>
      <c r="AG86" s="182"/>
      <c r="AH86" s="182"/>
    </row>
    <row r="87" ht="14.25" customHeight="1" spans="2:34">
      <c r="B87" s="334" t="s">
        <v>5283</v>
      </c>
      <c r="C87" s="335"/>
      <c r="D87" s="335"/>
      <c r="E87" s="335"/>
      <c r="F87" s="335"/>
      <c r="G87" s="335"/>
      <c r="H87" s="335"/>
      <c r="I87" s="335"/>
      <c r="J87" s="365"/>
      <c r="K87" s="182"/>
      <c r="L87" s="182"/>
      <c r="M87" s="182"/>
      <c r="N87" s="376"/>
      <c r="Q87" s="406"/>
      <c r="R87" s="407"/>
      <c r="S87" s="407"/>
      <c r="T87" s="407"/>
      <c r="U87" s="407"/>
      <c r="V87" s="407"/>
      <c r="W87" s="407"/>
      <c r="X87" s="407"/>
      <c r="Y87" s="407"/>
      <c r="Z87" s="513"/>
      <c r="AF87" s="269"/>
      <c r="AG87" s="182"/>
      <c r="AH87" s="182"/>
    </row>
    <row r="88" ht="14.25" customHeight="1" spans="2:34">
      <c r="B88" s="334" t="s">
        <v>5284</v>
      </c>
      <c r="C88" s="335"/>
      <c r="D88" s="335"/>
      <c r="E88" s="335"/>
      <c r="F88" s="335"/>
      <c r="G88" s="335"/>
      <c r="H88" s="335"/>
      <c r="I88" s="335"/>
      <c r="J88" s="365"/>
      <c r="K88" s="182"/>
      <c r="L88" s="182"/>
      <c r="M88" s="182"/>
      <c r="N88" s="376"/>
      <c r="AF88" s="269"/>
      <c r="AG88" s="182"/>
      <c r="AH88" s="182"/>
    </row>
    <row r="89" ht="14.25" customHeight="1" spans="2:34">
      <c r="B89" s="336" t="s">
        <v>5285</v>
      </c>
      <c r="C89" s="337"/>
      <c r="D89" s="337"/>
      <c r="E89" s="337"/>
      <c r="F89" s="337"/>
      <c r="G89" s="337"/>
      <c r="H89" s="337"/>
      <c r="I89" s="337"/>
      <c r="J89" s="366"/>
      <c r="K89" s="182"/>
      <c r="L89" s="182"/>
      <c r="M89" s="182"/>
      <c r="N89" s="376"/>
      <c r="AF89" s="269"/>
      <c r="AG89" s="182"/>
      <c r="AH89" s="182"/>
    </row>
    <row r="90" ht="14.25" customHeight="1" spans="2:32">
      <c r="B90" s="338"/>
      <c r="C90" s="338"/>
      <c r="D90" s="338"/>
      <c r="E90" s="338"/>
      <c r="F90" s="338"/>
      <c r="G90" s="338"/>
      <c r="H90" s="338"/>
      <c r="I90" s="338"/>
      <c r="J90" s="338"/>
      <c r="K90" s="182"/>
      <c r="L90" s="182"/>
      <c r="M90" s="182"/>
      <c r="N90" s="376"/>
      <c r="Q90" s="408" t="s">
        <v>5286</v>
      </c>
      <c r="R90" s="409"/>
      <c r="S90" s="409"/>
      <c r="T90" s="409"/>
      <c r="U90" s="409"/>
      <c r="V90" s="409"/>
      <c r="W90" s="409"/>
      <c r="X90" s="409"/>
      <c r="Y90" s="409"/>
      <c r="Z90" s="409"/>
      <c r="AA90" s="409"/>
      <c r="AB90" s="409"/>
      <c r="AC90" s="409"/>
      <c r="AD90" s="409"/>
      <c r="AE90" s="539"/>
      <c r="AF90" s="269"/>
    </row>
    <row r="91" ht="14.25" customHeight="1" spans="11:32">
      <c r="K91" s="182"/>
      <c r="L91" s="182"/>
      <c r="Q91" s="410"/>
      <c r="R91" s="411"/>
      <c r="S91" s="411"/>
      <c r="T91" s="411"/>
      <c r="U91" s="411"/>
      <c r="V91" s="411"/>
      <c r="W91" s="411"/>
      <c r="X91" s="411"/>
      <c r="Y91" s="411"/>
      <c r="Z91" s="411"/>
      <c r="AA91" s="411"/>
      <c r="AB91" s="411"/>
      <c r="AC91" s="411"/>
      <c r="AD91" s="411"/>
      <c r="AE91" s="540"/>
      <c r="AF91" s="269"/>
    </row>
    <row r="92" ht="14.25" customHeight="1" spans="11:32">
      <c r="K92" s="182"/>
      <c r="L92" s="182"/>
      <c r="Q92" s="412"/>
      <c r="R92" s="413"/>
      <c r="S92" s="413"/>
      <c r="T92" s="413"/>
      <c r="U92" s="413"/>
      <c r="V92" s="413"/>
      <c r="W92" s="413"/>
      <c r="X92" s="413"/>
      <c r="Y92" s="413"/>
      <c r="Z92" s="413"/>
      <c r="AA92" s="413"/>
      <c r="AB92" s="413"/>
      <c r="AC92" s="413"/>
      <c r="AD92" s="413"/>
      <c r="AE92" s="541"/>
      <c r="AF92" s="269"/>
    </row>
    <row r="93" ht="14.25" customHeight="1" spans="11:32">
      <c r="K93" s="182"/>
      <c r="L93" s="182"/>
      <c r="Q93" s="414"/>
      <c r="R93" s="414"/>
      <c r="S93" s="414"/>
      <c r="T93" s="414"/>
      <c r="U93" s="414"/>
      <c r="V93" s="414"/>
      <c r="W93" s="414"/>
      <c r="X93" s="414"/>
      <c r="Y93" s="414"/>
      <c r="Z93" s="414"/>
      <c r="AA93" s="414"/>
      <c r="AB93" s="414"/>
      <c r="AC93" s="414"/>
      <c r="AD93" s="414"/>
      <c r="AE93" s="414"/>
      <c r="AF93" s="269"/>
    </row>
    <row r="94" ht="14.25" customHeight="1" spans="11:32">
      <c r="K94" s="182"/>
      <c r="L94" s="182"/>
      <c r="Q94" s="415" t="s">
        <v>5287</v>
      </c>
      <c r="R94" s="416"/>
      <c r="S94" s="416"/>
      <c r="T94" s="416"/>
      <c r="U94" s="416"/>
      <c r="V94" s="459"/>
      <c r="W94" s="460"/>
      <c r="X94" s="461" t="s">
        <v>5288</v>
      </c>
      <c r="Y94" s="514"/>
      <c r="Z94" s="514"/>
      <c r="AA94" s="514"/>
      <c r="AB94" s="514"/>
      <c r="AC94" s="514"/>
      <c r="AD94" s="514"/>
      <c r="AE94" s="542"/>
      <c r="AF94" s="269"/>
    </row>
    <row r="95" ht="14.25" customHeight="1" spans="11:32">
      <c r="K95" s="182"/>
      <c r="L95" s="182"/>
      <c r="Q95" s="417"/>
      <c r="R95" s="418"/>
      <c r="S95" s="418"/>
      <c r="T95" s="418"/>
      <c r="U95" s="418"/>
      <c r="V95" s="462"/>
      <c r="W95" s="460"/>
      <c r="X95" s="463"/>
      <c r="Y95" s="515"/>
      <c r="Z95" s="515"/>
      <c r="AA95" s="515"/>
      <c r="AB95" s="515"/>
      <c r="AC95" s="515"/>
      <c r="AD95" s="515"/>
      <c r="AE95" s="543"/>
      <c r="AF95" s="269"/>
    </row>
    <row r="96" ht="14.25" customHeight="1" spans="11:32">
      <c r="K96" s="182"/>
      <c r="L96" s="182"/>
      <c r="Q96" s="419" t="s">
        <v>5289</v>
      </c>
      <c r="R96" s="420"/>
      <c r="S96" s="420"/>
      <c r="T96" s="420"/>
      <c r="U96" s="420"/>
      <c r="V96" s="464"/>
      <c r="W96" s="465"/>
      <c r="X96" s="466" t="s">
        <v>5290</v>
      </c>
      <c r="Y96" s="516"/>
      <c r="Z96" s="516"/>
      <c r="AA96" s="516"/>
      <c r="AB96" s="517"/>
      <c r="AC96" s="526" t="s">
        <v>5291</v>
      </c>
      <c r="AD96" s="516"/>
      <c r="AE96" s="544"/>
      <c r="AF96" s="269"/>
    </row>
    <row r="97" ht="14.25" customHeight="1" spans="11:32">
      <c r="K97" s="182"/>
      <c r="L97" s="182"/>
      <c r="Q97" s="421"/>
      <c r="R97" s="422"/>
      <c r="S97" s="422"/>
      <c r="T97" s="422"/>
      <c r="U97" s="422"/>
      <c r="V97" s="467"/>
      <c r="W97" s="465"/>
      <c r="X97" s="468"/>
      <c r="Y97" s="518"/>
      <c r="Z97" s="518"/>
      <c r="AA97" s="518"/>
      <c r="AB97" s="519"/>
      <c r="AC97" s="526" t="s">
        <v>5292</v>
      </c>
      <c r="AD97" s="526" t="s">
        <v>5293</v>
      </c>
      <c r="AE97" s="544"/>
      <c r="AF97" s="269"/>
    </row>
    <row r="98" ht="14.25" customHeight="1" spans="11:32">
      <c r="K98" s="367"/>
      <c r="L98" s="367"/>
      <c r="N98" s="367"/>
      <c r="O98" s="367"/>
      <c r="Q98" s="421"/>
      <c r="R98" s="422"/>
      <c r="S98" s="422"/>
      <c r="T98" s="422"/>
      <c r="U98" s="422"/>
      <c r="V98" s="467"/>
      <c r="W98" s="465"/>
      <c r="X98" s="468"/>
      <c r="Y98" s="518"/>
      <c r="Z98" s="518"/>
      <c r="AA98" s="518"/>
      <c r="AB98" s="520"/>
      <c r="AC98" s="545" t="s">
        <v>5294</v>
      </c>
      <c r="AD98" s="545" t="s">
        <v>5295</v>
      </c>
      <c r="AE98" s="546"/>
      <c r="AF98" s="269"/>
    </row>
    <row r="99" ht="14.25" customHeight="1" spans="11:32">
      <c r="K99" s="367"/>
      <c r="L99" s="367"/>
      <c r="N99" s="367"/>
      <c r="O99" s="367"/>
      <c r="Q99" s="421"/>
      <c r="R99" s="422"/>
      <c r="S99" s="422"/>
      <c r="T99" s="422"/>
      <c r="U99" s="422"/>
      <c r="V99" s="467"/>
      <c r="W99" s="465"/>
      <c r="X99" s="468"/>
      <c r="Y99" s="518"/>
      <c r="Z99" s="518"/>
      <c r="AA99" s="518"/>
      <c r="AB99" s="520"/>
      <c r="AC99" s="527" t="s">
        <v>5296</v>
      </c>
      <c r="AD99" s="527" t="s">
        <v>5297</v>
      </c>
      <c r="AE99" s="547"/>
      <c r="AF99" s="269"/>
    </row>
    <row r="100" ht="14.25" customHeight="1" spans="11:32">
      <c r="K100" s="367"/>
      <c r="L100" s="367"/>
      <c r="N100" s="367"/>
      <c r="O100" s="367"/>
      <c r="Q100" s="423"/>
      <c r="R100" s="424"/>
      <c r="S100" s="424"/>
      <c r="T100" s="424"/>
      <c r="U100" s="424"/>
      <c r="V100" s="469"/>
      <c r="W100" s="465"/>
      <c r="X100" s="470"/>
      <c r="Y100" s="521"/>
      <c r="Z100" s="521"/>
      <c r="AA100" s="521"/>
      <c r="AB100" s="519"/>
      <c r="AC100" s="527" t="s">
        <v>5298</v>
      </c>
      <c r="AD100" s="527" t="s">
        <v>5299</v>
      </c>
      <c r="AE100" s="547"/>
      <c r="AF100" s="269"/>
    </row>
    <row r="101" ht="14.25" customHeight="1" spans="11:32">
      <c r="K101" s="367"/>
      <c r="L101" s="367"/>
      <c r="N101" s="367"/>
      <c r="O101" s="367"/>
      <c r="Q101" s="425"/>
      <c r="R101" s="425"/>
      <c r="S101" s="425"/>
      <c r="T101" s="425"/>
      <c r="U101" s="425"/>
      <c r="V101" s="425"/>
      <c r="W101" s="465"/>
      <c r="X101" s="471" t="s">
        <v>5300</v>
      </c>
      <c r="Y101" s="522"/>
      <c r="Z101" s="522"/>
      <c r="AA101" s="522"/>
      <c r="AB101" s="523"/>
      <c r="AC101" s="522"/>
      <c r="AD101" s="522"/>
      <c r="AE101" s="548"/>
      <c r="AF101" s="269"/>
    </row>
    <row r="102" ht="14.25" customHeight="1" spans="11:32">
      <c r="K102" s="367"/>
      <c r="L102" s="367"/>
      <c r="N102" s="367"/>
      <c r="O102" s="367"/>
      <c r="Q102" s="426" t="s">
        <v>5301</v>
      </c>
      <c r="R102" s="427"/>
      <c r="S102" s="427"/>
      <c r="T102" s="427"/>
      <c r="U102" s="427"/>
      <c r="V102" s="472"/>
      <c r="W102" s="473"/>
      <c r="X102" s="474"/>
      <c r="Y102" s="524"/>
      <c r="Z102" s="524"/>
      <c r="AA102" s="524"/>
      <c r="AB102" s="525"/>
      <c r="AC102" s="524"/>
      <c r="AD102" s="524"/>
      <c r="AE102" s="549"/>
      <c r="AF102" s="269"/>
    </row>
    <row r="103" ht="27" customHeight="1" spans="11:32">
      <c r="K103" s="367"/>
      <c r="L103" s="367"/>
      <c r="N103" s="367"/>
      <c r="O103" s="367"/>
      <c r="Q103" s="428"/>
      <c r="R103" s="429"/>
      <c r="S103" s="429"/>
      <c r="T103" s="429"/>
      <c r="U103" s="429"/>
      <c r="V103" s="475"/>
      <c r="W103" s="473"/>
      <c r="X103" s="473"/>
      <c r="Y103" s="473"/>
      <c r="Z103" s="473"/>
      <c r="AA103" s="473"/>
      <c r="AB103" s="473"/>
      <c r="AC103" s="473"/>
      <c r="AD103" s="465"/>
      <c r="AE103" s="465"/>
      <c r="AF103" s="269"/>
    </row>
    <row r="104" ht="27" customHeight="1" spans="11:32">
      <c r="K104" s="367"/>
      <c r="L104" s="367"/>
      <c r="N104" s="367"/>
      <c r="O104" s="367"/>
      <c r="Q104" s="430" t="s">
        <v>5302</v>
      </c>
      <c r="R104" s="414"/>
      <c r="S104" s="414"/>
      <c r="T104" s="414"/>
      <c r="U104" s="414"/>
      <c r="V104" s="476"/>
      <c r="W104" s="477"/>
      <c r="X104" s="461" t="s">
        <v>5303</v>
      </c>
      <c r="Y104" s="514"/>
      <c r="Z104" s="514"/>
      <c r="AA104" s="514"/>
      <c r="AB104" s="514"/>
      <c r="AC104" s="514"/>
      <c r="AD104" s="514"/>
      <c r="AE104" s="542"/>
      <c r="AF104" s="269"/>
    </row>
    <row r="105" ht="27" customHeight="1" spans="1:32">
      <c r="A105" s="339"/>
      <c r="K105" s="367"/>
      <c r="L105" s="367"/>
      <c r="N105" s="367"/>
      <c r="O105" s="367"/>
      <c r="Q105" s="431"/>
      <c r="R105" s="432"/>
      <c r="S105" s="432"/>
      <c r="T105" s="432"/>
      <c r="U105" s="432"/>
      <c r="V105" s="478"/>
      <c r="W105" s="477"/>
      <c r="X105" s="463"/>
      <c r="Y105" s="515"/>
      <c r="Z105" s="515"/>
      <c r="AA105" s="515"/>
      <c r="AB105" s="515"/>
      <c r="AC105" s="550"/>
      <c r="AD105" s="550"/>
      <c r="AE105" s="551"/>
      <c r="AF105" s="269"/>
    </row>
    <row r="106" ht="27" customHeight="1" spans="1:32">
      <c r="A106" s="339"/>
      <c r="K106" s="296"/>
      <c r="L106" s="296"/>
      <c r="M106" s="296"/>
      <c r="N106" s="296"/>
      <c r="O106" s="296"/>
      <c r="Q106" s="421" t="s">
        <v>5304</v>
      </c>
      <c r="R106" s="422"/>
      <c r="S106" s="433" t="s">
        <v>5305</v>
      </c>
      <c r="T106" s="434"/>
      <c r="U106" s="434"/>
      <c r="V106" s="479"/>
      <c r="W106" s="465"/>
      <c r="X106" s="466" t="s">
        <v>5306</v>
      </c>
      <c r="Y106" s="516"/>
      <c r="Z106" s="516"/>
      <c r="AA106" s="517"/>
      <c r="AB106" s="526" t="s">
        <v>5307</v>
      </c>
      <c r="AC106" s="518" t="s">
        <v>5308</v>
      </c>
      <c r="AD106" s="518"/>
      <c r="AE106" s="552"/>
      <c r="AF106" s="269"/>
    </row>
    <row r="107" ht="27" customHeight="1" spans="1:32">
      <c r="A107" s="339"/>
      <c r="Q107" s="421"/>
      <c r="R107" s="422"/>
      <c r="S107" s="433"/>
      <c r="T107" s="434"/>
      <c r="U107" s="434"/>
      <c r="V107" s="479"/>
      <c r="W107" s="465"/>
      <c r="X107" s="468"/>
      <c r="Y107" s="518"/>
      <c r="Z107" s="518"/>
      <c r="AA107" s="520"/>
      <c r="AB107" s="527"/>
      <c r="AC107" s="518"/>
      <c r="AD107" s="518"/>
      <c r="AE107" s="552"/>
      <c r="AF107" s="269"/>
    </row>
    <row r="108" ht="15" customHeight="1" spans="1:32">
      <c r="A108" s="339"/>
      <c r="K108" s="296"/>
      <c r="L108" s="296"/>
      <c r="M108" s="296"/>
      <c r="N108" s="296"/>
      <c r="O108" s="296"/>
      <c r="Q108" s="421"/>
      <c r="R108" s="422"/>
      <c r="S108" s="435"/>
      <c r="T108" s="436"/>
      <c r="U108" s="436"/>
      <c r="V108" s="480"/>
      <c r="W108" s="465"/>
      <c r="X108" s="468"/>
      <c r="Y108" s="518"/>
      <c r="Z108" s="518"/>
      <c r="AA108" s="518"/>
      <c r="AB108" s="528" t="s">
        <v>5309</v>
      </c>
      <c r="AC108" s="553" t="s">
        <v>5310</v>
      </c>
      <c r="AD108" s="516"/>
      <c r="AE108" s="544"/>
      <c r="AF108" s="269"/>
    </row>
    <row r="109" ht="17.6" spans="1:32">
      <c r="A109" s="339"/>
      <c r="K109" s="296"/>
      <c r="L109" s="296"/>
      <c r="N109" s="296"/>
      <c r="O109" s="296"/>
      <c r="Q109" s="421"/>
      <c r="R109" s="422"/>
      <c r="S109" s="437" t="s">
        <v>5311</v>
      </c>
      <c r="T109" s="438"/>
      <c r="U109" s="481" t="s">
        <v>5312</v>
      </c>
      <c r="V109" s="482" t="s">
        <v>5313</v>
      </c>
      <c r="W109" s="465"/>
      <c r="X109" s="468"/>
      <c r="Y109" s="518"/>
      <c r="Z109" s="518"/>
      <c r="AA109" s="518"/>
      <c r="AB109" s="528"/>
      <c r="AC109" s="554"/>
      <c r="AD109" s="521"/>
      <c r="AE109" s="547"/>
      <c r="AF109" s="269"/>
    </row>
    <row r="110" ht="17.6" spans="1:32">
      <c r="A110" s="339"/>
      <c r="K110" s="296"/>
      <c r="L110" s="296"/>
      <c r="M110" s="296"/>
      <c r="N110" s="296"/>
      <c r="O110" s="296"/>
      <c r="Q110" s="421"/>
      <c r="R110" s="422"/>
      <c r="S110" s="437"/>
      <c r="T110" s="438"/>
      <c r="U110" s="483"/>
      <c r="V110" s="484"/>
      <c r="W110" s="465"/>
      <c r="X110" s="485" t="s">
        <v>5314</v>
      </c>
      <c r="Y110" s="529"/>
      <c r="Z110" s="529"/>
      <c r="AA110" s="530"/>
      <c r="AB110" s="531" t="s">
        <v>5315</v>
      </c>
      <c r="AC110" s="528" t="s">
        <v>5316</v>
      </c>
      <c r="AD110" s="518"/>
      <c r="AE110" s="552"/>
      <c r="AF110" s="269"/>
    </row>
    <row r="111" ht="16" customHeight="1" spans="1:32">
      <c r="A111" s="339"/>
      <c r="K111" s="296"/>
      <c r="L111" s="296"/>
      <c r="M111" s="296"/>
      <c r="N111" s="296"/>
      <c r="O111" s="296"/>
      <c r="Q111" s="419"/>
      <c r="R111" s="420"/>
      <c r="S111" s="439"/>
      <c r="T111" s="440"/>
      <c r="U111" s="483"/>
      <c r="V111" s="484"/>
      <c r="W111" s="465"/>
      <c r="X111" s="485"/>
      <c r="Y111" s="529"/>
      <c r="Z111" s="529"/>
      <c r="AA111" s="530"/>
      <c r="AB111" s="529"/>
      <c r="AC111" s="528"/>
      <c r="AD111" s="518"/>
      <c r="AE111" s="552"/>
      <c r="AF111" s="269"/>
    </row>
    <row r="112" ht="17.6" spans="1:32">
      <c r="A112" s="339"/>
      <c r="K112" s="296"/>
      <c r="L112" s="296"/>
      <c r="M112" s="296"/>
      <c r="N112" s="296"/>
      <c r="O112" s="296"/>
      <c r="Q112" s="441"/>
      <c r="R112" s="442"/>
      <c r="S112" s="443"/>
      <c r="T112" s="444"/>
      <c r="U112" s="486"/>
      <c r="V112" s="484"/>
      <c r="W112" s="465"/>
      <c r="X112" s="485"/>
      <c r="Y112" s="529"/>
      <c r="Z112" s="529"/>
      <c r="AA112" s="530"/>
      <c r="AB112" s="532"/>
      <c r="AC112" s="555"/>
      <c r="AD112" s="556"/>
      <c r="AE112" s="546"/>
      <c r="AF112" s="269"/>
    </row>
    <row r="113" ht="17.6" spans="1:32">
      <c r="A113" s="339"/>
      <c r="K113" s="296"/>
      <c r="L113" s="296"/>
      <c r="M113" s="296"/>
      <c r="N113" s="296"/>
      <c r="O113" s="296"/>
      <c r="Q113" s="445"/>
      <c r="R113" s="446"/>
      <c r="S113" s="447"/>
      <c r="T113" s="448"/>
      <c r="U113" s="487"/>
      <c r="V113" s="488"/>
      <c r="W113" s="465"/>
      <c r="X113" s="485"/>
      <c r="Y113" s="529"/>
      <c r="Z113" s="529"/>
      <c r="AA113" s="530"/>
      <c r="AB113" s="533" t="s">
        <v>5317</v>
      </c>
      <c r="AC113" s="529"/>
      <c r="AD113" s="529"/>
      <c r="AE113" s="557"/>
      <c r="AF113" s="269"/>
    </row>
    <row r="114" ht="17.6" spans="1:32">
      <c r="A114" s="339"/>
      <c r="K114" s="368"/>
      <c r="L114" s="368"/>
      <c r="M114" s="368"/>
      <c r="N114" s="368"/>
      <c r="O114" s="368"/>
      <c r="P114" s="369"/>
      <c r="Q114" s="421" t="s">
        <v>5318</v>
      </c>
      <c r="R114" s="422"/>
      <c r="S114" s="422"/>
      <c r="T114" s="422"/>
      <c r="U114" s="422"/>
      <c r="V114" s="467"/>
      <c r="W114" s="465"/>
      <c r="X114" s="489" t="s">
        <v>5319</v>
      </c>
      <c r="Y114" s="534"/>
      <c r="Z114" s="534"/>
      <c r="AA114" s="535"/>
      <c r="AB114" s="536"/>
      <c r="AC114" s="532"/>
      <c r="AD114" s="532"/>
      <c r="AE114" s="558"/>
      <c r="AF114" s="269"/>
    </row>
    <row r="115" ht="17.6" spans="1:32">
      <c r="A115" s="339"/>
      <c r="K115" s="368"/>
      <c r="L115" s="368"/>
      <c r="M115" s="368"/>
      <c r="N115" s="368"/>
      <c r="O115" s="368"/>
      <c r="P115" s="369"/>
      <c r="Q115" s="421"/>
      <c r="R115" s="422"/>
      <c r="S115" s="422"/>
      <c r="T115" s="422"/>
      <c r="U115" s="422"/>
      <c r="V115" s="467"/>
      <c r="W115" s="465"/>
      <c r="X115" s="466" t="s">
        <v>5320</v>
      </c>
      <c r="Y115" s="516" t="s">
        <v>5321</v>
      </c>
      <c r="Z115" s="516" t="s">
        <v>5322</v>
      </c>
      <c r="AA115" s="516"/>
      <c r="AB115" s="516"/>
      <c r="AC115" s="517"/>
      <c r="AD115" s="553" t="s">
        <v>5323</v>
      </c>
      <c r="AE115" s="544"/>
      <c r="AF115" s="269"/>
    </row>
    <row r="116" ht="18.35" spans="1:32">
      <c r="A116" s="339"/>
      <c r="K116" s="368"/>
      <c r="L116" s="368"/>
      <c r="M116" s="368"/>
      <c r="N116" s="368"/>
      <c r="O116" s="368"/>
      <c r="P116" s="369"/>
      <c r="Q116" s="423"/>
      <c r="R116" s="424"/>
      <c r="S116" s="424"/>
      <c r="T116" s="424"/>
      <c r="U116" s="424"/>
      <c r="V116" s="469"/>
      <c r="W116" s="490"/>
      <c r="X116" s="470"/>
      <c r="Y116" s="521"/>
      <c r="Z116" s="521"/>
      <c r="AA116" s="521"/>
      <c r="AB116" s="521"/>
      <c r="AC116" s="519"/>
      <c r="AD116" s="528"/>
      <c r="AE116" s="552"/>
      <c r="AF116" s="269"/>
    </row>
    <row r="117" ht="17.6" spans="1:32">
      <c r="A117" s="339"/>
      <c r="K117" s="368"/>
      <c r="L117" s="368"/>
      <c r="M117" s="368"/>
      <c r="N117" s="368"/>
      <c r="O117" s="368"/>
      <c r="P117" s="369"/>
      <c r="Q117" s="414"/>
      <c r="R117" s="414"/>
      <c r="S117" s="414"/>
      <c r="T117" s="414"/>
      <c r="U117" s="414"/>
      <c r="V117" s="414"/>
      <c r="W117" s="490"/>
      <c r="X117" s="466" t="s">
        <v>5324</v>
      </c>
      <c r="Y117" s="516" t="s">
        <v>5325</v>
      </c>
      <c r="Z117" s="516" t="s">
        <v>5326</v>
      </c>
      <c r="AA117" s="516"/>
      <c r="AB117" s="516"/>
      <c r="AC117" s="517"/>
      <c r="AD117" s="528"/>
      <c r="AE117" s="552"/>
      <c r="AF117" s="269"/>
    </row>
    <row r="118" ht="17.6" spans="1:32">
      <c r="A118" s="339"/>
      <c r="K118" s="369"/>
      <c r="L118" s="369"/>
      <c r="M118" s="369"/>
      <c r="N118" s="369"/>
      <c r="O118" s="369"/>
      <c r="P118" s="369"/>
      <c r="W118" s="490"/>
      <c r="X118" s="470"/>
      <c r="Y118" s="521"/>
      <c r="Z118" s="521"/>
      <c r="AA118" s="521"/>
      <c r="AB118" s="521"/>
      <c r="AC118" s="519"/>
      <c r="AD118" s="528"/>
      <c r="AE118" s="552"/>
      <c r="AF118" s="269"/>
    </row>
    <row r="119" ht="17.6" spans="1:31">
      <c r="A119" s="339"/>
      <c r="K119" s="369"/>
      <c r="L119" s="369"/>
      <c r="M119" s="369"/>
      <c r="N119" s="369"/>
      <c r="O119" s="369"/>
      <c r="P119" s="369"/>
      <c r="W119" s="490"/>
      <c r="X119" s="466" t="s">
        <v>5327</v>
      </c>
      <c r="Y119" s="516" t="s">
        <v>1342</v>
      </c>
      <c r="Z119" s="516" t="s">
        <v>5328</v>
      </c>
      <c r="AA119" s="516"/>
      <c r="AB119" s="516"/>
      <c r="AC119" s="517"/>
      <c r="AD119" s="528"/>
      <c r="AE119" s="552"/>
    </row>
    <row r="120" ht="18.35" spans="1:31">
      <c r="A120" s="339"/>
      <c r="B120" s="340"/>
      <c r="C120" s="340"/>
      <c r="D120" s="340"/>
      <c r="E120" s="340"/>
      <c r="F120" s="340"/>
      <c r="G120" s="340"/>
      <c r="H120" s="340"/>
      <c r="I120" s="369"/>
      <c r="J120" s="369"/>
      <c r="K120" s="369"/>
      <c r="L120" s="369"/>
      <c r="M120" s="369"/>
      <c r="N120" s="369"/>
      <c r="O120" s="369"/>
      <c r="P120" s="369"/>
      <c r="W120" s="490"/>
      <c r="X120" s="491"/>
      <c r="Y120" s="537"/>
      <c r="Z120" s="537"/>
      <c r="AA120" s="537"/>
      <c r="AB120" s="537"/>
      <c r="AC120" s="559"/>
      <c r="AD120" s="560"/>
      <c r="AE120" s="561"/>
    </row>
    <row r="121" ht="17.55" spans="1:31">
      <c r="A121" s="339"/>
      <c r="B121" s="340"/>
      <c r="C121" s="340"/>
      <c r="D121" s="340"/>
      <c r="E121" s="340"/>
      <c r="F121" s="340"/>
      <c r="G121" s="340"/>
      <c r="H121" s="340"/>
      <c r="I121" s="340"/>
      <c r="J121" s="369"/>
      <c r="K121" s="369"/>
      <c r="L121" s="369"/>
      <c r="M121" s="369"/>
      <c r="N121" s="369"/>
      <c r="O121" s="369"/>
      <c r="P121" s="369"/>
      <c r="Q121" s="269"/>
      <c r="R121" s="269"/>
      <c r="S121" s="269"/>
      <c r="T121" s="269"/>
      <c r="U121" s="269"/>
      <c r="V121" s="269"/>
      <c r="W121" s="269"/>
      <c r="X121" s="269"/>
      <c r="Y121" s="269"/>
      <c r="Z121" s="269"/>
      <c r="AA121" s="269"/>
      <c r="AB121" s="269"/>
      <c r="AC121" s="269"/>
      <c r="AD121" s="269"/>
      <c r="AE121" s="269"/>
    </row>
    <row r="122" spans="1:31">
      <c r="A122" s="339"/>
      <c r="B122" s="340"/>
      <c r="C122" s="340"/>
      <c r="D122" s="340"/>
      <c r="E122" s="340"/>
      <c r="F122" s="340"/>
      <c r="G122" s="340"/>
      <c r="H122" s="340"/>
      <c r="I122" s="340"/>
      <c r="J122" s="369"/>
      <c r="K122" s="369"/>
      <c r="L122" s="369"/>
      <c r="M122" s="369"/>
      <c r="N122" s="369"/>
      <c r="O122" s="369"/>
      <c r="P122" s="369"/>
      <c r="Q122" s="449" t="s">
        <v>5329</v>
      </c>
      <c r="R122" s="450"/>
      <c r="S122" s="450"/>
      <c r="T122" s="450"/>
      <c r="U122" s="450"/>
      <c r="V122" s="450"/>
      <c r="W122" s="450"/>
      <c r="X122" s="450"/>
      <c r="Y122" s="450"/>
      <c r="Z122" s="450"/>
      <c r="AA122" s="450"/>
      <c r="AB122" s="450"/>
      <c r="AC122" s="450"/>
      <c r="AD122" s="450"/>
      <c r="AE122" s="562"/>
    </row>
    <row r="123" spans="1:31">
      <c r="A123" s="339"/>
      <c r="B123" s="341"/>
      <c r="C123" s="340"/>
      <c r="D123" s="340"/>
      <c r="E123" s="342"/>
      <c r="F123" s="342"/>
      <c r="G123" s="342"/>
      <c r="H123" s="342"/>
      <c r="I123" s="342"/>
      <c r="J123" s="369"/>
      <c r="K123" s="369"/>
      <c r="L123" s="369"/>
      <c r="M123" s="369"/>
      <c r="N123" s="369"/>
      <c r="O123" s="369"/>
      <c r="P123" s="369"/>
      <c r="Q123" s="451"/>
      <c r="R123" s="452"/>
      <c r="S123" s="452"/>
      <c r="T123" s="452"/>
      <c r="U123" s="452"/>
      <c r="V123" s="452"/>
      <c r="W123" s="452"/>
      <c r="X123" s="452"/>
      <c r="Y123" s="452"/>
      <c r="Z123" s="452"/>
      <c r="AA123" s="452"/>
      <c r="AB123" s="452"/>
      <c r="AC123" s="452"/>
      <c r="AD123" s="452"/>
      <c r="AE123" s="563"/>
    </row>
    <row r="124" spans="1:31">
      <c r="A124" s="339"/>
      <c r="B124" s="341"/>
      <c r="C124" s="340"/>
      <c r="D124" s="340"/>
      <c r="E124" s="342"/>
      <c r="F124" s="342"/>
      <c r="G124" s="342"/>
      <c r="H124" s="342"/>
      <c r="I124" s="342"/>
      <c r="J124" s="369"/>
      <c r="K124" s="369"/>
      <c r="L124" s="342"/>
      <c r="M124" s="342"/>
      <c r="N124" s="342"/>
      <c r="O124" s="342"/>
      <c r="P124" s="342"/>
      <c r="Q124" s="451"/>
      <c r="R124" s="452"/>
      <c r="S124" s="452"/>
      <c r="T124" s="452"/>
      <c r="U124" s="452"/>
      <c r="V124" s="452"/>
      <c r="W124" s="452"/>
      <c r="X124" s="452"/>
      <c r="Y124" s="452"/>
      <c r="Z124" s="452"/>
      <c r="AA124" s="452"/>
      <c r="AB124" s="452"/>
      <c r="AC124" s="452"/>
      <c r="AD124" s="452"/>
      <c r="AE124" s="563"/>
    </row>
    <row r="125" ht="17.6" spans="1:31">
      <c r="A125" s="339"/>
      <c r="B125" s="341"/>
      <c r="C125" s="340"/>
      <c r="D125" s="340"/>
      <c r="E125" s="342"/>
      <c r="F125" s="342"/>
      <c r="G125" s="342"/>
      <c r="H125" s="342"/>
      <c r="I125" s="342"/>
      <c r="J125" s="369"/>
      <c r="K125" s="369"/>
      <c r="L125" s="342"/>
      <c r="M125" s="342"/>
      <c r="N125" s="342"/>
      <c r="O125" s="342"/>
      <c r="P125" s="342"/>
      <c r="Q125" s="453" t="s">
        <v>5330</v>
      </c>
      <c r="R125" s="454"/>
      <c r="S125" s="454"/>
      <c r="T125" s="454"/>
      <c r="U125" s="454"/>
      <c r="V125" s="454" t="s">
        <v>171</v>
      </c>
      <c r="W125" s="454"/>
      <c r="X125" s="454" t="s">
        <v>5331</v>
      </c>
      <c r="Y125" s="454"/>
      <c r="Z125" s="454"/>
      <c r="AA125" s="454"/>
      <c r="AB125" s="454"/>
      <c r="AC125" s="454"/>
      <c r="AD125" s="454"/>
      <c r="AE125" s="564"/>
    </row>
    <row r="126" spans="1:31">
      <c r="A126" s="339"/>
      <c r="B126" s="341"/>
      <c r="C126" s="340"/>
      <c r="D126" s="340"/>
      <c r="E126" s="342"/>
      <c r="F126" s="342"/>
      <c r="G126" s="342"/>
      <c r="H126" s="342"/>
      <c r="I126" s="342"/>
      <c r="J126" s="369"/>
      <c r="K126" s="369"/>
      <c r="L126" s="342"/>
      <c r="M126" s="342"/>
      <c r="N126" s="342"/>
      <c r="O126" s="342"/>
      <c r="P126" s="342"/>
      <c r="Q126" s="455" t="s">
        <v>5332</v>
      </c>
      <c r="R126" s="456"/>
      <c r="S126" s="456"/>
      <c r="T126" s="456"/>
      <c r="U126" s="456"/>
      <c r="V126" s="492" t="s">
        <v>5333</v>
      </c>
      <c r="W126" s="368"/>
      <c r="X126" s="368" t="s">
        <v>5334</v>
      </c>
      <c r="Y126" s="368"/>
      <c r="Z126" s="368"/>
      <c r="AA126" s="368"/>
      <c r="AB126" s="368"/>
      <c r="AC126" s="368"/>
      <c r="AD126" s="368"/>
      <c r="AE126" s="565"/>
    </row>
    <row r="127" spans="1:31">
      <c r="A127" s="339"/>
      <c r="B127" s="341"/>
      <c r="C127" s="340"/>
      <c r="D127" s="340"/>
      <c r="E127" s="342"/>
      <c r="F127" s="342"/>
      <c r="G127" s="342"/>
      <c r="H127" s="342"/>
      <c r="I127" s="342"/>
      <c r="J127" s="369"/>
      <c r="K127" s="369"/>
      <c r="L127" s="342"/>
      <c r="M127" s="342"/>
      <c r="N127" s="342"/>
      <c r="O127" s="342"/>
      <c r="P127" s="342"/>
      <c r="Q127" s="455"/>
      <c r="R127" s="456"/>
      <c r="S127" s="456"/>
      <c r="T127" s="456"/>
      <c r="U127" s="456"/>
      <c r="V127" s="368"/>
      <c r="W127" s="368"/>
      <c r="X127" s="368"/>
      <c r="Y127" s="368"/>
      <c r="Z127" s="368"/>
      <c r="AA127" s="368"/>
      <c r="AB127" s="368"/>
      <c r="AC127" s="368"/>
      <c r="AD127" s="368"/>
      <c r="AE127" s="565"/>
    </row>
    <row r="128" spans="1:31">
      <c r="A128" s="339"/>
      <c r="B128" s="341"/>
      <c r="C128" s="340"/>
      <c r="D128" s="340"/>
      <c r="E128" s="342"/>
      <c r="F128" s="342"/>
      <c r="G128" s="342"/>
      <c r="H128" s="342"/>
      <c r="I128" s="342"/>
      <c r="J128" s="369"/>
      <c r="K128" s="369"/>
      <c r="L128" s="342"/>
      <c r="M128" s="342"/>
      <c r="N128" s="342"/>
      <c r="O128" s="342"/>
      <c r="P128" s="342"/>
      <c r="Q128" s="455"/>
      <c r="R128" s="456"/>
      <c r="S128" s="456"/>
      <c r="T128" s="456"/>
      <c r="U128" s="456"/>
      <c r="V128" s="368"/>
      <c r="W128" s="368"/>
      <c r="X128" s="368"/>
      <c r="Y128" s="368"/>
      <c r="Z128" s="368"/>
      <c r="AA128" s="368"/>
      <c r="AB128" s="368"/>
      <c r="AC128" s="368"/>
      <c r="AD128" s="368"/>
      <c r="AE128" s="565"/>
    </row>
    <row r="129" spans="1:31">
      <c r="A129" s="339"/>
      <c r="B129" s="341"/>
      <c r="C129" s="340"/>
      <c r="D129" s="340"/>
      <c r="E129" s="342"/>
      <c r="F129" s="342"/>
      <c r="G129" s="342"/>
      <c r="H129" s="342"/>
      <c r="I129" s="342"/>
      <c r="J129" s="369"/>
      <c r="K129" s="369"/>
      <c r="L129" s="342"/>
      <c r="M129" s="342"/>
      <c r="N129" s="342"/>
      <c r="O129" s="342"/>
      <c r="P129" s="342"/>
      <c r="Q129" s="581" t="s">
        <v>5335</v>
      </c>
      <c r="R129" s="582"/>
      <c r="S129" s="582"/>
      <c r="T129" s="582"/>
      <c r="U129" s="582"/>
      <c r="V129" s="585" t="s">
        <v>5336</v>
      </c>
      <c r="W129" s="586"/>
      <c r="X129" s="586" t="s">
        <v>5337</v>
      </c>
      <c r="Y129" s="586"/>
      <c r="Z129" s="586"/>
      <c r="AA129" s="586"/>
      <c r="AB129" s="586"/>
      <c r="AC129" s="586"/>
      <c r="AD129" s="586"/>
      <c r="AE129" s="588"/>
    </row>
    <row r="130" spans="1:31">
      <c r="A130" s="339"/>
      <c r="B130" s="341"/>
      <c r="C130" s="340"/>
      <c r="D130" s="340"/>
      <c r="E130" s="342"/>
      <c r="F130" s="342"/>
      <c r="G130" s="342"/>
      <c r="H130" s="342"/>
      <c r="I130" s="342"/>
      <c r="J130" s="369"/>
      <c r="K130" s="369"/>
      <c r="L130" s="342"/>
      <c r="M130" s="342"/>
      <c r="N130" s="342"/>
      <c r="O130" s="342"/>
      <c r="P130" s="342"/>
      <c r="Q130" s="581"/>
      <c r="R130" s="582"/>
      <c r="S130" s="582"/>
      <c r="T130" s="582"/>
      <c r="U130" s="582"/>
      <c r="V130" s="586"/>
      <c r="W130" s="586"/>
      <c r="X130" s="586"/>
      <c r="Y130" s="586"/>
      <c r="Z130" s="586"/>
      <c r="AA130" s="586"/>
      <c r="AB130" s="586"/>
      <c r="AC130" s="586"/>
      <c r="AD130" s="586"/>
      <c r="AE130" s="588"/>
    </row>
    <row r="131" spans="1:31">
      <c r="A131" s="339"/>
      <c r="B131" s="341"/>
      <c r="C131" s="340"/>
      <c r="D131" s="340"/>
      <c r="E131" s="342"/>
      <c r="F131" s="342"/>
      <c r="G131" s="342"/>
      <c r="H131" s="342"/>
      <c r="I131" s="342"/>
      <c r="J131" s="369"/>
      <c r="K131" s="369"/>
      <c r="L131" s="342"/>
      <c r="M131" s="342"/>
      <c r="N131" s="342"/>
      <c r="O131" s="342"/>
      <c r="P131" s="342"/>
      <c r="Q131" s="581"/>
      <c r="R131" s="582"/>
      <c r="S131" s="582"/>
      <c r="T131" s="582"/>
      <c r="U131" s="582"/>
      <c r="V131" s="586"/>
      <c r="W131" s="586"/>
      <c r="X131" s="586"/>
      <c r="Y131" s="586"/>
      <c r="Z131" s="586"/>
      <c r="AA131" s="586"/>
      <c r="AB131" s="586"/>
      <c r="AC131" s="586"/>
      <c r="AD131" s="586"/>
      <c r="AE131" s="588"/>
    </row>
    <row r="132" spans="1:31">
      <c r="A132" s="339"/>
      <c r="B132" s="340"/>
      <c r="C132" s="340"/>
      <c r="D132" s="340"/>
      <c r="E132" s="369"/>
      <c r="F132" s="369"/>
      <c r="G132" s="369"/>
      <c r="H132" s="369"/>
      <c r="I132" s="369"/>
      <c r="J132" s="369"/>
      <c r="K132" s="369"/>
      <c r="L132" s="342"/>
      <c r="M132" s="342"/>
      <c r="N132" s="342"/>
      <c r="O132" s="342"/>
      <c r="P132" s="342"/>
      <c r="Q132" s="455" t="s">
        <v>5338</v>
      </c>
      <c r="R132" s="456"/>
      <c r="S132" s="456"/>
      <c r="T132" s="456"/>
      <c r="U132" s="456"/>
      <c r="V132" s="492" t="s">
        <v>5339</v>
      </c>
      <c r="W132" s="368"/>
      <c r="X132" s="368" t="s">
        <v>5340</v>
      </c>
      <c r="Y132" s="368"/>
      <c r="Z132" s="368"/>
      <c r="AA132" s="368"/>
      <c r="AB132" s="368"/>
      <c r="AC132" s="368"/>
      <c r="AD132" s="368"/>
      <c r="AE132" s="565"/>
    </row>
    <row r="133" spans="1:31">
      <c r="A133" s="339"/>
      <c r="B133" s="340"/>
      <c r="C133" s="340"/>
      <c r="D133" s="340"/>
      <c r="E133" s="369"/>
      <c r="F133" s="369"/>
      <c r="G133" s="369"/>
      <c r="H133" s="369"/>
      <c r="I133" s="369"/>
      <c r="J133" s="369"/>
      <c r="K133" s="369"/>
      <c r="L133" s="342"/>
      <c r="M133" s="342"/>
      <c r="N133" s="342"/>
      <c r="O133" s="342"/>
      <c r="P133" s="342"/>
      <c r="Q133" s="455"/>
      <c r="R133" s="456"/>
      <c r="S133" s="456"/>
      <c r="T133" s="456"/>
      <c r="U133" s="456"/>
      <c r="V133" s="368"/>
      <c r="W133" s="368"/>
      <c r="X133" s="368"/>
      <c r="Y133" s="368"/>
      <c r="Z133" s="368"/>
      <c r="AA133" s="368"/>
      <c r="AB133" s="368"/>
      <c r="AC133" s="368"/>
      <c r="AD133" s="368"/>
      <c r="AE133" s="565"/>
    </row>
    <row r="134" spans="1:31">
      <c r="A134" s="339"/>
      <c r="B134" s="340"/>
      <c r="C134" s="340"/>
      <c r="D134" s="340"/>
      <c r="E134" s="369"/>
      <c r="F134" s="369"/>
      <c r="G134" s="369"/>
      <c r="H134" s="369"/>
      <c r="I134" s="369"/>
      <c r="J134" s="369"/>
      <c r="K134" s="369"/>
      <c r="L134" s="342"/>
      <c r="M134" s="342"/>
      <c r="N134" s="342"/>
      <c r="O134" s="342"/>
      <c r="P134" s="342"/>
      <c r="Q134" s="455"/>
      <c r="R134" s="456"/>
      <c r="S134" s="456"/>
      <c r="T134" s="456"/>
      <c r="U134" s="456"/>
      <c r="V134" s="368"/>
      <c r="W134" s="368"/>
      <c r="X134" s="368"/>
      <c r="Y134" s="368"/>
      <c r="Z134" s="368"/>
      <c r="AA134" s="368"/>
      <c r="AB134" s="368"/>
      <c r="AC134" s="368"/>
      <c r="AD134" s="368"/>
      <c r="AE134" s="565"/>
    </row>
    <row r="135" spans="1:31">
      <c r="A135" s="339"/>
      <c r="B135" s="340"/>
      <c r="C135" s="340"/>
      <c r="D135" s="340"/>
      <c r="E135" s="369"/>
      <c r="F135" s="369"/>
      <c r="G135" s="369"/>
      <c r="H135" s="369"/>
      <c r="I135" s="369"/>
      <c r="J135" s="369"/>
      <c r="K135" s="369"/>
      <c r="L135" s="342"/>
      <c r="M135" s="342"/>
      <c r="N135" s="342"/>
      <c r="O135" s="342"/>
      <c r="P135" s="342"/>
      <c r="Q135" s="581" t="s">
        <v>5341</v>
      </c>
      <c r="R135" s="582"/>
      <c r="S135" s="582"/>
      <c r="T135" s="582"/>
      <c r="U135" s="582"/>
      <c r="V135" s="585" t="s">
        <v>5342</v>
      </c>
      <c r="W135" s="586"/>
      <c r="X135" s="586" t="s">
        <v>5343</v>
      </c>
      <c r="Y135" s="586"/>
      <c r="Z135" s="586"/>
      <c r="AA135" s="586"/>
      <c r="AB135" s="586"/>
      <c r="AC135" s="586"/>
      <c r="AD135" s="586"/>
      <c r="AE135" s="588"/>
    </row>
    <row r="136" spans="1:31">
      <c r="A136" s="339"/>
      <c r="B136" s="340"/>
      <c r="C136" s="340"/>
      <c r="D136" s="340"/>
      <c r="E136" s="369"/>
      <c r="F136" s="369"/>
      <c r="G136" s="369"/>
      <c r="H136" s="369"/>
      <c r="I136" s="369"/>
      <c r="J136" s="369"/>
      <c r="K136" s="369"/>
      <c r="L136" s="342"/>
      <c r="M136" s="342"/>
      <c r="N136" s="342"/>
      <c r="O136" s="342"/>
      <c r="P136" s="342"/>
      <c r="Q136" s="581"/>
      <c r="R136" s="582"/>
      <c r="S136" s="582"/>
      <c r="T136" s="582"/>
      <c r="U136" s="582"/>
      <c r="V136" s="586"/>
      <c r="W136" s="586"/>
      <c r="X136" s="586"/>
      <c r="Y136" s="586"/>
      <c r="Z136" s="586"/>
      <c r="AA136" s="586"/>
      <c r="AB136" s="586"/>
      <c r="AC136" s="586"/>
      <c r="AD136" s="586"/>
      <c r="AE136" s="588"/>
    </row>
    <row r="137" spans="1:31">
      <c r="A137" s="339"/>
      <c r="B137" s="340"/>
      <c r="C137" s="340"/>
      <c r="D137" s="340"/>
      <c r="E137" s="369"/>
      <c r="F137" s="369"/>
      <c r="G137" s="369"/>
      <c r="H137" s="369"/>
      <c r="I137" s="369"/>
      <c r="J137" s="369"/>
      <c r="K137" s="369"/>
      <c r="L137" s="342"/>
      <c r="M137" s="342"/>
      <c r="N137" s="342"/>
      <c r="O137" s="342"/>
      <c r="P137" s="342"/>
      <c r="Q137" s="581"/>
      <c r="R137" s="582"/>
      <c r="S137" s="582"/>
      <c r="T137" s="582"/>
      <c r="U137" s="582"/>
      <c r="V137" s="586"/>
      <c r="W137" s="586"/>
      <c r="X137" s="586"/>
      <c r="Y137" s="586"/>
      <c r="Z137" s="586"/>
      <c r="AA137" s="586"/>
      <c r="AB137" s="586"/>
      <c r="AC137" s="586"/>
      <c r="AD137" s="586"/>
      <c r="AE137" s="588"/>
    </row>
    <row r="138" spans="1:31">
      <c r="A138" s="339"/>
      <c r="B138" s="340"/>
      <c r="C138" s="340"/>
      <c r="D138" s="340"/>
      <c r="E138" s="369"/>
      <c r="F138" s="369"/>
      <c r="G138" s="369"/>
      <c r="H138" s="369"/>
      <c r="I138" s="369"/>
      <c r="J138" s="369"/>
      <c r="K138" s="369"/>
      <c r="L138" s="342"/>
      <c r="M138" s="342"/>
      <c r="N138" s="342"/>
      <c r="O138" s="342"/>
      <c r="P138" s="342"/>
      <c r="Q138" s="455" t="s">
        <v>5344</v>
      </c>
      <c r="R138" s="456"/>
      <c r="S138" s="456"/>
      <c r="T138" s="456"/>
      <c r="U138" s="456"/>
      <c r="V138" s="492" t="s">
        <v>5345</v>
      </c>
      <c r="W138" s="368"/>
      <c r="X138" s="368" t="s">
        <v>5346</v>
      </c>
      <c r="Y138" s="368"/>
      <c r="Z138" s="368"/>
      <c r="AA138" s="368"/>
      <c r="AB138" s="368"/>
      <c r="AC138" s="368"/>
      <c r="AD138" s="368"/>
      <c r="AE138" s="565"/>
    </row>
    <row r="139" spans="1:31">
      <c r="A139" s="339"/>
      <c r="B139" s="340"/>
      <c r="C139" s="340"/>
      <c r="D139" s="340"/>
      <c r="E139" s="369"/>
      <c r="F139" s="369"/>
      <c r="G139" s="369"/>
      <c r="H139" s="369"/>
      <c r="I139" s="369"/>
      <c r="J139" s="369"/>
      <c r="K139" s="369"/>
      <c r="L139" s="342"/>
      <c r="M139" s="342"/>
      <c r="N139" s="342"/>
      <c r="O139" s="342"/>
      <c r="P139" s="342"/>
      <c r="Q139" s="455"/>
      <c r="R139" s="456"/>
      <c r="S139" s="456"/>
      <c r="T139" s="456"/>
      <c r="U139" s="456"/>
      <c r="V139" s="368"/>
      <c r="W139" s="368"/>
      <c r="X139" s="368"/>
      <c r="Y139" s="368"/>
      <c r="Z139" s="368"/>
      <c r="AA139" s="368"/>
      <c r="AB139" s="368"/>
      <c r="AC139" s="368"/>
      <c r="AD139" s="368"/>
      <c r="AE139" s="565"/>
    </row>
    <row r="140" ht="17.55" spans="1:31">
      <c r="A140" s="339"/>
      <c r="B140" s="340"/>
      <c r="C140" s="340"/>
      <c r="D140" s="340"/>
      <c r="E140" s="369"/>
      <c r="F140" s="369"/>
      <c r="G140" s="369"/>
      <c r="H140" s="369"/>
      <c r="I140" s="369"/>
      <c r="J140" s="369"/>
      <c r="K140" s="369"/>
      <c r="L140" s="342"/>
      <c r="M140" s="342"/>
      <c r="N140" s="342"/>
      <c r="O140" s="342"/>
      <c r="P140" s="342"/>
      <c r="Q140" s="583"/>
      <c r="R140" s="584"/>
      <c r="S140" s="584"/>
      <c r="T140" s="584"/>
      <c r="U140" s="584"/>
      <c r="V140" s="587"/>
      <c r="W140" s="587"/>
      <c r="X140" s="587"/>
      <c r="Y140" s="587"/>
      <c r="Z140" s="587"/>
      <c r="AA140" s="587"/>
      <c r="AB140" s="587"/>
      <c r="AC140" s="587"/>
      <c r="AD140" s="587"/>
      <c r="AE140" s="589"/>
    </row>
    <row r="141" spans="1:8">
      <c r="A141" s="339"/>
      <c r="B141" s="129"/>
      <c r="C141" s="129"/>
      <c r="D141" s="129"/>
      <c r="E141" s="129"/>
      <c r="F141" s="129"/>
      <c r="G141" s="129"/>
      <c r="H141" s="129"/>
    </row>
    <row r="142" ht="40" spans="1:17">
      <c r="A142" s="339"/>
      <c r="B142" s="566"/>
      <c r="C142" s="566"/>
      <c r="D142" s="566"/>
      <c r="E142" s="566"/>
      <c r="F142" s="566"/>
      <c r="G142" s="566"/>
      <c r="H142" s="566"/>
      <c r="I142" s="566"/>
      <c r="J142" s="566"/>
      <c r="K142" s="566"/>
      <c r="L142" s="566"/>
      <c r="M142" s="566"/>
      <c r="N142" s="566"/>
      <c r="O142" s="566"/>
      <c r="P142" s="566"/>
      <c r="Q142" s="566"/>
    </row>
    <row r="143" ht="40" spans="1:17">
      <c r="A143" s="339"/>
      <c r="B143" s="566"/>
      <c r="C143" s="566"/>
      <c r="D143" s="566"/>
      <c r="E143" s="566"/>
      <c r="F143" s="566"/>
      <c r="G143" s="566"/>
      <c r="H143" s="566"/>
      <c r="I143" s="566"/>
      <c r="J143" s="566"/>
      <c r="K143" s="566"/>
      <c r="L143" s="566"/>
      <c r="M143" s="566"/>
      <c r="N143" s="566"/>
      <c r="O143" s="566"/>
      <c r="P143" s="566"/>
      <c r="Q143" s="566"/>
    </row>
    <row r="144" ht="40" spans="1:17">
      <c r="A144" s="339"/>
      <c r="B144" s="566"/>
      <c r="C144" s="566"/>
      <c r="D144" s="566"/>
      <c r="E144" s="566"/>
      <c r="F144" s="566"/>
      <c r="G144" s="566"/>
      <c r="H144" s="566"/>
      <c r="I144" s="566"/>
      <c r="J144" s="566"/>
      <c r="K144" s="566"/>
      <c r="L144" s="566"/>
      <c r="M144" s="566"/>
      <c r="N144" s="566"/>
      <c r="O144" s="566"/>
      <c r="P144" s="566"/>
      <c r="Q144" s="566"/>
    </row>
    <row r="145" spans="1:17">
      <c r="A145" s="339"/>
      <c r="B145" s="567"/>
      <c r="C145" s="567"/>
      <c r="D145" s="567"/>
      <c r="E145" s="567"/>
      <c r="F145" s="567"/>
      <c r="G145" s="340"/>
      <c r="H145" s="340"/>
      <c r="I145" s="369"/>
      <c r="J145" s="369"/>
      <c r="K145" s="369"/>
      <c r="L145" s="369"/>
      <c r="M145" s="369"/>
      <c r="N145" s="369"/>
      <c r="O145" s="369"/>
      <c r="P145" s="369"/>
      <c r="Q145" s="369"/>
    </row>
    <row r="146" ht="23" customHeight="1" spans="1:17">
      <c r="A146" s="339"/>
      <c r="B146" s="568"/>
      <c r="C146" s="567"/>
      <c r="D146" s="568"/>
      <c r="E146" s="568"/>
      <c r="F146" s="568"/>
      <c r="G146" s="568"/>
      <c r="H146" s="340"/>
      <c r="I146" s="573"/>
      <c r="J146" s="573"/>
      <c r="K146" s="369"/>
      <c r="L146" s="573"/>
      <c r="M146" s="573"/>
      <c r="N146" s="369"/>
      <c r="O146" s="573"/>
      <c r="P146" s="573"/>
      <c r="Q146" s="573"/>
    </row>
    <row r="147" spans="1:17">
      <c r="A147" s="339"/>
      <c r="B147" s="569"/>
      <c r="C147" s="567"/>
      <c r="D147" s="569"/>
      <c r="E147" s="571"/>
      <c r="F147" s="569"/>
      <c r="G147" s="569"/>
      <c r="H147" s="567"/>
      <c r="I147" s="492"/>
      <c r="J147" s="492"/>
      <c r="K147" s="369"/>
      <c r="L147" s="492"/>
      <c r="M147" s="492"/>
      <c r="N147" s="369"/>
      <c r="O147" s="492"/>
      <c r="P147" s="368"/>
      <c r="Q147" s="368"/>
    </row>
    <row r="148" spans="1:17">
      <c r="A148" s="339"/>
      <c r="B148" s="570"/>
      <c r="C148" s="567"/>
      <c r="D148" s="571"/>
      <c r="E148" s="571"/>
      <c r="F148" s="569"/>
      <c r="G148" s="569"/>
      <c r="H148" s="567"/>
      <c r="I148" s="492"/>
      <c r="J148" s="492"/>
      <c r="K148" s="369"/>
      <c r="L148" s="492"/>
      <c r="M148" s="492"/>
      <c r="N148" s="369"/>
      <c r="O148" s="368"/>
      <c r="P148" s="368"/>
      <c r="Q148" s="368"/>
    </row>
    <row r="149" spans="1:17">
      <c r="A149" s="339"/>
      <c r="B149" s="570"/>
      <c r="C149" s="567"/>
      <c r="D149" s="571"/>
      <c r="E149" s="571"/>
      <c r="F149" s="569"/>
      <c r="G149" s="569"/>
      <c r="H149" s="567"/>
      <c r="I149" s="492"/>
      <c r="J149" s="492"/>
      <c r="K149" s="369"/>
      <c r="L149" s="492"/>
      <c r="M149" s="492"/>
      <c r="N149" s="369"/>
      <c r="O149" s="368"/>
      <c r="P149" s="368"/>
      <c r="Q149" s="368"/>
    </row>
    <row r="150" spans="1:17">
      <c r="A150" s="339"/>
      <c r="B150" s="570"/>
      <c r="C150" s="567"/>
      <c r="D150" s="571"/>
      <c r="E150" s="571"/>
      <c r="F150" s="569"/>
      <c r="G150" s="569"/>
      <c r="H150" s="567"/>
      <c r="I150" s="492"/>
      <c r="J150" s="492"/>
      <c r="K150" s="369"/>
      <c r="L150" s="492"/>
      <c r="M150" s="492"/>
      <c r="N150" s="369"/>
      <c r="O150" s="368"/>
      <c r="P150" s="368"/>
      <c r="Q150" s="368"/>
    </row>
    <row r="151" spans="1:17">
      <c r="A151" s="339"/>
      <c r="B151" s="570"/>
      <c r="C151" s="567"/>
      <c r="D151" s="571"/>
      <c r="E151" s="571"/>
      <c r="F151" s="569"/>
      <c r="G151" s="569"/>
      <c r="H151" s="567"/>
      <c r="I151" s="492"/>
      <c r="J151" s="492"/>
      <c r="K151" s="369"/>
      <c r="L151" s="492"/>
      <c r="M151" s="492"/>
      <c r="N151" s="369"/>
      <c r="O151" s="368"/>
      <c r="P151" s="368"/>
      <c r="Q151" s="368"/>
    </row>
    <row r="152" spans="1:17">
      <c r="A152" s="339"/>
      <c r="B152" s="570"/>
      <c r="C152" s="567"/>
      <c r="D152" s="571"/>
      <c r="E152" s="571"/>
      <c r="F152" s="569"/>
      <c r="G152" s="569"/>
      <c r="H152" s="567"/>
      <c r="I152" s="492"/>
      <c r="J152" s="492"/>
      <c r="K152" s="369"/>
      <c r="L152" s="492"/>
      <c r="M152" s="492"/>
      <c r="N152" s="369"/>
      <c r="O152" s="368"/>
      <c r="P152" s="368"/>
      <c r="Q152" s="368"/>
    </row>
    <row r="153" spans="1:17">
      <c r="A153" s="339"/>
      <c r="B153" s="570"/>
      <c r="C153" s="567"/>
      <c r="D153" s="571"/>
      <c r="E153" s="571"/>
      <c r="F153" s="569"/>
      <c r="G153" s="569"/>
      <c r="H153" s="567"/>
      <c r="I153" s="492"/>
      <c r="J153" s="492"/>
      <c r="K153" s="369"/>
      <c r="L153" s="492"/>
      <c r="M153" s="492"/>
      <c r="N153" s="369"/>
      <c r="O153" s="368"/>
      <c r="P153" s="368"/>
      <c r="Q153" s="368"/>
    </row>
    <row r="154" spans="1:17">
      <c r="A154" s="339"/>
      <c r="B154" s="570"/>
      <c r="C154" s="567"/>
      <c r="D154" s="571"/>
      <c r="E154" s="571"/>
      <c r="F154" s="569"/>
      <c r="G154" s="569"/>
      <c r="H154" s="567"/>
      <c r="I154" s="492"/>
      <c r="J154" s="492"/>
      <c r="K154" s="369"/>
      <c r="L154" s="492"/>
      <c r="M154" s="492"/>
      <c r="N154" s="369"/>
      <c r="O154" s="368"/>
      <c r="P154" s="368"/>
      <c r="Q154" s="368"/>
    </row>
    <row r="155" spans="1:17">
      <c r="A155" s="339"/>
      <c r="B155" s="567"/>
      <c r="C155" s="567"/>
      <c r="D155" s="567"/>
      <c r="E155" s="567"/>
      <c r="F155" s="567"/>
      <c r="G155" s="567"/>
      <c r="H155" s="567"/>
      <c r="I155" s="369"/>
      <c r="J155" s="369"/>
      <c r="K155" s="369"/>
      <c r="L155" s="369"/>
      <c r="M155" s="369"/>
      <c r="N155" s="369"/>
      <c r="O155" s="369"/>
      <c r="P155" s="369"/>
      <c r="Q155" s="369"/>
    </row>
    <row r="156" spans="1:17">
      <c r="A156" s="339"/>
      <c r="B156" s="567"/>
      <c r="C156" s="567"/>
      <c r="D156" s="567"/>
      <c r="E156" s="567"/>
      <c r="F156" s="567"/>
      <c r="G156" s="567"/>
      <c r="H156" s="567"/>
      <c r="I156" s="369"/>
      <c r="J156" s="369"/>
      <c r="K156" s="369"/>
      <c r="L156" s="369"/>
      <c r="M156" s="369"/>
      <c r="N156" s="369"/>
      <c r="O156" s="369"/>
      <c r="P156" s="369"/>
      <c r="Q156" s="369"/>
    </row>
    <row r="157" spans="1:17">
      <c r="A157" s="339"/>
      <c r="B157" s="568"/>
      <c r="C157" s="568"/>
      <c r="D157" s="568"/>
      <c r="E157" s="567"/>
      <c r="F157" s="568"/>
      <c r="G157" s="568"/>
      <c r="H157" s="568"/>
      <c r="I157" s="568"/>
      <c r="J157" s="369"/>
      <c r="K157" s="573"/>
      <c r="L157" s="573"/>
      <c r="M157" s="573"/>
      <c r="N157" s="573"/>
      <c r="O157" s="573"/>
      <c r="P157" s="573"/>
      <c r="Q157" s="573"/>
    </row>
    <row r="158" spans="1:17">
      <c r="A158" s="339"/>
      <c r="B158" s="568"/>
      <c r="C158" s="568"/>
      <c r="D158" s="568"/>
      <c r="E158" s="567"/>
      <c r="F158" s="568"/>
      <c r="G158" s="568"/>
      <c r="H158" s="568"/>
      <c r="I158" s="568"/>
      <c r="J158" s="369"/>
      <c r="K158" s="573"/>
      <c r="L158" s="573"/>
      <c r="M158" s="573"/>
      <c r="N158" s="573"/>
      <c r="O158" s="573"/>
      <c r="P158" s="573"/>
      <c r="Q158" s="573"/>
    </row>
    <row r="159" spans="1:18">
      <c r="A159" s="339"/>
      <c r="B159" s="572"/>
      <c r="C159" s="569"/>
      <c r="D159" s="569"/>
      <c r="E159" s="567"/>
      <c r="F159" s="569"/>
      <c r="G159" s="569"/>
      <c r="H159" s="572"/>
      <c r="I159" s="572"/>
      <c r="J159" s="369"/>
      <c r="K159" s="492"/>
      <c r="L159" s="492"/>
      <c r="M159" s="492"/>
      <c r="N159" s="492"/>
      <c r="O159" s="580"/>
      <c r="P159" s="580"/>
      <c r="Q159" s="580"/>
      <c r="R159" s="342"/>
    </row>
    <row r="160" spans="1:18">
      <c r="A160" s="339"/>
      <c r="B160" s="572"/>
      <c r="C160" s="569"/>
      <c r="D160" s="569"/>
      <c r="E160" s="567"/>
      <c r="F160" s="569"/>
      <c r="G160" s="569"/>
      <c r="H160" s="572"/>
      <c r="I160" s="572"/>
      <c r="J160" s="369"/>
      <c r="K160" s="492"/>
      <c r="L160" s="492"/>
      <c r="M160" s="492"/>
      <c r="N160" s="492"/>
      <c r="O160" s="580"/>
      <c r="P160" s="580"/>
      <c r="Q160" s="580"/>
      <c r="R160" s="342"/>
    </row>
    <row r="161" spans="2:17">
      <c r="B161" s="572"/>
      <c r="C161" s="569"/>
      <c r="D161" s="569"/>
      <c r="E161" s="340"/>
      <c r="F161" s="569"/>
      <c r="G161" s="569"/>
      <c r="H161" s="572"/>
      <c r="I161" s="572"/>
      <c r="J161" s="369"/>
      <c r="K161" s="579"/>
      <c r="L161" s="579"/>
      <c r="M161" s="579"/>
      <c r="N161" s="579"/>
      <c r="O161" s="579"/>
      <c r="P161" s="579"/>
      <c r="Q161" s="579"/>
    </row>
    <row r="162" spans="2:17">
      <c r="B162" s="572"/>
      <c r="C162" s="569"/>
      <c r="D162" s="569"/>
      <c r="E162" s="340"/>
      <c r="F162" s="569"/>
      <c r="G162" s="569"/>
      <c r="H162" s="572"/>
      <c r="I162" s="572"/>
      <c r="J162" s="369"/>
      <c r="K162" s="579"/>
      <c r="L162" s="579"/>
      <c r="M162" s="579"/>
      <c r="N162" s="579"/>
      <c r="O162" s="579"/>
      <c r="P162" s="579"/>
      <c r="Q162" s="579"/>
    </row>
    <row r="163" spans="2:17">
      <c r="B163" s="572"/>
      <c r="C163" s="569"/>
      <c r="D163" s="569"/>
      <c r="E163" s="340"/>
      <c r="F163" s="569"/>
      <c r="G163" s="569"/>
      <c r="H163" s="572"/>
      <c r="I163" s="572"/>
      <c r="J163" s="369"/>
      <c r="K163" s="492"/>
      <c r="L163" s="492"/>
      <c r="M163" s="492"/>
      <c r="N163" s="492"/>
      <c r="O163" s="492"/>
      <c r="P163" s="492"/>
      <c r="Q163" s="492"/>
    </row>
    <row r="164" spans="2:17">
      <c r="B164" s="572"/>
      <c r="C164" s="569"/>
      <c r="D164" s="569"/>
      <c r="E164" s="340"/>
      <c r="F164" s="569"/>
      <c r="G164" s="569"/>
      <c r="H164" s="572"/>
      <c r="I164" s="572"/>
      <c r="J164" s="369"/>
      <c r="K164" s="492"/>
      <c r="L164" s="492"/>
      <c r="M164" s="492"/>
      <c r="N164" s="492"/>
      <c r="O164" s="492"/>
      <c r="P164" s="492"/>
      <c r="Q164" s="492"/>
    </row>
    <row r="165" spans="2:17">
      <c r="B165" s="572"/>
      <c r="C165" s="569"/>
      <c r="D165" s="569"/>
      <c r="E165" s="340"/>
      <c r="F165" s="569"/>
      <c r="G165" s="569"/>
      <c r="H165" s="572"/>
      <c r="I165" s="572"/>
      <c r="J165" s="369"/>
      <c r="K165" s="492"/>
      <c r="L165" s="492"/>
      <c r="M165" s="492"/>
      <c r="N165" s="492"/>
      <c r="O165" s="492"/>
      <c r="P165" s="492"/>
      <c r="Q165" s="492"/>
    </row>
    <row r="166" spans="2:17">
      <c r="B166" s="572"/>
      <c r="C166" s="569"/>
      <c r="D166" s="569"/>
      <c r="E166" s="340"/>
      <c r="F166" s="569"/>
      <c r="G166" s="569"/>
      <c r="H166" s="572"/>
      <c r="I166" s="572"/>
      <c r="J166" s="369"/>
      <c r="K166" s="492"/>
      <c r="L166" s="492"/>
      <c r="M166" s="492"/>
      <c r="N166" s="492"/>
      <c r="O166" s="492"/>
      <c r="P166" s="492"/>
      <c r="Q166" s="492"/>
    </row>
    <row r="167" spans="2:18">
      <c r="B167" s="572"/>
      <c r="C167" s="368"/>
      <c r="D167" s="569"/>
      <c r="E167" s="340"/>
      <c r="F167" s="569"/>
      <c r="G167" s="569"/>
      <c r="H167" s="572"/>
      <c r="I167" s="572"/>
      <c r="J167" s="369"/>
      <c r="K167" s="492"/>
      <c r="L167" s="492"/>
      <c r="M167" s="492"/>
      <c r="N167" s="492"/>
      <c r="O167" s="492"/>
      <c r="P167" s="492"/>
      <c r="Q167" s="492"/>
      <c r="R167" s="342"/>
    </row>
    <row r="168" spans="2:18">
      <c r="B168" s="340"/>
      <c r="D168" s="340"/>
      <c r="E168" s="340"/>
      <c r="F168" s="340"/>
      <c r="G168" s="340"/>
      <c r="H168" s="340"/>
      <c r="I168" s="369"/>
      <c r="J168" s="369"/>
      <c r="K168" s="342"/>
      <c r="L168" s="342"/>
      <c r="M168" s="342"/>
      <c r="N168" s="342"/>
      <c r="O168" s="341"/>
      <c r="P168" s="341"/>
      <c r="Q168" s="341"/>
      <c r="R168" s="342"/>
    </row>
    <row r="169" spans="2:18">
      <c r="B169" s="340"/>
      <c r="C169" s="340"/>
      <c r="D169" s="340"/>
      <c r="E169" s="340"/>
      <c r="F169" s="340"/>
      <c r="G169" s="340"/>
      <c r="H169" s="340"/>
      <c r="I169" s="369"/>
      <c r="J169" s="369"/>
      <c r="K169" s="342"/>
      <c r="L169" s="342"/>
      <c r="M169" s="342"/>
      <c r="N169" s="342"/>
      <c r="O169" s="341"/>
      <c r="P169" s="341"/>
      <c r="Q169" s="341"/>
      <c r="R169" s="342"/>
    </row>
    <row r="170" spans="2:18">
      <c r="B170" s="573"/>
      <c r="C170" s="573"/>
      <c r="D170" s="573"/>
      <c r="E170" s="340"/>
      <c r="F170" s="578"/>
      <c r="G170" s="578"/>
      <c r="H170" s="340"/>
      <c r="I170" s="573"/>
      <c r="J170" s="573"/>
      <c r="K170" s="573"/>
      <c r="L170" s="573"/>
      <c r="M170" s="573"/>
      <c r="N170" s="573"/>
      <c r="O170" s="573"/>
      <c r="P170" s="573"/>
      <c r="Q170" s="573"/>
      <c r="R170" s="342"/>
    </row>
    <row r="171" spans="2:18">
      <c r="B171" s="573"/>
      <c r="C171" s="573"/>
      <c r="D171" s="573"/>
      <c r="E171" s="340"/>
      <c r="F171" s="578"/>
      <c r="G171" s="578"/>
      <c r="H171" s="340"/>
      <c r="I171" s="573"/>
      <c r="J171" s="573"/>
      <c r="K171" s="573"/>
      <c r="L171" s="573"/>
      <c r="M171" s="573"/>
      <c r="N171" s="573"/>
      <c r="O171" s="573"/>
      <c r="P171" s="573"/>
      <c r="Q171" s="573"/>
      <c r="R171" s="342"/>
    </row>
    <row r="172" spans="2:18">
      <c r="B172" s="574"/>
      <c r="C172" s="492"/>
      <c r="D172" s="492"/>
      <c r="E172" s="340"/>
      <c r="F172" s="492"/>
      <c r="G172" s="492"/>
      <c r="H172" s="340"/>
      <c r="I172" s="492"/>
      <c r="J172" s="492"/>
      <c r="K172" s="492"/>
      <c r="L172" s="492"/>
      <c r="M172" s="492"/>
      <c r="N172" s="492"/>
      <c r="O172" s="492"/>
      <c r="P172" s="492"/>
      <c r="Q172" s="492"/>
      <c r="R172" s="342"/>
    </row>
    <row r="173" spans="2:18">
      <c r="B173" s="574"/>
      <c r="C173" s="492"/>
      <c r="D173" s="492"/>
      <c r="E173" s="340"/>
      <c r="F173" s="492"/>
      <c r="G173" s="492"/>
      <c r="I173" s="492"/>
      <c r="J173" s="492"/>
      <c r="K173" s="492"/>
      <c r="L173" s="492"/>
      <c r="M173" s="492"/>
      <c r="N173" s="492"/>
      <c r="O173" s="492"/>
      <c r="P173" s="492"/>
      <c r="Q173" s="492"/>
      <c r="R173" s="342"/>
    </row>
    <row r="174" spans="2:18">
      <c r="B174" s="574"/>
      <c r="C174" s="492"/>
      <c r="D174" s="492"/>
      <c r="E174" s="340"/>
      <c r="F174" s="492"/>
      <c r="G174" s="492"/>
      <c r="I174" s="368"/>
      <c r="J174" s="492"/>
      <c r="K174" s="492"/>
      <c r="L174" s="492"/>
      <c r="M174" s="492"/>
      <c r="N174" s="492"/>
      <c r="O174" s="492"/>
      <c r="P174" s="492"/>
      <c r="Q174" s="492"/>
      <c r="R174" s="342"/>
    </row>
    <row r="175" spans="2:17">
      <c r="B175" s="574"/>
      <c r="C175" s="492"/>
      <c r="D175" s="492"/>
      <c r="E175" s="340"/>
      <c r="F175" s="492"/>
      <c r="G175" s="492"/>
      <c r="H175" s="340"/>
      <c r="I175" s="368"/>
      <c r="J175" s="492"/>
      <c r="K175" s="492"/>
      <c r="L175" s="492"/>
      <c r="M175" s="492"/>
      <c r="N175" s="492"/>
      <c r="O175" s="492"/>
      <c r="P175" s="492"/>
      <c r="Q175" s="492"/>
    </row>
    <row r="176" spans="2:17">
      <c r="B176" s="574"/>
      <c r="C176" s="492"/>
      <c r="D176" s="492"/>
      <c r="E176" s="340"/>
      <c r="F176" s="492"/>
      <c r="G176" s="492"/>
      <c r="H176" s="340"/>
      <c r="I176" s="368"/>
      <c r="J176" s="492"/>
      <c r="K176" s="492"/>
      <c r="L176" s="492"/>
      <c r="M176" s="492"/>
      <c r="N176" s="492"/>
      <c r="O176" s="492"/>
      <c r="P176" s="492"/>
      <c r="Q176" s="492"/>
    </row>
    <row r="177" spans="2:17">
      <c r="B177" s="574"/>
      <c r="C177" s="492"/>
      <c r="D177" s="492"/>
      <c r="E177" s="340"/>
      <c r="F177" s="492"/>
      <c r="G177" s="492"/>
      <c r="H177" s="340"/>
      <c r="I177" s="368"/>
      <c r="J177" s="368"/>
      <c r="K177" s="368"/>
      <c r="L177" s="368"/>
      <c r="M177" s="492"/>
      <c r="N177" s="492"/>
      <c r="O177" s="492"/>
      <c r="P177" s="492"/>
      <c r="Q177" s="492"/>
    </row>
    <row r="178" spans="2:17">
      <c r="B178" s="574"/>
      <c r="C178" s="492"/>
      <c r="D178" s="492"/>
      <c r="E178" s="340"/>
      <c r="F178" s="492"/>
      <c r="G178" s="492"/>
      <c r="H178" s="340"/>
      <c r="I178" s="368"/>
      <c r="J178" s="368"/>
      <c r="K178" s="368"/>
      <c r="L178" s="368"/>
      <c r="M178" s="492"/>
      <c r="N178" s="492"/>
      <c r="O178" s="492"/>
      <c r="P178" s="492"/>
      <c r="Q178" s="492"/>
    </row>
    <row r="179" spans="2:17">
      <c r="B179" s="574"/>
      <c r="C179" s="492"/>
      <c r="D179" s="492"/>
      <c r="E179" s="340"/>
      <c r="F179" s="492"/>
      <c r="G179" s="492"/>
      <c r="H179" s="340"/>
      <c r="I179" s="368"/>
      <c r="J179" s="368"/>
      <c r="K179" s="368"/>
      <c r="L179" s="368"/>
      <c r="M179" s="492"/>
      <c r="N179" s="492"/>
      <c r="O179" s="492"/>
      <c r="P179" s="492"/>
      <c r="Q179" s="492"/>
    </row>
    <row r="180" spans="2:17">
      <c r="B180" s="574"/>
      <c r="C180" s="492"/>
      <c r="D180" s="492"/>
      <c r="E180" s="340"/>
      <c r="F180" s="492"/>
      <c r="G180" s="492"/>
      <c r="H180" s="340"/>
      <c r="I180" s="368"/>
      <c r="J180" s="368"/>
      <c r="K180" s="368"/>
      <c r="L180" s="368"/>
      <c r="M180" s="492"/>
      <c r="N180" s="492"/>
      <c r="O180" s="492"/>
      <c r="P180" s="492"/>
      <c r="Q180" s="492"/>
    </row>
    <row r="181" spans="2:17">
      <c r="B181" s="340"/>
      <c r="C181" s="340"/>
      <c r="D181" s="340"/>
      <c r="E181" s="340"/>
      <c r="F181" s="340"/>
      <c r="G181" s="340"/>
      <c r="H181" s="340"/>
      <c r="I181" s="492"/>
      <c r="J181" s="492"/>
      <c r="K181" s="492"/>
      <c r="L181" s="492"/>
      <c r="M181" s="492"/>
      <c r="N181" s="492"/>
      <c r="O181" s="492"/>
      <c r="P181" s="492"/>
      <c r="Q181" s="492"/>
    </row>
    <row r="182" spans="2:17">
      <c r="B182" s="340"/>
      <c r="C182" s="340"/>
      <c r="D182" s="340"/>
      <c r="E182" s="340"/>
      <c r="F182" s="340"/>
      <c r="G182" s="340"/>
      <c r="H182" s="340"/>
      <c r="I182" s="492"/>
      <c r="J182" s="492"/>
      <c r="K182" s="492"/>
      <c r="L182" s="492"/>
      <c r="M182" s="492"/>
      <c r="N182" s="492"/>
      <c r="O182" s="492"/>
      <c r="P182" s="492"/>
      <c r="Q182" s="492"/>
    </row>
    <row r="183" spans="2:17">
      <c r="B183" s="340"/>
      <c r="C183" s="340"/>
      <c r="D183" s="340"/>
      <c r="E183" s="340"/>
      <c r="F183" s="340"/>
      <c r="G183" s="340"/>
      <c r="H183" s="340"/>
      <c r="I183" s="492"/>
      <c r="J183" s="492"/>
      <c r="K183" s="492"/>
      <c r="L183" s="492"/>
      <c r="M183" s="492"/>
      <c r="N183" s="492"/>
      <c r="O183" s="492"/>
      <c r="P183" s="492"/>
      <c r="Q183" s="492"/>
    </row>
    <row r="184" spans="2:17">
      <c r="B184" s="340"/>
      <c r="C184" s="340"/>
      <c r="D184" s="340"/>
      <c r="E184" s="340"/>
      <c r="F184" s="340"/>
      <c r="G184" s="340"/>
      <c r="H184" s="340"/>
      <c r="I184" s="369"/>
      <c r="J184" s="369"/>
      <c r="K184" s="369"/>
      <c r="L184" s="369"/>
      <c r="M184" s="369"/>
      <c r="N184" s="369"/>
      <c r="O184" s="369"/>
      <c r="P184" s="369"/>
      <c r="Q184" s="369"/>
    </row>
    <row r="185" ht="15" customHeight="1" spans="2:17">
      <c r="B185" s="575"/>
      <c r="C185" s="575"/>
      <c r="D185" s="575"/>
      <c r="E185" s="575"/>
      <c r="F185" s="575"/>
      <c r="G185" s="575"/>
      <c r="H185" s="575"/>
      <c r="I185" s="575"/>
      <c r="J185" s="575"/>
      <c r="K185" s="575"/>
      <c r="L185" s="575"/>
      <c r="M185" s="575"/>
      <c r="N185" s="575"/>
      <c r="O185" s="575"/>
      <c r="P185" s="575"/>
      <c r="Q185" s="575"/>
    </row>
    <row r="186" ht="15" customHeight="1" spans="2:17">
      <c r="B186" s="575"/>
      <c r="C186" s="575"/>
      <c r="D186" s="575"/>
      <c r="E186" s="575"/>
      <c r="F186" s="575"/>
      <c r="G186" s="575"/>
      <c r="H186" s="575"/>
      <c r="I186" s="575"/>
      <c r="J186" s="575"/>
      <c r="K186" s="575"/>
      <c r="L186" s="575"/>
      <c r="M186" s="575"/>
      <c r="N186" s="575"/>
      <c r="O186" s="575"/>
      <c r="P186" s="575"/>
      <c r="Q186" s="575"/>
    </row>
    <row r="187" ht="17" customHeight="1" spans="2:17">
      <c r="B187" s="576"/>
      <c r="C187" s="576"/>
      <c r="D187" s="576"/>
      <c r="E187" s="576"/>
      <c r="F187" s="576"/>
      <c r="G187" s="576"/>
      <c r="H187" s="576"/>
      <c r="I187" s="576"/>
      <c r="J187" s="576"/>
      <c r="K187" s="576"/>
      <c r="L187" s="576"/>
      <c r="M187" s="576"/>
      <c r="N187" s="576"/>
      <c r="O187" s="576"/>
      <c r="P187" s="576"/>
      <c r="Q187" s="576"/>
    </row>
    <row r="188" ht="17" customHeight="1" spans="2:17">
      <c r="B188" s="576"/>
      <c r="C188" s="576"/>
      <c r="D188" s="529"/>
      <c r="E188" s="577"/>
      <c r="F188" s="577"/>
      <c r="G188" s="577"/>
      <c r="H188" s="577"/>
      <c r="I188" s="577"/>
      <c r="J188" s="577"/>
      <c r="K188" s="577"/>
      <c r="L188" s="577"/>
      <c r="M188" s="577"/>
      <c r="N188" s="577"/>
      <c r="O188" s="577"/>
      <c r="P188" s="577"/>
      <c r="Q188" s="577"/>
    </row>
    <row r="189" ht="17" customHeight="1" spans="2:17">
      <c r="B189" s="576"/>
      <c r="C189" s="576"/>
      <c r="D189" s="577"/>
      <c r="E189" s="577"/>
      <c r="F189" s="577"/>
      <c r="G189" s="577"/>
      <c r="H189" s="577"/>
      <c r="I189" s="577"/>
      <c r="J189" s="577"/>
      <c r="K189" s="577"/>
      <c r="L189" s="577"/>
      <c r="M189" s="577"/>
      <c r="N189" s="577"/>
      <c r="O189" s="577"/>
      <c r="P189" s="577"/>
      <c r="Q189" s="577"/>
    </row>
    <row r="190" ht="17" customHeight="1" spans="2:17">
      <c r="B190" s="576"/>
      <c r="C190" s="576"/>
      <c r="D190" s="577"/>
      <c r="E190" s="577"/>
      <c r="F190" s="577"/>
      <c r="G190" s="577"/>
      <c r="H190" s="577"/>
      <c r="I190" s="577"/>
      <c r="J190" s="577"/>
      <c r="K190" s="577"/>
      <c r="L190" s="577"/>
      <c r="M190" s="577"/>
      <c r="N190" s="577"/>
      <c r="O190" s="577"/>
      <c r="P190" s="577"/>
      <c r="Q190" s="577"/>
    </row>
    <row r="191" ht="17" customHeight="1" spans="2:17">
      <c r="B191" s="576"/>
      <c r="C191" s="576"/>
      <c r="D191" s="577"/>
      <c r="E191" s="577"/>
      <c r="F191" s="577"/>
      <c r="G191" s="577"/>
      <c r="H191" s="577"/>
      <c r="I191" s="577"/>
      <c r="J191" s="577"/>
      <c r="K191" s="577"/>
      <c r="L191" s="577"/>
      <c r="M191" s="577"/>
      <c r="N191" s="577"/>
      <c r="O191" s="577"/>
      <c r="P191" s="577"/>
      <c r="Q191" s="577"/>
    </row>
    <row r="192" ht="17" customHeight="1" spans="2:17">
      <c r="B192" s="576"/>
      <c r="C192" s="576"/>
      <c r="D192" s="529"/>
      <c r="E192" s="577"/>
      <c r="F192" s="577"/>
      <c r="G192" s="577"/>
      <c r="H192" s="577"/>
      <c r="I192" s="577"/>
      <c r="J192" s="577"/>
      <c r="K192" s="577"/>
      <c r="L192" s="577"/>
      <c r="M192" s="577"/>
      <c r="N192" s="577"/>
      <c r="O192" s="577"/>
      <c r="P192" s="577"/>
      <c r="Q192" s="577"/>
    </row>
    <row r="193" ht="17" customHeight="1" spans="2:17">
      <c r="B193" s="576"/>
      <c r="C193" s="576"/>
      <c r="D193" s="577"/>
      <c r="E193" s="577"/>
      <c r="F193" s="577"/>
      <c r="G193" s="577"/>
      <c r="H193" s="577"/>
      <c r="I193" s="577"/>
      <c r="J193" s="577"/>
      <c r="K193" s="577"/>
      <c r="L193" s="577"/>
      <c r="M193" s="577"/>
      <c r="N193" s="577"/>
      <c r="O193" s="577"/>
      <c r="P193" s="577"/>
      <c r="Q193" s="577"/>
    </row>
    <row r="194" ht="17" customHeight="1" spans="2:17">
      <c r="B194" s="576"/>
      <c r="C194" s="576"/>
      <c r="D194" s="577"/>
      <c r="E194" s="577"/>
      <c r="F194" s="577"/>
      <c r="G194" s="577"/>
      <c r="H194" s="577"/>
      <c r="I194" s="577"/>
      <c r="J194" s="577"/>
      <c r="K194" s="577"/>
      <c r="L194" s="577"/>
      <c r="M194" s="577"/>
      <c r="N194" s="577"/>
      <c r="O194" s="577"/>
      <c r="P194" s="577"/>
      <c r="Q194" s="577"/>
    </row>
    <row r="195" ht="17" customHeight="1" spans="2:17">
      <c r="B195" s="576"/>
      <c r="C195" s="576"/>
      <c r="D195" s="577"/>
      <c r="E195" s="577"/>
      <c r="F195" s="577"/>
      <c r="G195" s="577"/>
      <c r="H195" s="577"/>
      <c r="I195" s="577"/>
      <c r="J195" s="577"/>
      <c r="K195" s="577"/>
      <c r="L195" s="577"/>
      <c r="M195" s="577"/>
      <c r="N195" s="577"/>
      <c r="O195" s="577"/>
      <c r="P195" s="577"/>
      <c r="Q195" s="577"/>
    </row>
    <row r="196" ht="17" customHeight="1" spans="2:17">
      <c r="B196" s="576"/>
      <c r="C196" s="576"/>
      <c r="D196" s="529"/>
      <c r="E196" s="577"/>
      <c r="F196" s="577"/>
      <c r="G196" s="577"/>
      <c r="H196" s="577"/>
      <c r="I196" s="577"/>
      <c r="J196" s="577"/>
      <c r="K196" s="577"/>
      <c r="L196" s="577"/>
      <c r="M196" s="577"/>
      <c r="N196" s="577"/>
      <c r="O196" s="577"/>
      <c r="P196" s="577"/>
      <c r="Q196" s="577"/>
    </row>
    <row r="197" ht="17" customHeight="1" spans="2:17">
      <c r="B197" s="576"/>
      <c r="C197" s="576"/>
      <c r="D197" s="577"/>
      <c r="E197" s="577"/>
      <c r="F197" s="577"/>
      <c r="G197" s="577"/>
      <c r="H197" s="577"/>
      <c r="I197" s="577"/>
      <c r="J197" s="577"/>
      <c r="K197" s="577"/>
      <c r="L197" s="577"/>
      <c r="M197" s="577"/>
      <c r="N197" s="577"/>
      <c r="O197" s="577"/>
      <c r="P197" s="577"/>
      <c r="Q197" s="577"/>
    </row>
    <row r="198" ht="17" customHeight="1" spans="2:17">
      <c r="B198" s="576"/>
      <c r="C198" s="576"/>
      <c r="D198" s="577"/>
      <c r="E198" s="577"/>
      <c r="F198" s="577"/>
      <c r="G198" s="577"/>
      <c r="H198" s="577"/>
      <c r="I198" s="577"/>
      <c r="J198" s="577"/>
      <c r="K198" s="577"/>
      <c r="L198" s="577"/>
      <c r="M198" s="577"/>
      <c r="N198" s="577"/>
      <c r="O198" s="577"/>
      <c r="P198" s="577"/>
      <c r="Q198" s="577"/>
    </row>
    <row r="199" ht="17" customHeight="1" spans="2:17">
      <c r="B199" s="576"/>
      <c r="C199" s="576"/>
      <c r="D199" s="577"/>
      <c r="E199" s="577"/>
      <c r="F199" s="577"/>
      <c r="G199" s="577"/>
      <c r="H199" s="577"/>
      <c r="I199" s="577"/>
      <c r="J199" s="577"/>
      <c r="K199" s="577"/>
      <c r="L199" s="577"/>
      <c r="M199" s="577"/>
      <c r="N199" s="577"/>
      <c r="O199" s="577"/>
      <c r="P199" s="577"/>
      <c r="Q199" s="577"/>
    </row>
    <row r="200" ht="17" customHeight="1" spans="2:17">
      <c r="B200" s="576"/>
      <c r="C200" s="576"/>
      <c r="D200" s="529"/>
      <c r="E200" s="577"/>
      <c r="F200" s="577"/>
      <c r="G200" s="577"/>
      <c r="H200" s="577"/>
      <c r="I200" s="577"/>
      <c r="J200" s="577"/>
      <c r="K200" s="577"/>
      <c r="L200" s="577"/>
      <c r="M200" s="577"/>
      <c r="N200" s="577"/>
      <c r="O200" s="577"/>
      <c r="P200" s="577"/>
      <c r="Q200" s="577"/>
    </row>
    <row r="201" ht="17" customHeight="1" spans="2:17">
      <c r="B201" s="576"/>
      <c r="C201" s="576"/>
      <c r="D201" s="577"/>
      <c r="E201" s="577"/>
      <c r="F201" s="577"/>
      <c r="G201" s="577"/>
      <c r="H201" s="577"/>
      <c r="I201" s="577"/>
      <c r="J201" s="577"/>
      <c r="K201" s="577"/>
      <c r="L201" s="577"/>
      <c r="M201" s="577"/>
      <c r="N201" s="577"/>
      <c r="O201" s="577"/>
      <c r="P201" s="577"/>
      <c r="Q201" s="577"/>
    </row>
    <row r="202" ht="17" customHeight="1" spans="2:17">
      <c r="B202" s="576"/>
      <c r="C202" s="576"/>
      <c r="D202" s="577"/>
      <c r="E202" s="577"/>
      <c r="F202" s="577"/>
      <c r="G202" s="577"/>
      <c r="H202" s="577"/>
      <c r="I202" s="577"/>
      <c r="J202" s="577"/>
      <c r="K202" s="577"/>
      <c r="L202" s="577"/>
      <c r="M202" s="577"/>
      <c r="N202" s="577"/>
      <c r="O202" s="577"/>
      <c r="P202" s="577"/>
      <c r="Q202" s="577"/>
    </row>
    <row r="203" ht="17" customHeight="1" spans="2:17">
      <c r="B203" s="576"/>
      <c r="C203" s="576"/>
      <c r="D203" s="577"/>
      <c r="E203" s="577"/>
      <c r="F203" s="577"/>
      <c r="G203" s="577"/>
      <c r="H203" s="577"/>
      <c r="I203" s="577"/>
      <c r="J203" s="577"/>
      <c r="K203" s="577"/>
      <c r="L203" s="577"/>
      <c r="M203" s="577"/>
      <c r="N203" s="577"/>
      <c r="O203" s="577"/>
      <c r="P203" s="577"/>
      <c r="Q203" s="577"/>
    </row>
    <row r="204" ht="17" customHeight="1" spans="2:17">
      <c r="B204" s="576"/>
      <c r="C204" s="576"/>
      <c r="D204" s="529"/>
      <c r="E204" s="577"/>
      <c r="F204" s="577"/>
      <c r="G204" s="577"/>
      <c r="H204" s="577"/>
      <c r="I204" s="577"/>
      <c r="J204" s="577"/>
      <c r="K204" s="577"/>
      <c r="L204" s="577"/>
      <c r="M204" s="577"/>
      <c r="N204" s="577"/>
      <c r="O204" s="577"/>
      <c r="P204" s="577"/>
      <c r="Q204" s="577"/>
    </row>
    <row r="205" ht="17" customHeight="1" spans="2:17">
      <c r="B205" s="576"/>
      <c r="C205" s="576"/>
      <c r="D205" s="577"/>
      <c r="E205" s="577"/>
      <c r="F205" s="577"/>
      <c r="G205" s="577"/>
      <c r="H205" s="577"/>
      <c r="I205" s="577"/>
      <c r="J205" s="577"/>
      <c r="K205" s="577"/>
      <c r="L205" s="577"/>
      <c r="M205" s="577"/>
      <c r="N205" s="577"/>
      <c r="O205" s="577"/>
      <c r="P205" s="577"/>
      <c r="Q205" s="577"/>
    </row>
    <row r="206" ht="17" customHeight="1" spans="2:17">
      <c r="B206" s="576"/>
      <c r="C206" s="576"/>
      <c r="D206" s="577"/>
      <c r="E206" s="577"/>
      <c r="F206" s="577"/>
      <c r="G206" s="577"/>
      <c r="H206" s="577"/>
      <c r="I206" s="577"/>
      <c r="J206" s="577"/>
      <c r="K206" s="577"/>
      <c r="L206" s="577"/>
      <c r="M206" s="577"/>
      <c r="N206" s="577"/>
      <c r="O206" s="577"/>
      <c r="P206" s="577"/>
      <c r="Q206" s="577"/>
    </row>
    <row r="207" ht="17" customHeight="1" spans="2:17">
      <c r="B207" s="576"/>
      <c r="C207" s="576"/>
      <c r="D207" s="577"/>
      <c r="E207" s="577"/>
      <c r="F207" s="577"/>
      <c r="G207" s="577"/>
      <c r="H207" s="577"/>
      <c r="I207" s="577"/>
      <c r="J207" s="577"/>
      <c r="K207" s="577"/>
      <c r="L207" s="577"/>
      <c r="M207" s="577"/>
      <c r="N207" s="577"/>
      <c r="O207" s="577"/>
      <c r="P207" s="577"/>
      <c r="Q207" s="577"/>
    </row>
    <row r="208" ht="17" customHeight="1" spans="2:17">
      <c r="B208" s="576"/>
      <c r="C208" s="576"/>
      <c r="D208" s="529"/>
      <c r="E208" s="577"/>
      <c r="F208" s="577"/>
      <c r="G208" s="577"/>
      <c r="H208" s="577"/>
      <c r="I208" s="577"/>
      <c r="J208" s="577"/>
      <c r="K208" s="577"/>
      <c r="L208" s="577"/>
      <c r="M208" s="577"/>
      <c r="N208" s="577"/>
      <c r="O208" s="577"/>
      <c r="P208" s="577"/>
      <c r="Q208" s="577"/>
    </row>
    <row r="209" ht="17" customHeight="1" spans="2:17">
      <c r="B209" s="576"/>
      <c r="C209" s="576"/>
      <c r="D209" s="577"/>
      <c r="E209" s="577"/>
      <c r="F209" s="577"/>
      <c r="G209" s="577"/>
      <c r="H209" s="577"/>
      <c r="I209" s="577"/>
      <c r="J209" s="577"/>
      <c r="K209" s="577"/>
      <c r="L209" s="577"/>
      <c r="M209" s="577"/>
      <c r="N209" s="577"/>
      <c r="O209" s="577"/>
      <c r="P209" s="577"/>
      <c r="Q209" s="577"/>
    </row>
    <row r="210" ht="17" customHeight="1" spans="2:17">
      <c r="B210" s="590"/>
      <c r="C210" s="590"/>
      <c r="D210" s="590"/>
      <c r="E210" s="590"/>
      <c r="F210" s="590"/>
      <c r="G210" s="590"/>
      <c r="H210" s="590"/>
      <c r="I210" s="590"/>
      <c r="J210" s="590"/>
      <c r="K210" s="590"/>
      <c r="L210" s="590"/>
      <c r="M210" s="590"/>
      <c r="N210" s="590"/>
      <c r="O210" s="590"/>
      <c r="P210" s="590"/>
      <c r="Q210" s="590"/>
    </row>
    <row r="211" ht="17" customHeight="1" spans="2:17">
      <c r="B211" s="590"/>
      <c r="C211" s="590"/>
      <c r="D211" s="590"/>
      <c r="E211" s="590"/>
      <c r="F211" s="590"/>
      <c r="G211" s="590"/>
      <c r="H211" s="590"/>
      <c r="I211" s="590"/>
      <c r="J211" s="590"/>
      <c r="K211" s="590"/>
      <c r="L211" s="590"/>
      <c r="M211" s="590"/>
      <c r="N211" s="590"/>
      <c r="O211" s="590"/>
      <c r="P211" s="590"/>
      <c r="Q211" s="590"/>
    </row>
    <row r="212" ht="18" customHeight="1" spans="2:24">
      <c r="B212" s="591"/>
      <c r="C212" s="591"/>
      <c r="D212" s="591"/>
      <c r="E212" s="591"/>
      <c r="F212" s="591"/>
      <c r="G212" s="591"/>
      <c r="H212" s="591"/>
      <c r="I212" s="591"/>
      <c r="J212" s="591"/>
      <c r="K212" s="591"/>
      <c r="L212" s="591"/>
      <c r="M212" s="591"/>
      <c r="N212" s="591"/>
      <c r="O212" s="591"/>
      <c r="P212" s="591"/>
      <c r="Q212" s="591"/>
      <c r="R212" s="598"/>
      <c r="S212" s="598"/>
      <c r="T212" s="598"/>
      <c r="U212" s="598"/>
      <c r="V212" s="598"/>
      <c r="W212" s="598"/>
      <c r="X212" s="598"/>
    </row>
    <row r="213" ht="18" customHeight="1" spans="2:24">
      <c r="B213" s="591"/>
      <c r="C213" s="591"/>
      <c r="D213" s="591"/>
      <c r="E213" s="591"/>
      <c r="F213" s="591"/>
      <c r="G213" s="591"/>
      <c r="H213" s="591"/>
      <c r="I213" s="591"/>
      <c r="J213" s="591"/>
      <c r="K213" s="591"/>
      <c r="L213" s="591"/>
      <c r="M213" s="591"/>
      <c r="N213" s="591"/>
      <c r="O213" s="591"/>
      <c r="P213" s="591"/>
      <c r="Q213" s="591"/>
      <c r="R213" s="598"/>
      <c r="S213" s="598"/>
      <c r="T213" s="598"/>
      <c r="U213" s="598"/>
      <c r="V213" s="598"/>
      <c r="W213" s="598"/>
      <c r="X213" s="598"/>
    </row>
    <row r="214" ht="18" customHeight="1" spans="2:24">
      <c r="B214" s="591"/>
      <c r="C214" s="591"/>
      <c r="D214" s="591"/>
      <c r="E214" s="591"/>
      <c r="F214" s="591"/>
      <c r="G214" s="591"/>
      <c r="H214" s="591"/>
      <c r="I214" s="591"/>
      <c r="J214" s="591"/>
      <c r="K214" s="591"/>
      <c r="L214" s="591"/>
      <c r="M214" s="591"/>
      <c r="N214" s="591"/>
      <c r="O214" s="591"/>
      <c r="P214" s="591"/>
      <c r="Q214" s="591"/>
      <c r="R214" s="598"/>
      <c r="S214" s="598"/>
      <c r="T214" s="598"/>
      <c r="U214" s="598"/>
      <c r="V214" s="598"/>
      <c r="W214" s="598"/>
      <c r="X214" s="598"/>
    </row>
    <row r="215" ht="18" customHeight="1" spans="2:24">
      <c r="B215" s="592"/>
      <c r="C215" s="592"/>
      <c r="D215" s="592"/>
      <c r="E215" s="592"/>
      <c r="F215" s="592"/>
      <c r="G215" s="592"/>
      <c r="H215" s="592"/>
      <c r="I215" s="592"/>
      <c r="J215" s="592"/>
      <c r="K215" s="592"/>
      <c r="L215" s="592"/>
      <c r="M215" s="592"/>
      <c r="N215" s="592"/>
      <c r="O215" s="592"/>
      <c r="P215" s="592"/>
      <c r="Q215" s="592"/>
      <c r="R215" s="599"/>
      <c r="S215" s="599"/>
      <c r="T215" s="599"/>
      <c r="U215" s="599"/>
      <c r="V215" s="599"/>
      <c r="W215" s="599"/>
      <c r="X215" s="599"/>
    </row>
    <row r="216" ht="18" customHeight="1" spans="2:17">
      <c r="B216" s="593"/>
      <c r="C216" s="593"/>
      <c r="D216" s="593"/>
      <c r="E216" s="593"/>
      <c r="F216" s="593"/>
      <c r="G216" s="593"/>
      <c r="J216" s="593"/>
      <c r="K216" s="593"/>
      <c r="L216" s="593"/>
      <c r="M216" s="593"/>
      <c r="N216" s="593"/>
      <c r="O216" s="593"/>
      <c r="P216" s="593"/>
      <c r="Q216" s="593"/>
    </row>
    <row r="217" ht="18" customHeight="1" spans="2:17">
      <c r="B217" s="593"/>
      <c r="C217" s="593"/>
      <c r="D217" s="593"/>
      <c r="E217" s="593"/>
      <c r="F217" s="593"/>
      <c r="G217" s="593"/>
      <c r="J217" s="593"/>
      <c r="K217" s="593"/>
      <c r="L217" s="593"/>
      <c r="M217" s="593"/>
      <c r="N217" s="593"/>
      <c r="O217" s="593"/>
      <c r="P217" s="593"/>
      <c r="Q217" s="593"/>
    </row>
    <row r="218" ht="18" customHeight="1" spans="2:17">
      <c r="B218" s="518"/>
      <c r="C218" s="518"/>
      <c r="D218" s="518"/>
      <c r="E218" s="518"/>
      <c r="F218" s="518"/>
      <c r="G218" s="595"/>
      <c r="J218" s="595"/>
      <c r="K218" s="595"/>
      <c r="L218" s="595"/>
      <c r="M218" s="595"/>
      <c r="N218" s="597"/>
      <c r="O218" s="597"/>
      <c r="P218" s="597"/>
      <c r="Q218" s="597"/>
    </row>
    <row r="219" ht="18" customHeight="1" spans="2:17">
      <c r="B219" s="518"/>
      <c r="C219" s="518"/>
      <c r="D219" s="518"/>
      <c r="E219" s="518"/>
      <c r="F219" s="518"/>
      <c r="G219" s="595"/>
      <c r="J219" s="595"/>
      <c r="K219" s="595"/>
      <c r="L219" s="595"/>
      <c r="M219" s="595"/>
      <c r="N219" s="595"/>
      <c r="O219" s="595"/>
      <c r="P219" s="595"/>
      <c r="Q219" s="595"/>
    </row>
    <row r="220" ht="18" customHeight="1" spans="2:17">
      <c r="B220" s="518"/>
      <c r="C220" s="518"/>
      <c r="D220" s="518"/>
      <c r="E220" s="518"/>
      <c r="F220" s="518"/>
      <c r="G220" s="595"/>
      <c r="J220" s="595"/>
      <c r="K220" s="595"/>
      <c r="L220" s="595"/>
      <c r="M220" s="595"/>
      <c r="N220" s="595"/>
      <c r="O220" s="595"/>
      <c r="P220" s="595"/>
      <c r="Q220" s="595"/>
    </row>
    <row r="221" ht="18" customHeight="1" spans="2:17">
      <c r="B221" s="518"/>
      <c r="C221" s="518"/>
      <c r="D221" s="518"/>
      <c r="E221" s="518"/>
      <c r="F221" s="518"/>
      <c r="G221" s="595"/>
      <c r="J221" s="595"/>
      <c r="K221" s="595"/>
      <c r="L221" s="595"/>
      <c r="M221" s="595"/>
      <c r="N221" s="597"/>
      <c r="O221" s="597"/>
      <c r="P221" s="597"/>
      <c r="Q221" s="597"/>
    </row>
    <row r="222" ht="18" customHeight="1" spans="2:17">
      <c r="B222" s="518"/>
      <c r="C222" s="518"/>
      <c r="D222" s="518"/>
      <c r="E222" s="518"/>
      <c r="F222" s="518"/>
      <c r="G222" s="595"/>
      <c r="J222" s="595"/>
      <c r="K222" s="595"/>
      <c r="L222" s="595"/>
      <c r="M222" s="595"/>
      <c r="N222" s="595"/>
      <c r="O222" s="595"/>
      <c r="P222" s="595"/>
      <c r="Q222" s="595"/>
    </row>
    <row r="223" ht="18" customHeight="1" spans="2:17">
      <c r="B223" s="518"/>
      <c r="C223" s="518"/>
      <c r="D223" s="518"/>
      <c r="E223" s="518"/>
      <c r="F223" s="518"/>
      <c r="G223" s="595"/>
      <c r="J223" s="595"/>
      <c r="K223" s="595"/>
      <c r="L223" s="595"/>
      <c r="M223" s="595"/>
      <c r="N223" s="595"/>
      <c r="O223" s="595"/>
      <c r="P223" s="595"/>
      <c r="Q223" s="595"/>
    </row>
    <row r="224" ht="18" customHeight="1" spans="2:17">
      <c r="B224" s="518"/>
      <c r="C224" s="518"/>
      <c r="D224" s="518"/>
      <c r="E224" s="518"/>
      <c r="F224" s="518"/>
      <c r="G224" s="595"/>
      <c r="J224" s="596"/>
      <c r="K224" s="596"/>
      <c r="L224" s="596"/>
      <c r="M224" s="596"/>
      <c r="N224" s="596"/>
      <c r="O224" s="596"/>
      <c r="P224" s="596"/>
      <c r="Q224" s="596"/>
    </row>
    <row r="225" ht="18" customHeight="1" spans="2:17">
      <c r="B225" s="518"/>
      <c r="C225" s="518"/>
      <c r="D225" s="518"/>
      <c r="E225" s="518"/>
      <c r="F225" s="518"/>
      <c r="G225" s="595"/>
      <c r="J225" s="596"/>
      <c r="K225" s="596"/>
      <c r="L225" s="596"/>
      <c r="M225" s="596"/>
      <c r="N225" s="596"/>
      <c r="O225" s="596"/>
      <c r="P225" s="596"/>
      <c r="Q225" s="596"/>
    </row>
    <row r="226" ht="18" customHeight="1" spans="2:17">
      <c r="B226" s="518"/>
      <c r="C226" s="518"/>
      <c r="D226" s="518"/>
      <c r="E226" s="518"/>
      <c r="F226" s="518"/>
      <c r="G226" s="595"/>
      <c r="J226" s="596"/>
      <c r="K226" s="596"/>
      <c r="L226" s="596"/>
      <c r="M226" s="596"/>
      <c r="N226" s="596"/>
      <c r="O226" s="596"/>
      <c r="P226" s="596"/>
      <c r="Q226" s="596"/>
    </row>
    <row r="227" ht="18" customHeight="1" spans="2:17">
      <c r="B227" s="518"/>
      <c r="C227" s="518"/>
      <c r="D227" s="518"/>
      <c r="E227" s="518"/>
      <c r="F227" s="518"/>
      <c r="G227" s="595"/>
      <c r="J227" s="596"/>
      <c r="K227" s="596"/>
      <c r="L227" s="596"/>
      <c r="M227" s="596"/>
      <c r="N227" s="596"/>
      <c r="O227" s="596"/>
      <c r="P227" s="596"/>
      <c r="Q227" s="596"/>
    </row>
    <row r="228" ht="18" customHeight="1" spans="2:17">
      <c r="B228" s="594"/>
      <c r="C228" s="594"/>
      <c r="D228" s="594"/>
      <c r="E228" s="594"/>
      <c r="F228" s="594"/>
      <c r="G228" s="592"/>
      <c r="J228" s="596"/>
      <c r="K228" s="596"/>
      <c r="L228" s="596"/>
      <c r="M228" s="596"/>
      <c r="N228" s="596"/>
      <c r="O228" s="596"/>
      <c r="P228" s="596"/>
      <c r="Q228" s="596"/>
    </row>
    <row r="229" ht="18" customHeight="1" spans="2:16">
      <c r="B229" s="594"/>
      <c r="C229" s="594"/>
      <c r="D229" s="594"/>
      <c r="E229" s="594"/>
      <c r="F229" s="594"/>
      <c r="G229" s="592"/>
      <c r="H229" s="592"/>
      <c r="I229" s="592"/>
      <c r="J229" s="592"/>
      <c r="K229" s="592"/>
      <c r="L229" s="592"/>
      <c r="M229" s="592"/>
      <c r="N229" s="592"/>
      <c r="O229" s="592"/>
      <c r="P229" s="592"/>
    </row>
    <row r="230" ht="18" customHeight="1" spans="3:17">
      <c r="C230" s="129"/>
      <c r="D230" s="129"/>
      <c r="E230" s="129"/>
      <c r="F230" s="129"/>
      <c r="G230" s="129"/>
      <c r="H230" s="129"/>
      <c r="J230" s="593"/>
      <c r="K230" s="593"/>
      <c r="L230" s="593"/>
      <c r="M230" s="593"/>
      <c r="N230" s="593"/>
      <c r="O230" s="593"/>
      <c r="P230" s="593"/>
      <c r="Q230" s="593"/>
    </row>
    <row r="231" ht="18" customHeight="1" spans="3:17">
      <c r="C231" s="129"/>
      <c r="D231" s="129"/>
      <c r="E231" s="129"/>
      <c r="F231" s="129"/>
      <c r="G231" s="129"/>
      <c r="H231" s="129"/>
      <c r="J231" s="593"/>
      <c r="K231" s="593"/>
      <c r="L231" s="593"/>
      <c r="M231" s="593"/>
      <c r="N231" s="593"/>
      <c r="O231" s="593"/>
      <c r="P231" s="593"/>
      <c r="Q231" s="593"/>
    </row>
    <row r="232" ht="18" customHeight="1" spans="3:17">
      <c r="C232" s="129"/>
      <c r="D232" s="129"/>
      <c r="E232" s="129"/>
      <c r="F232" s="129"/>
      <c r="G232" s="129"/>
      <c r="H232" s="129"/>
      <c r="J232" s="595"/>
      <c r="K232" s="595"/>
      <c r="L232" s="595"/>
      <c r="M232" s="595"/>
      <c r="N232" s="595"/>
      <c r="O232" s="595"/>
      <c r="P232" s="595"/>
      <c r="Q232" s="595"/>
    </row>
    <row r="233" ht="18" customHeight="1" spans="3:17">
      <c r="C233" s="129"/>
      <c r="D233" s="129"/>
      <c r="E233" s="129"/>
      <c r="F233" s="129"/>
      <c r="G233" s="129"/>
      <c r="H233" s="129"/>
      <c r="J233" s="595"/>
      <c r="K233" s="595"/>
      <c r="L233" s="595"/>
      <c r="M233" s="595"/>
      <c r="N233" s="595"/>
      <c r="O233" s="595"/>
      <c r="P233" s="595"/>
      <c r="Q233" s="595"/>
    </row>
    <row r="234" ht="18" customHeight="1" spans="3:17">
      <c r="C234" s="129"/>
      <c r="D234" s="129"/>
      <c r="E234" s="129"/>
      <c r="F234" s="129"/>
      <c r="G234" s="129"/>
      <c r="H234" s="129"/>
      <c r="J234" s="596"/>
      <c r="K234" s="596"/>
      <c r="L234" s="596"/>
      <c r="M234" s="596"/>
      <c r="N234" s="596"/>
      <c r="O234" s="596"/>
      <c r="P234" s="596"/>
      <c r="Q234" s="596"/>
    </row>
    <row r="235" ht="18" customHeight="1" spans="3:17">
      <c r="C235" s="129"/>
      <c r="D235" s="129"/>
      <c r="E235" s="129"/>
      <c r="F235" s="129"/>
      <c r="G235" s="129"/>
      <c r="H235" s="129"/>
      <c r="J235" s="596"/>
      <c r="K235" s="596"/>
      <c r="L235" s="596"/>
      <c r="M235" s="596"/>
      <c r="N235" s="596"/>
      <c r="O235" s="596"/>
      <c r="P235" s="596"/>
      <c r="Q235" s="596"/>
    </row>
    <row r="236" ht="18" customHeight="1" spans="3:17">
      <c r="C236" s="129"/>
      <c r="D236" s="129"/>
      <c r="E236" s="129"/>
      <c r="F236" s="129"/>
      <c r="G236" s="129"/>
      <c r="H236" s="129"/>
      <c r="J236" s="596"/>
      <c r="K236" s="596"/>
      <c r="L236" s="596"/>
      <c r="M236" s="596"/>
      <c r="N236" s="596"/>
      <c r="O236" s="596"/>
      <c r="P236" s="596"/>
      <c r="Q236" s="596"/>
    </row>
    <row r="237" ht="18" customHeight="1" spans="3:17">
      <c r="C237" s="129"/>
      <c r="D237" s="129"/>
      <c r="E237" s="129"/>
      <c r="F237" s="129"/>
      <c r="G237" s="129"/>
      <c r="H237" s="129"/>
      <c r="J237" s="596"/>
      <c r="K237" s="596"/>
      <c r="L237" s="596"/>
      <c r="M237" s="596"/>
      <c r="N237" s="596"/>
      <c r="O237" s="596"/>
      <c r="P237" s="596"/>
      <c r="Q237" s="596"/>
    </row>
    <row r="238" ht="18" customHeight="1" spans="3:17">
      <c r="C238" s="129"/>
      <c r="D238" s="129"/>
      <c r="E238" s="129"/>
      <c r="F238" s="129"/>
      <c r="G238" s="129"/>
      <c r="H238" s="129"/>
      <c r="J238" s="596"/>
      <c r="K238" s="596"/>
      <c r="L238" s="596"/>
      <c r="M238" s="596"/>
      <c r="N238" s="596"/>
      <c r="O238" s="596"/>
      <c r="P238" s="596"/>
      <c r="Q238" s="596"/>
    </row>
    <row r="239" ht="18" customHeight="1" spans="3:24">
      <c r="C239" s="129"/>
      <c r="D239" s="129"/>
      <c r="E239" s="129"/>
      <c r="F239" s="129"/>
      <c r="G239" s="129"/>
      <c r="H239" s="129"/>
      <c r="J239" s="596"/>
      <c r="K239" s="596"/>
      <c r="L239" s="596"/>
      <c r="M239" s="596"/>
      <c r="N239" s="596"/>
      <c r="O239" s="596"/>
      <c r="P239" s="596"/>
      <c r="Q239" s="596"/>
      <c r="R239" s="599"/>
      <c r="S239" s="599"/>
      <c r="T239" s="599"/>
      <c r="U239" s="599"/>
      <c r="V239" s="599"/>
      <c r="W239" s="599"/>
      <c r="X239" s="599"/>
    </row>
    <row r="240" ht="18" customHeight="1" spans="2:17">
      <c r="B240" s="340"/>
      <c r="C240" s="129"/>
      <c r="D240" s="129"/>
      <c r="E240" s="129"/>
      <c r="F240" s="129"/>
      <c r="G240" s="129"/>
      <c r="H240" s="129"/>
      <c r="I240" s="369"/>
      <c r="J240" s="369"/>
      <c r="K240" s="369"/>
      <c r="L240" s="369"/>
      <c r="M240" s="369"/>
      <c r="N240" s="369"/>
      <c r="O240" s="369"/>
      <c r="P240" s="369"/>
      <c r="Q240" s="369"/>
    </row>
    <row r="241" ht="18" customHeight="1" spans="3:17">
      <c r="C241" s="129"/>
      <c r="D241" s="129"/>
      <c r="E241" s="129"/>
      <c r="F241" s="129"/>
      <c r="G241" s="129"/>
      <c r="H241" s="129"/>
      <c r="J241" s="593"/>
      <c r="K241" s="593"/>
      <c r="L241" s="593"/>
      <c r="M241" s="593"/>
      <c r="N241" s="593"/>
      <c r="O241" s="593"/>
      <c r="P241" s="593"/>
      <c r="Q241" s="593"/>
    </row>
    <row r="242" ht="18" customHeight="1" spans="3:17">
      <c r="C242" s="129"/>
      <c r="D242" s="129"/>
      <c r="E242" s="129"/>
      <c r="F242" s="129"/>
      <c r="G242" s="129"/>
      <c r="H242" s="129"/>
      <c r="J242" s="593"/>
      <c r="K242" s="593"/>
      <c r="L242" s="593"/>
      <c r="M242" s="593"/>
      <c r="N242" s="593"/>
      <c r="O242" s="593"/>
      <c r="P242" s="593"/>
      <c r="Q242" s="593"/>
    </row>
    <row r="243" ht="18" customHeight="1" spans="3:17">
      <c r="C243" s="129"/>
      <c r="D243" s="129"/>
      <c r="E243" s="129"/>
      <c r="F243" s="129"/>
      <c r="G243" s="129"/>
      <c r="H243" s="129"/>
      <c r="J243" s="595"/>
      <c r="K243" s="595"/>
      <c r="L243" s="595"/>
      <c r="M243" s="595"/>
      <c r="N243" s="597"/>
      <c r="O243" s="597"/>
      <c r="P243" s="597"/>
      <c r="Q243" s="597"/>
    </row>
    <row r="244" ht="18" customHeight="1" spans="10:17">
      <c r="J244" s="595"/>
      <c r="K244" s="595"/>
      <c r="L244" s="595"/>
      <c r="M244" s="595"/>
      <c r="N244" s="595"/>
      <c r="O244" s="595"/>
      <c r="P244" s="595"/>
      <c r="Q244" s="595"/>
    </row>
    <row r="245" ht="18" customHeight="1" spans="10:17">
      <c r="J245" s="595"/>
      <c r="K245" s="595"/>
      <c r="L245" s="595"/>
      <c r="M245" s="595"/>
      <c r="N245" s="595"/>
      <c r="O245" s="595"/>
      <c r="P245" s="595"/>
      <c r="Q245" s="595"/>
    </row>
    <row r="246" ht="18" customHeight="1" spans="10:17">
      <c r="J246" s="595"/>
      <c r="K246" s="595"/>
      <c r="L246" s="595"/>
      <c r="M246" s="595"/>
      <c r="N246" s="597"/>
      <c r="O246" s="597"/>
      <c r="P246" s="597"/>
      <c r="Q246" s="597"/>
    </row>
    <row r="247" ht="18" customHeight="1" spans="10:17">
      <c r="J247" s="595"/>
      <c r="K247" s="595"/>
      <c r="L247" s="595"/>
      <c r="M247" s="595"/>
      <c r="N247" s="595"/>
      <c r="O247" s="595"/>
      <c r="P247" s="595"/>
      <c r="Q247" s="595"/>
    </row>
    <row r="248" ht="18" customHeight="1" spans="10:17">
      <c r="J248" s="595"/>
      <c r="K248" s="595"/>
      <c r="L248" s="595"/>
      <c r="M248" s="595"/>
      <c r="N248" s="595"/>
      <c r="O248" s="595"/>
      <c r="P248" s="595"/>
      <c r="Q248" s="595"/>
    </row>
    <row r="249" spans="10:17">
      <c r="J249" s="596"/>
      <c r="K249" s="596"/>
      <c r="L249" s="596"/>
      <c r="M249" s="596"/>
      <c r="N249" s="596"/>
      <c r="O249" s="596"/>
      <c r="P249" s="596"/>
      <c r="Q249" s="596"/>
    </row>
    <row r="250" spans="10:17">
      <c r="J250" s="596"/>
      <c r="K250" s="596"/>
      <c r="L250" s="596"/>
      <c r="M250" s="596"/>
      <c r="N250" s="596"/>
      <c r="O250" s="596"/>
      <c r="P250" s="596"/>
      <c r="Q250" s="596"/>
    </row>
    <row r="251" spans="10:17">
      <c r="J251" s="596"/>
      <c r="K251" s="596"/>
      <c r="L251" s="596"/>
      <c r="M251" s="596"/>
      <c r="N251" s="596"/>
      <c r="O251" s="596"/>
      <c r="P251" s="596"/>
      <c r="Q251" s="596"/>
    </row>
    <row r="252" spans="10:17">
      <c r="J252" s="596"/>
      <c r="K252" s="596"/>
      <c r="L252" s="596"/>
      <c r="M252" s="596"/>
      <c r="N252" s="596"/>
      <c r="O252" s="596"/>
      <c r="P252" s="596"/>
      <c r="Q252" s="596"/>
    </row>
    <row r="253" spans="10:17">
      <c r="J253" s="596"/>
      <c r="K253" s="596"/>
      <c r="L253" s="596"/>
      <c r="M253" s="596"/>
      <c r="N253" s="596"/>
      <c r="O253" s="596"/>
      <c r="P253" s="596"/>
      <c r="Q253" s="596"/>
    </row>
    <row r="254" spans="10:17">
      <c r="J254" s="596"/>
      <c r="K254" s="596"/>
      <c r="L254" s="596"/>
      <c r="M254" s="596"/>
      <c r="N254" s="596"/>
      <c r="O254" s="596"/>
      <c r="P254" s="596"/>
      <c r="Q254" s="596"/>
    </row>
    <row r="255" spans="2:17">
      <c r="B255" s="340"/>
      <c r="C255" s="340"/>
      <c r="D255" s="340"/>
      <c r="E255" s="340"/>
      <c r="F255" s="340"/>
      <c r="G255" s="340"/>
      <c r="H255" s="340"/>
      <c r="I255" s="369"/>
      <c r="J255" s="369"/>
      <c r="K255" s="369"/>
      <c r="L255" s="369"/>
      <c r="M255" s="369"/>
      <c r="N255" s="369"/>
      <c r="O255" s="369"/>
      <c r="P255" s="369"/>
      <c r="Q255" s="369"/>
    </row>
    <row r="256" spans="2:17">
      <c r="B256" s="340"/>
      <c r="C256" s="340"/>
      <c r="D256" s="340"/>
      <c r="E256" s="340"/>
      <c r="F256" s="340"/>
      <c r="G256" s="340"/>
      <c r="H256" s="340"/>
      <c r="I256" s="369"/>
      <c r="J256" s="369"/>
      <c r="K256" s="369"/>
      <c r="L256" s="369"/>
      <c r="M256" s="369"/>
      <c r="N256" s="369"/>
      <c r="O256" s="369"/>
      <c r="P256" s="369"/>
      <c r="Q256" s="369"/>
    </row>
    <row r="257" spans="2:17">
      <c r="B257" s="340"/>
      <c r="C257" s="340"/>
      <c r="D257" s="340"/>
      <c r="E257" s="340"/>
      <c r="F257" s="340"/>
      <c r="G257" s="340"/>
      <c r="H257" s="340"/>
      <c r="I257" s="369"/>
      <c r="J257" s="369"/>
      <c r="K257" s="369"/>
      <c r="L257" s="369"/>
      <c r="M257" s="369"/>
      <c r="N257" s="369"/>
      <c r="O257" s="369"/>
      <c r="P257" s="369"/>
      <c r="Q257" s="369"/>
    </row>
    <row r="258" spans="2:17">
      <c r="B258" s="340"/>
      <c r="C258" s="340"/>
      <c r="D258" s="340"/>
      <c r="E258" s="340"/>
      <c r="F258" s="340"/>
      <c r="G258" s="340"/>
      <c r="H258" s="340"/>
      <c r="I258" s="369"/>
      <c r="J258" s="369"/>
      <c r="K258" s="369"/>
      <c r="L258" s="369"/>
      <c r="M258" s="369"/>
      <c r="N258" s="369"/>
      <c r="O258" s="369"/>
      <c r="P258" s="369"/>
      <c r="Q258" s="369"/>
    </row>
    <row r="259" spans="2:17">
      <c r="B259" s="600"/>
      <c r="C259" s="601"/>
      <c r="D259" s="602"/>
      <c r="E259" s="602"/>
      <c r="F259" s="602"/>
      <c r="G259" s="602"/>
      <c r="H259" s="602"/>
      <c r="I259" s="602"/>
      <c r="J259" s="369"/>
      <c r="K259" s="369"/>
      <c r="L259" s="369"/>
      <c r="M259" s="369"/>
      <c r="N259" s="369"/>
      <c r="O259" s="369"/>
      <c r="P259" s="369"/>
      <c r="Q259" s="369"/>
    </row>
    <row r="260" spans="2:17">
      <c r="B260" s="340"/>
      <c r="C260" s="340"/>
      <c r="D260" s="340"/>
      <c r="E260" s="340"/>
      <c r="F260" s="340"/>
      <c r="G260" s="340"/>
      <c r="H260" s="340"/>
      <c r="I260" s="369"/>
      <c r="J260" s="369"/>
      <c r="K260" s="369"/>
      <c r="L260" s="369"/>
      <c r="M260" s="369"/>
      <c r="N260" s="369"/>
      <c r="O260" s="369"/>
      <c r="P260" s="369"/>
      <c r="Q260" s="369"/>
    </row>
    <row r="261" spans="2:17">
      <c r="B261" s="340"/>
      <c r="C261" s="340"/>
      <c r="D261" s="340"/>
      <c r="E261" s="340"/>
      <c r="F261" s="340"/>
      <c r="G261" s="340"/>
      <c r="H261" s="340"/>
      <c r="I261" s="369"/>
      <c r="J261" s="369"/>
      <c r="K261" s="369"/>
      <c r="L261" s="369"/>
      <c r="M261" s="369"/>
      <c r="N261" s="369"/>
      <c r="O261" s="369"/>
      <c r="P261" s="369"/>
      <c r="Q261" s="369"/>
    </row>
    <row r="262" spans="2:17">
      <c r="B262" s="340"/>
      <c r="C262" s="340"/>
      <c r="D262" s="340"/>
      <c r="E262" s="340"/>
      <c r="F262" s="340"/>
      <c r="G262" s="340"/>
      <c r="H262" s="340"/>
      <c r="I262" s="369"/>
      <c r="J262" s="369"/>
      <c r="K262" s="369"/>
      <c r="L262" s="369"/>
      <c r="M262" s="369"/>
      <c r="N262" s="369"/>
      <c r="O262" s="369"/>
      <c r="P262" s="369"/>
      <c r="Q262" s="369"/>
    </row>
    <row r="263" spans="2:17">
      <c r="B263" s="340"/>
      <c r="C263" s="340"/>
      <c r="D263" s="340"/>
      <c r="E263" s="340"/>
      <c r="F263" s="340"/>
      <c r="G263" s="340"/>
      <c r="H263" s="340"/>
      <c r="I263" s="369"/>
      <c r="J263" s="369"/>
      <c r="K263" s="369"/>
      <c r="L263" s="369"/>
      <c r="M263" s="369"/>
      <c r="N263" s="369"/>
      <c r="O263" s="369"/>
      <c r="P263" s="369"/>
      <c r="Q263" s="369"/>
    </row>
    <row r="264" spans="2:17">
      <c r="B264" s="340"/>
      <c r="C264" s="340"/>
      <c r="D264" s="340"/>
      <c r="E264" s="340"/>
      <c r="F264" s="340"/>
      <c r="G264" s="340"/>
      <c r="H264" s="340"/>
      <c r="I264" s="369"/>
      <c r="J264" s="369"/>
      <c r="K264" s="369"/>
      <c r="L264" s="369"/>
      <c r="M264" s="369"/>
      <c r="N264" s="369"/>
      <c r="O264" s="369"/>
      <c r="P264" s="369"/>
      <c r="Q264" s="369"/>
    </row>
    <row r="265" spans="2:17">
      <c r="B265" s="340"/>
      <c r="C265" s="340"/>
      <c r="D265" s="340"/>
      <c r="E265" s="340"/>
      <c r="F265" s="340"/>
      <c r="G265" s="340"/>
      <c r="H265" s="340"/>
      <c r="I265" s="369"/>
      <c r="J265" s="369"/>
      <c r="K265" s="369"/>
      <c r="L265" s="369"/>
      <c r="M265" s="369"/>
      <c r="N265" s="369"/>
      <c r="O265" s="369"/>
      <c r="P265" s="369"/>
      <c r="Q265" s="369"/>
    </row>
    <row r="266" spans="2:17">
      <c r="B266" s="340"/>
      <c r="C266" s="340"/>
      <c r="D266" s="340"/>
      <c r="E266" s="340"/>
      <c r="F266" s="340"/>
      <c r="G266" s="340"/>
      <c r="H266" s="340"/>
      <c r="I266" s="369"/>
      <c r="J266" s="369"/>
      <c r="K266" s="369"/>
      <c r="L266" s="369"/>
      <c r="M266" s="369"/>
      <c r="N266" s="369"/>
      <c r="O266" s="369"/>
      <c r="P266" s="369"/>
      <c r="Q266" s="369"/>
    </row>
    <row r="267" spans="2:17">
      <c r="B267" s="340"/>
      <c r="C267" s="340"/>
      <c r="D267" s="340"/>
      <c r="E267" s="340"/>
      <c r="F267" s="340"/>
      <c r="G267" s="340"/>
      <c r="H267" s="340"/>
      <c r="I267" s="369"/>
      <c r="J267" s="369"/>
      <c r="K267" s="369"/>
      <c r="L267" s="369"/>
      <c r="M267" s="369"/>
      <c r="N267" s="369"/>
      <c r="O267" s="369"/>
      <c r="P267" s="369"/>
      <c r="Q267" s="369"/>
    </row>
    <row r="268" spans="2:17">
      <c r="B268" s="340"/>
      <c r="C268" s="340"/>
      <c r="D268" s="340"/>
      <c r="E268" s="340"/>
      <c r="F268" s="340"/>
      <c r="G268" s="340"/>
      <c r="H268" s="340"/>
      <c r="I268" s="369"/>
      <c r="J268" s="369"/>
      <c r="K268" s="369"/>
      <c r="L268" s="369"/>
      <c r="M268" s="369"/>
      <c r="N268" s="369"/>
      <c r="O268" s="369"/>
      <c r="P268" s="369"/>
      <c r="Q268" s="369"/>
    </row>
    <row r="269" spans="2:17">
      <c r="B269" s="340"/>
      <c r="C269" s="340"/>
      <c r="D269" s="340"/>
      <c r="E269" s="340"/>
      <c r="F269" s="340"/>
      <c r="G269" s="340"/>
      <c r="H269" s="340"/>
      <c r="I269" s="369"/>
      <c r="J269" s="369"/>
      <c r="K269" s="369"/>
      <c r="L269" s="369"/>
      <c r="M269" s="369"/>
      <c r="N269" s="369"/>
      <c r="O269" s="369"/>
      <c r="P269" s="369"/>
      <c r="Q269" s="369"/>
    </row>
    <row r="270" spans="2:17">
      <c r="B270" s="340"/>
      <c r="C270" s="340"/>
      <c r="D270" s="340"/>
      <c r="E270" s="340"/>
      <c r="F270" s="340"/>
      <c r="G270" s="340"/>
      <c r="H270" s="340"/>
      <c r="I270" s="369"/>
      <c r="J270" s="369"/>
      <c r="K270" s="369"/>
      <c r="L270" s="369"/>
      <c r="M270" s="369"/>
      <c r="N270" s="369"/>
      <c r="O270" s="369"/>
      <c r="P270" s="369"/>
      <c r="Q270" s="369"/>
    </row>
    <row r="271" spans="2:17">
      <c r="B271" s="340"/>
      <c r="C271" s="340"/>
      <c r="D271" s="340"/>
      <c r="E271" s="340"/>
      <c r="F271" s="340"/>
      <c r="G271" s="340"/>
      <c r="H271" s="340"/>
      <c r="I271" s="369"/>
      <c r="J271" s="369"/>
      <c r="K271" s="369"/>
      <c r="L271" s="369"/>
      <c r="M271" s="369"/>
      <c r="N271" s="369"/>
      <c r="O271" s="369"/>
      <c r="P271" s="369"/>
      <c r="Q271" s="369"/>
    </row>
    <row r="272" spans="2:17">
      <c r="B272" s="340"/>
      <c r="C272" s="340"/>
      <c r="D272" s="340"/>
      <c r="E272" s="340"/>
      <c r="F272" s="340"/>
      <c r="G272" s="340"/>
      <c r="H272" s="340"/>
      <c r="I272" s="369"/>
      <c r="J272" s="369"/>
      <c r="K272" s="369"/>
      <c r="L272" s="369"/>
      <c r="M272" s="369"/>
      <c r="N272" s="369"/>
      <c r="O272" s="369"/>
      <c r="P272" s="369"/>
      <c r="Q272" s="369"/>
    </row>
    <row r="273" spans="2:17">
      <c r="B273" s="340"/>
      <c r="C273" s="340"/>
      <c r="D273" s="340"/>
      <c r="E273" s="340"/>
      <c r="F273" s="340"/>
      <c r="G273" s="340"/>
      <c r="H273" s="340"/>
      <c r="I273" s="369"/>
      <c r="J273" s="369"/>
      <c r="K273" s="369"/>
      <c r="L273" s="369"/>
      <c r="M273" s="369"/>
      <c r="N273" s="369"/>
      <c r="O273" s="369"/>
      <c r="P273" s="369"/>
      <c r="Q273" s="369"/>
    </row>
    <row r="274" spans="2:17">
      <c r="B274" s="340"/>
      <c r="C274" s="340"/>
      <c r="D274" s="340"/>
      <c r="E274" s="340"/>
      <c r="F274" s="340"/>
      <c r="G274" s="340"/>
      <c r="H274" s="340"/>
      <c r="I274" s="369"/>
      <c r="J274" s="369"/>
      <c r="K274" s="369"/>
      <c r="L274" s="369"/>
      <c r="M274" s="369"/>
      <c r="N274" s="369"/>
      <c r="O274" s="369"/>
      <c r="P274" s="369"/>
      <c r="Q274" s="369"/>
    </row>
    <row r="275" spans="2:17">
      <c r="B275" s="340"/>
      <c r="C275" s="340"/>
      <c r="D275" s="340"/>
      <c r="E275" s="340"/>
      <c r="F275" s="340"/>
      <c r="G275" s="340"/>
      <c r="H275" s="340"/>
      <c r="I275" s="369"/>
      <c r="J275" s="369"/>
      <c r="K275" s="369"/>
      <c r="L275" s="369"/>
      <c r="M275" s="369"/>
      <c r="N275" s="369"/>
      <c r="O275" s="369"/>
      <c r="P275" s="369"/>
      <c r="Q275" s="369"/>
    </row>
    <row r="276" spans="2:17">
      <c r="B276" s="340"/>
      <c r="C276" s="340"/>
      <c r="D276" s="340"/>
      <c r="E276" s="340"/>
      <c r="F276" s="340"/>
      <c r="G276" s="340"/>
      <c r="H276" s="340"/>
      <c r="I276" s="369"/>
      <c r="J276" s="369"/>
      <c r="K276" s="369"/>
      <c r="L276" s="369"/>
      <c r="M276" s="369"/>
      <c r="N276" s="369"/>
      <c r="O276" s="369"/>
      <c r="P276" s="369"/>
      <c r="Q276" s="369"/>
    </row>
    <row r="277" spans="2:17">
      <c r="B277" s="340"/>
      <c r="C277" s="340"/>
      <c r="D277" s="340"/>
      <c r="E277" s="340"/>
      <c r="F277" s="340"/>
      <c r="G277" s="340"/>
      <c r="H277" s="340"/>
      <c r="I277" s="369"/>
      <c r="J277" s="369"/>
      <c r="K277" s="369"/>
      <c r="L277" s="369"/>
      <c r="M277" s="369"/>
      <c r="N277" s="369"/>
      <c r="O277" s="369"/>
      <c r="P277" s="369"/>
      <c r="Q277" s="369"/>
    </row>
    <row r="278" spans="2:17">
      <c r="B278" s="340"/>
      <c r="C278" s="340"/>
      <c r="D278" s="340"/>
      <c r="E278" s="340"/>
      <c r="F278" s="340"/>
      <c r="G278" s="340"/>
      <c r="H278" s="340"/>
      <c r="I278" s="369"/>
      <c r="J278" s="369"/>
      <c r="K278" s="369"/>
      <c r="L278" s="369"/>
      <c r="M278" s="369"/>
      <c r="N278" s="369"/>
      <c r="O278" s="369"/>
      <c r="P278" s="369"/>
      <c r="Q278" s="369"/>
    </row>
    <row r="279" spans="2:17">
      <c r="B279" s="340"/>
      <c r="C279" s="340"/>
      <c r="D279" s="340"/>
      <c r="E279" s="340"/>
      <c r="F279" s="340"/>
      <c r="G279" s="340"/>
      <c r="H279" s="340"/>
      <c r="I279" s="369"/>
      <c r="J279" s="369"/>
      <c r="K279" s="369"/>
      <c r="L279" s="369"/>
      <c r="M279" s="369"/>
      <c r="N279" s="369"/>
      <c r="O279" s="369"/>
      <c r="P279" s="369"/>
      <c r="Q279" s="369"/>
    </row>
    <row r="280" spans="2:17">
      <c r="B280" s="340"/>
      <c r="C280" s="340"/>
      <c r="D280" s="340"/>
      <c r="E280" s="340"/>
      <c r="F280" s="340"/>
      <c r="G280" s="340"/>
      <c r="H280" s="340"/>
      <c r="I280" s="369"/>
      <c r="J280" s="369"/>
      <c r="K280" s="369"/>
      <c r="L280" s="369"/>
      <c r="M280" s="369"/>
      <c r="N280" s="369"/>
      <c r="O280" s="369"/>
      <c r="P280" s="369"/>
      <c r="Q280" s="369"/>
    </row>
    <row r="281" spans="2:17">
      <c r="B281" s="340"/>
      <c r="C281" s="340"/>
      <c r="D281" s="340"/>
      <c r="E281" s="340"/>
      <c r="F281" s="340"/>
      <c r="G281" s="340"/>
      <c r="H281" s="340"/>
      <c r="I281" s="369"/>
      <c r="J281" s="369"/>
      <c r="K281" s="369"/>
      <c r="L281" s="369"/>
      <c r="M281" s="369"/>
      <c r="N281" s="369"/>
      <c r="O281" s="369"/>
      <c r="P281" s="369"/>
      <c r="Q281" s="369"/>
    </row>
    <row r="282" spans="2:17">
      <c r="B282" s="340"/>
      <c r="C282" s="340"/>
      <c r="D282" s="340"/>
      <c r="E282" s="340"/>
      <c r="F282" s="340"/>
      <c r="G282" s="340"/>
      <c r="H282" s="340"/>
      <c r="I282" s="369"/>
      <c r="J282" s="369"/>
      <c r="K282" s="369"/>
      <c r="L282" s="369"/>
      <c r="M282" s="369"/>
      <c r="N282" s="369"/>
      <c r="O282" s="369"/>
      <c r="P282" s="369"/>
      <c r="Q282" s="369"/>
    </row>
    <row r="283" spans="2:17">
      <c r="B283" s="340"/>
      <c r="C283" s="340"/>
      <c r="D283" s="340"/>
      <c r="E283" s="340"/>
      <c r="F283" s="340"/>
      <c r="G283" s="340"/>
      <c r="H283" s="340"/>
      <c r="I283" s="369"/>
      <c r="J283" s="369"/>
      <c r="K283" s="369"/>
      <c r="L283" s="369"/>
      <c r="M283" s="369"/>
      <c r="N283" s="369"/>
      <c r="O283" s="369"/>
      <c r="P283" s="369"/>
      <c r="Q283" s="369"/>
    </row>
    <row r="284" spans="2:17">
      <c r="B284" s="340"/>
      <c r="C284" s="340"/>
      <c r="D284" s="340"/>
      <c r="E284" s="340"/>
      <c r="F284" s="340"/>
      <c r="G284" s="340"/>
      <c r="H284" s="340"/>
      <c r="I284" s="369"/>
      <c r="J284" s="369"/>
      <c r="K284" s="369"/>
      <c r="L284" s="369"/>
      <c r="M284" s="369"/>
      <c r="N284" s="369"/>
      <c r="O284" s="369"/>
      <c r="P284" s="369"/>
      <c r="Q284" s="369"/>
    </row>
    <row r="285" spans="2:17">
      <c r="B285" s="340"/>
      <c r="C285" s="340"/>
      <c r="D285" s="340"/>
      <c r="E285" s="340"/>
      <c r="F285" s="340"/>
      <c r="G285" s="340"/>
      <c r="H285" s="340"/>
      <c r="I285" s="369"/>
      <c r="J285" s="369"/>
      <c r="K285" s="369"/>
      <c r="L285" s="369"/>
      <c r="M285" s="369"/>
      <c r="N285" s="369"/>
      <c r="O285" s="369"/>
      <c r="P285" s="369"/>
      <c r="Q285" s="369"/>
    </row>
    <row r="286" spans="2:17">
      <c r="B286" s="340"/>
      <c r="C286" s="340"/>
      <c r="D286" s="340"/>
      <c r="E286" s="340"/>
      <c r="F286" s="340"/>
      <c r="G286" s="340"/>
      <c r="H286" s="340"/>
      <c r="I286" s="369"/>
      <c r="J286" s="369"/>
      <c r="K286" s="369"/>
      <c r="L286" s="369"/>
      <c r="M286" s="369"/>
      <c r="N286" s="369"/>
      <c r="O286" s="369"/>
      <c r="P286" s="369"/>
      <c r="Q286" s="369"/>
    </row>
    <row r="287" spans="2:17">
      <c r="B287" s="340"/>
      <c r="C287" s="340"/>
      <c r="D287" s="340"/>
      <c r="E287" s="340"/>
      <c r="F287" s="340"/>
      <c r="G287" s="340"/>
      <c r="H287" s="340"/>
      <c r="I287" s="369"/>
      <c r="J287" s="369"/>
      <c r="K287" s="369"/>
      <c r="L287" s="369"/>
      <c r="M287" s="369"/>
      <c r="N287" s="369"/>
      <c r="O287" s="369"/>
      <c r="P287" s="369"/>
      <c r="Q287" s="369"/>
    </row>
    <row r="288" spans="2:17">
      <c r="B288" s="340"/>
      <c r="C288" s="340"/>
      <c r="D288" s="340"/>
      <c r="E288" s="340"/>
      <c r="F288" s="340"/>
      <c r="G288" s="340"/>
      <c r="H288" s="340"/>
      <c r="I288" s="369"/>
      <c r="J288" s="369"/>
      <c r="K288" s="369"/>
      <c r="L288" s="369"/>
      <c r="M288" s="369"/>
      <c r="N288" s="369"/>
      <c r="O288" s="369"/>
      <c r="P288" s="369"/>
      <c r="Q288" s="369"/>
    </row>
    <row r="289" spans="2:17">
      <c r="B289" s="340"/>
      <c r="C289" s="340"/>
      <c r="D289" s="340"/>
      <c r="E289" s="340"/>
      <c r="F289" s="340"/>
      <c r="G289" s="340"/>
      <c r="H289" s="340"/>
      <c r="I289" s="369"/>
      <c r="J289" s="369"/>
      <c r="K289" s="369"/>
      <c r="L289" s="369"/>
      <c r="M289" s="369"/>
      <c r="N289" s="369"/>
      <c r="O289" s="369"/>
      <c r="P289" s="369"/>
      <c r="Q289" s="369"/>
    </row>
    <row r="290" spans="2:17">
      <c r="B290" s="340"/>
      <c r="C290" s="340"/>
      <c r="D290" s="340"/>
      <c r="E290" s="340"/>
      <c r="F290" s="340"/>
      <c r="G290" s="340"/>
      <c r="H290" s="340"/>
      <c r="I290" s="369"/>
      <c r="J290" s="369"/>
      <c r="K290" s="369"/>
      <c r="L290" s="369"/>
      <c r="M290" s="369"/>
      <c r="N290" s="369"/>
      <c r="O290" s="369"/>
      <c r="P290" s="369"/>
      <c r="Q290" s="369"/>
    </row>
    <row r="291" spans="2:17">
      <c r="B291" s="340"/>
      <c r="C291" s="340"/>
      <c r="D291" s="340"/>
      <c r="E291" s="340"/>
      <c r="F291" s="340"/>
      <c r="G291" s="340"/>
      <c r="H291" s="340"/>
      <c r="I291" s="369"/>
      <c r="J291" s="369"/>
      <c r="K291" s="369"/>
      <c r="L291" s="369"/>
      <c r="M291" s="369"/>
      <c r="N291" s="369"/>
      <c r="O291" s="369"/>
      <c r="P291" s="369"/>
      <c r="Q291" s="369"/>
    </row>
    <row r="292" spans="2:17">
      <c r="B292" s="340"/>
      <c r="C292" s="340"/>
      <c r="D292" s="340"/>
      <c r="E292" s="340"/>
      <c r="F292" s="340"/>
      <c r="G292" s="340"/>
      <c r="H292" s="340"/>
      <c r="I292" s="369"/>
      <c r="J292" s="369"/>
      <c r="K292" s="369"/>
      <c r="L292" s="369"/>
      <c r="M292" s="369"/>
      <c r="N292" s="369"/>
      <c r="O292" s="369"/>
      <c r="P292" s="369"/>
      <c r="Q292" s="369"/>
    </row>
    <row r="293" spans="2:17">
      <c r="B293" s="340"/>
      <c r="C293" s="340"/>
      <c r="D293" s="340"/>
      <c r="E293" s="340"/>
      <c r="F293" s="340"/>
      <c r="G293" s="340"/>
      <c r="H293" s="340"/>
      <c r="I293" s="369"/>
      <c r="J293" s="369"/>
      <c r="K293" s="369"/>
      <c r="L293" s="369"/>
      <c r="M293" s="369"/>
      <c r="N293" s="369"/>
      <c r="O293" s="369"/>
      <c r="P293" s="369"/>
      <c r="Q293" s="369"/>
    </row>
    <row r="294" spans="2:17">
      <c r="B294" s="340"/>
      <c r="C294" s="340"/>
      <c r="D294" s="340"/>
      <c r="E294" s="340"/>
      <c r="F294" s="340"/>
      <c r="G294" s="340"/>
      <c r="H294" s="340"/>
      <c r="I294" s="369"/>
      <c r="J294" s="369"/>
      <c r="K294" s="369"/>
      <c r="L294" s="369"/>
      <c r="M294" s="369"/>
      <c r="N294" s="369"/>
      <c r="O294" s="369"/>
      <c r="P294" s="369"/>
      <c r="Q294" s="369"/>
    </row>
    <row r="295" spans="2:17">
      <c r="B295" s="340"/>
      <c r="C295" s="340"/>
      <c r="D295" s="340"/>
      <c r="E295" s="340"/>
      <c r="F295" s="340"/>
      <c r="G295" s="340"/>
      <c r="H295" s="340"/>
      <c r="I295" s="369"/>
      <c r="J295" s="369"/>
      <c r="K295" s="369"/>
      <c r="L295" s="369"/>
      <c r="M295" s="369"/>
      <c r="N295" s="369"/>
      <c r="O295" s="369"/>
      <c r="P295" s="369"/>
      <c r="Q295" s="369"/>
    </row>
    <row r="296" spans="2:17">
      <c r="B296" s="340"/>
      <c r="C296" s="340"/>
      <c r="D296" s="340"/>
      <c r="E296" s="340"/>
      <c r="F296" s="340"/>
      <c r="G296" s="340"/>
      <c r="H296" s="340"/>
      <c r="I296" s="369"/>
      <c r="J296" s="369"/>
      <c r="K296" s="369"/>
      <c r="L296" s="369"/>
      <c r="M296" s="369"/>
      <c r="N296" s="369"/>
      <c r="O296" s="369"/>
      <c r="P296" s="369"/>
      <c r="Q296" s="369"/>
    </row>
    <row r="297" spans="2:17">
      <c r="B297" s="340"/>
      <c r="C297" s="340"/>
      <c r="D297" s="340"/>
      <c r="E297" s="340"/>
      <c r="F297" s="340"/>
      <c r="G297" s="340"/>
      <c r="H297" s="340"/>
      <c r="I297" s="369"/>
      <c r="J297" s="369"/>
      <c r="K297" s="369"/>
      <c r="L297" s="369"/>
      <c r="M297" s="369"/>
      <c r="N297" s="369"/>
      <c r="O297" s="369"/>
      <c r="P297" s="369"/>
      <c r="Q297" s="369"/>
    </row>
    <row r="298" spans="2:17">
      <c r="B298" s="340"/>
      <c r="C298" s="340"/>
      <c r="D298" s="340"/>
      <c r="E298" s="340"/>
      <c r="F298" s="340"/>
      <c r="G298" s="340"/>
      <c r="H298" s="340"/>
      <c r="I298" s="369"/>
      <c r="J298" s="369"/>
      <c r="K298" s="369"/>
      <c r="L298" s="369"/>
      <c r="M298" s="369"/>
      <c r="N298" s="369"/>
      <c r="O298" s="369"/>
      <c r="P298" s="369"/>
      <c r="Q298" s="369"/>
    </row>
    <row r="299" spans="2:17">
      <c r="B299" s="340"/>
      <c r="C299" s="340"/>
      <c r="D299" s="340"/>
      <c r="E299" s="340"/>
      <c r="F299" s="340"/>
      <c r="G299" s="340"/>
      <c r="H299" s="340"/>
      <c r="I299" s="369"/>
      <c r="J299" s="369"/>
      <c r="K299" s="369"/>
      <c r="L299" s="369"/>
      <c r="M299" s="369"/>
      <c r="N299" s="369"/>
      <c r="O299" s="369"/>
      <c r="P299" s="369"/>
      <c r="Q299" s="369"/>
    </row>
    <row r="300" spans="2:17">
      <c r="B300" s="340"/>
      <c r="C300" s="340"/>
      <c r="D300" s="340"/>
      <c r="E300" s="340"/>
      <c r="F300" s="340"/>
      <c r="G300" s="340"/>
      <c r="H300" s="340"/>
      <c r="I300" s="369"/>
      <c r="J300" s="369"/>
      <c r="K300" s="369"/>
      <c r="L300" s="369"/>
      <c r="M300" s="369"/>
      <c r="N300" s="369"/>
      <c r="O300" s="369"/>
      <c r="P300" s="369"/>
      <c r="Q300" s="369"/>
    </row>
    <row r="301" spans="2:17">
      <c r="B301" s="340"/>
      <c r="C301" s="340"/>
      <c r="D301" s="340"/>
      <c r="E301" s="340"/>
      <c r="F301" s="340"/>
      <c r="G301" s="340"/>
      <c r="H301" s="340"/>
      <c r="I301" s="369"/>
      <c r="J301" s="369"/>
      <c r="K301" s="369"/>
      <c r="L301" s="369"/>
      <c r="M301" s="369"/>
      <c r="N301" s="369"/>
      <c r="O301" s="369"/>
      <c r="P301" s="369"/>
      <c r="Q301" s="369"/>
    </row>
    <row r="302" spans="2:17">
      <c r="B302" s="340"/>
      <c r="C302" s="340"/>
      <c r="D302" s="340"/>
      <c r="E302" s="340"/>
      <c r="F302" s="340"/>
      <c r="G302" s="340"/>
      <c r="H302" s="340"/>
      <c r="I302" s="369"/>
      <c r="J302" s="369"/>
      <c r="K302" s="369"/>
      <c r="L302" s="369"/>
      <c r="M302" s="369"/>
      <c r="N302" s="369"/>
      <c r="O302" s="369"/>
      <c r="P302" s="369"/>
      <c r="Q302" s="369"/>
    </row>
    <row r="303" spans="2:17">
      <c r="B303" s="340"/>
      <c r="C303" s="340"/>
      <c r="D303" s="340"/>
      <c r="E303" s="340"/>
      <c r="F303" s="340"/>
      <c r="G303" s="340"/>
      <c r="H303" s="340"/>
      <c r="I303" s="369"/>
      <c r="J303" s="369"/>
      <c r="K303" s="369"/>
      <c r="L303" s="369"/>
      <c r="M303" s="369"/>
      <c r="N303" s="369"/>
      <c r="O303" s="369"/>
      <c r="P303" s="369"/>
      <c r="Q303" s="369"/>
    </row>
    <row r="304" spans="2:17">
      <c r="B304" s="340"/>
      <c r="C304" s="340"/>
      <c r="D304" s="340"/>
      <c r="E304" s="340"/>
      <c r="F304" s="340"/>
      <c r="G304" s="340"/>
      <c r="H304" s="340"/>
      <c r="I304" s="369"/>
      <c r="J304" s="369"/>
      <c r="K304" s="369"/>
      <c r="L304" s="369"/>
      <c r="M304" s="369"/>
      <c r="N304" s="369"/>
      <c r="O304" s="369"/>
      <c r="P304" s="369"/>
      <c r="Q304" s="369"/>
    </row>
    <row r="305" spans="2:17">
      <c r="B305" s="340"/>
      <c r="C305" s="340"/>
      <c r="D305" s="340"/>
      <c r="E305" s="340"/>
      <c r="F305" s="340"/>
      <c r="G305" s="340"/>
      <c r="H305" s="340"/>
      <c r="I305" s="369"/>
      <c r="J305" s="369"/>
      <c r="K305" s="369"/>
      <c r="L305" s="369"/>
      <c r="M305" s="369"/>
      <c r="N305" s="369"/>
      <c r="O305" s="369"/>
      <c r="P305" s="369"/>
      <c r="Q305" s="369"/>
    </row>
    <row r="306" spans="2:17">
      <c r="B306" s="340"/>
      <c r="C306" s="340"/>
      <c r="D306" s="340"/>
      <c r="E306" s="340"/>
      <c r="F306" s="340"/>
      <c r="G306" s="340"/>
      <c r="H306" s="340"/>
      <c r="I306" s="369"/>
      <c r="J306" s="369"/>
      <c r="K306" s="369"/>
      <c r="L306" s="369"/>
      <c r="M306" s="369"/>
      <c r="N306" s="369"/>
      <c r="O306" s="369"/>
      <c r="P306" s="369"/>
      <c r="Q306" s="369"/>
    </row>
    <row r="307" spans="2:17">
      <c r="B307" s="340"/>
      <c r="C307" s="340"/>
      <c r="D307" s="340"/>
      <c r="E307" s="340"/>
      <c r="F307" s="340"/>
      <c r="G307" s="340"/>
      <c r="H307" s="340"/>
      <c r="I307" s="369"/>
      <c r="J307" s="369"/>
      <c r="K307" s="369"/>
      <c r="L307" s="369"/>
      <c r="M307" s="369"/>
      <c r="N307" s="369"/>
      <c r="O307" s="369"/>
      <c r="P307" s="369"/>
      <c r="Q307" s="369"/>
    </row>
    <row r="308" spans="2:17">
      <c r="B308" s="340"/>
      <c r="C308" s="340"/>
      <c r="D308" s="340"/>
      <c r="E308" s="340"/>
      <c r="F308" s="340"/>
      <c r="G308" s="340"/>
      <c r="H308" s="340"/>
      <c r="I308" s="369"/>
      <c r="J308" s="369"/>
      <c r="K308" s="369"/>
      <c r="L308" s="369"/>
      <c r="M308" s="369"/>
      <c r="N308" s="369"/>
      <c r="O308" s="369"/>
      <c r="P308" s="369"/>
      <c r="Q308" s="369"/>
    </row>
    <row r="309" spans="2:17">
      <c r="B309" s="340"/>
      <c r="C309" s="340"/>
      <c r="D309" s="340"/>
      <c r="E309" s="340"/>
      <c r="F309" s="340"/>
      <c r="G309" s="340"/>
      <c r="H309" s="340"/>
      <c r="I309" s="369"/>
      <c r="J309" s="369"/>
      <c r="K309" s="369"/>
      <c r="L309" s="369"/>
      <c r="M309" s="369"/>
      <c r="N309" s="369"/>
      <c r="O309" s="369"/>
      <c r="P309" s="369"/>
      <c r="Q309" s="369"/>
    </row>
    <row r="310" spans="2:17">
      <c r="B310" s="340"/>
      <c r="C310" s="340"/>
      <c r="D310" s="340"/>
      <c r="E310" s="340"/>
      <c r="F310" s="340"/>
      <c r="G310" s="340"/>
      <c r="H310" s="340"/>
      <c r="I310" s="369"/>
      <c r="J310" s="369"/>
      <c r="K310" s="369"/>
      <c r="L310" s="369"/>
      <c r="M310" s="369"/>
      <c r="N310" s="369"/>
      <c r="O310" s="369"/>
      <c r="P310" s="369"/>
      <c r="Q310" s="369"/>
    </row>
    <row r="311" spans="2:17">
      <c r="B311" s="340"/>
      <c r="C311" s="340"/>
      <c r="D311" s="340"/>
      <c r="E311" s="340"/>
      <c r="F311" s="340"/>
      <c r="G311" s="340"/>
      <c r="H311" s="340"/>
      <c r="I311" s="369"/>
      <c r="J311" s="369"/>
      <c r="K311" s="369"/>
      <c r="L311" s="369"/>
      <c r="M311" s="369"/>
      <c r="N311" s="369"/>
      <c r="O311" s="369"/>
      <c r="P311" s="369"/>
      <c r="Q311" s="369"/>
    </row>
    <row r="312" spans="2:17">
      <c r="B312" s="340"/>
      <c r="C312" s="340"/>
      <c r="D312" s="340"/>
      <c r="E312" s="340"/>
      <c r="F312" s="340"/>
      <c r="G312" s="340"/>
      <c r="H312" s="340"/>
      <c r="I312" s="369"/>
      <c r="J312" s="369"/>
      <c r="K312" s="369"/>
      <c r="L312" s="369"/>
      <c r="M312" s="369"/>
      <c r="N312" s="369"/>
      <c r="O312" s="369"/>
      <c r="P312" s="369"/>
      <c r="Q312" s="369"/>
    </row>
    <row r="313" spans="2:17">
      <c r="B313" s="340"/>
      <c r="C313" s="340"/>
      <c r="D313" s="340"/>
      <c r="E313" s="340"/>
      <c r="F313" s="340"/>
      <c r="G313" s="340"/>
      <c r="H313" s="340"/>
      <c r="I313" s="369"/>
      <c r="J313" s="369"/>
      <c r="K313" s="369"/>
      <c r="L313" s="369"/>
      <c r="M313" s="369"/>
      <c r="N313" s="369"/>
      <c r="O313" s="369"/>
      <c r="P313" s="369"/>
      <c r="Q313" s="369"/>
    </row>
    <row r="314" spans="2:17">
      <c r="B314" s="340"/>
      <c r="C314" s="340"/>
      <c r="D314" s="340"/>
      <c r="E314" s="340"/>
      <c r="F314" s="340"/>
      <c r="G314" s="340"/>
      <c r="H314" s="340"/>
      <c r="I314" s="369"/>
      <c r="J314" s="369"/>
      <c r="K314" s="369"/>
      <c r="L314" s="369"/>
      <c r="M314" s="369"/>
      <c r="N314" s="369"/>
      <c r="O314" s="369"/>
      <c r="P314" s="369"/>
      <c r="Q314" s="369"/>
    </row>
    <row r="315" spans="2:17">
      <c r="B315" s="340"/>
      <c r="C315" s="340"/>
      <c r="D315" s="340"/>
      <c r="E315" s="340"/>
      <c r="F315" s="340"/>
      <c r="G315" s="340"/>
      <c r="H315" s="340"/>
      <c r="I315" s="369"/>
      <c r="J315" s="369"/>
      <c r="K315" s="369"/>
      <c r="L315" s="369"/>
      <c r="M315" s="369"/>
      <c r="N315" s="369"/>
      <c r="O315" s="369"/>
      <c r="P315" s="369"/>
      <c r="Q315" s="369"/>
    </row>
    <row r="316" spans="2:17">
      <c r="B316" s="340"/>
      <c r="C316" s="340"/>
      <c r="D316" s="340"/>
      <c r="E316" s="340"/>
      <c r="F316" s="340"/>
      <c r="G316" s="340"/>
      <c r="H316" s="340"/>
      <c r="I316" s="369"/>
      <c r="J316" s="369"/>
      <c r="K316" s="369"/>
      <c r="L316" s="369"/>
      <c r="M316" s="369"/>
      <c r="N316" s="369"/>
      <c r="O316" s="369"/>
      <c r="P316" s="369"/>
      <c r="Q316" s="369"/>
    </row>
    <row r="317" spans="2:17">
      <c r="B317" s="340"/>
      <c r="C317" s="340"/>
      <c r="D317" s="340"/>
      <c r="E317" s="340"/>
      <c r="F317" s="340"/>
      <c r="G317" s="340"/>
      <c r="H317" s="340"/>
      <c r="I317" s="369"/>
      <c r="J317" s="369"/>
      <c r="K317" s="369"/>
      <c r="L317" s="369"/>
      <c r="M317" s="369"/>
      <c r="N317" s="369"/>
      <c r="O317" s="369"/>
      <c r="P317" s="369"/>
      <c r="Q317" s="369"/>
    </row>
    <row r="318" spans="2:17">
      <c r="B318" s="340"/>
      <c r="C318" s="340"/>
      <c r="D318" s="340"/>
      <c r="E318" s="340"/>
      <c r="F318" s="340"/>
      <c r="G318" s="340"/>
      <c r="H318" s="340"/>
      <c r="I318" s="369"/>
      <c r="J318" s="369"/>
      <c r="K318" s="369"/>
      <c r="L318" s="369"/>
      <c r="M318" s="369"/>
      <c r="N318" s="369"/>
      <c r="O318" s="369"/>
      <c r="P318" s="369"/>
      <c r="Q318" s="369"/>
    </row>
    <row r="319" spans="2:17">
      <c r="B319" s="340"/>
      <c r="C319" s="340"/>
      <c r="D319" s="340"/>
      <c r="E319" s="340"/>
      <c r="F319" s="340"/>
      <c r="G319" s="340"/>
      <c r="H319" s="340"/>
      <c r="I319" s="369"/>
      <c r="J319" s="369"/>
      <c r="K319" s="369"/>
      <c r="L319" s="369"/>
      <c r="M319" s="369"/>
      <c r="N319" s="369"/>
      <c r="O319" s="369"/>
      <c r="P319" s="369"/>
      <c r="Q319" s="369"/>
    </row>
    <row r="320" spans="2:17">
      <c r="B320" s="340"/>
      <c r="C320" s="340"/>
      <c r="D320" s="340"/>
      <c r="E320" s="340"/>
      <c r="F320" s="340"/>
      <c r="G320" s="340"/>
      <c r="H320" s="340"/>
      <c r="I320" s="369"/>
      <c r="J320" s="369"/>
      <c r="K320" s="369"/>
      <c r="L320" s="369"/>
      <c r="M320" s="369"/>
      <c r="N320" s="369"/>
      <c r="O320" s="369"/>
      <c r="P320" s="369"/>
      <c r="Q320" s="369"/>
    </row>
    <row r="321" spans="2:17">
      <c r="B321" s="340"/>
      <c r="C321" s="340"/>
      <c r="D321" s="340"/>
      <c r="E321" s="340"/>
      <c r="F321" s="340"/>
      <c r="G321" s="340"/>
      <c r="H321" s="340"/>
      <c r="I321" s="369"/>
      <c r="J321" s="369"/>
      <c r="K321" s="369"/>
      <c r="L321" s="369"/>
      <c r="M321" s="369"/>
      <c r="N321" s="369"/>
      <c r="O321" s="369"/>
      <c r="P321" s="369"/>
      <c r="Q321" s="369"/>
    </row>
    <row r="322" spans="2:17">
      <c r="B322" s="340"/>
      <c r="C322" s="340"/>
      <c r="D322" s="340"/>
      <c r="E322" s="340"/>
      <c r="F322" s="340"/>
      <c r="G322" s="340"/>
      <c r="H322" s="340"/>
      <c r="I322" s="369"/>
      <c r="J322" s="369"/>
      <c r="K322" s="369"/>
      <c r="L322" s="369"/>
      <c r="M322" s="369"/>
      <c r="N322" s="369"/>
      <c r="O322" s="369"/>
      <c r="P322" s="369"/>
      <c r="Q322" s="369"/>
    </row>
    <row r="323" spans="2:17">
      <c r="B323" s="340"/>
      <c r="C323" s="340"/>
      <c r="D323" s="340"/>
      <c r="E323" s="340"/>
      <c r="F323" s="340"/>
      <c r="G323" s="340"/>
      <c r="H323" s="340"/>
      <c r="I323" s="369"/>
      <c r="J323" s="369"/>
      <c r="K323" s="369"/>
      <c r="L323" s="369"/>
      <c r="M323" s="369"/>
      <c r="N323" s="369"/>
      <c r="O323" s="369"/>
      <c r="P323" s="369"/>
      <c r="Q323" s="369"/>
    </row>
    <row r="324" spans="2:17">
      <c r="B324" s="340"/>
      <c r="C324" s="340"/>
      <c r="D324" s="340"/>
      <c r="E324" s="340"/>
      <c r="F324" s="340"/>
      <c r="G324" s="340"/>
      <c r="H324" s="340"/>
      <c r="I324" s="369"/>
      <c r="J324" s="369"/>
      <c r="K324" s="369"/>
      <c r="L324" s="369"/>
      <c r="M324" s="369"/>
      <c r="N324" s="369"/>
      <c r="O324" s="369"/>
      <c r="P324" s="369"/>
      <c r="Q324" s="369"/>
    </row>
    <row r="325" spans="2:17">
      <c r="B325" s="340"/>
      <c r="C325" s="340"/>
      <c r="D325" s="340"/>
      <c r="E325" s="340"/>
      <c r="F325" s="340"/>
      <c r="G325" s="340"/>
      <c r="H325" s="340"/>
      <c r="I325" s="369"/>
      <c r="J325" s="369"/>
      <c r="K325" s="369"/>
      <c r="L325" s="369"/>
      <c r="M325" s="369"/>
      <c r="N325" s="369"/>
      <c r="O325" s="369"/>
      <c r="P325" s="369"/>
      <c r="Q325" s="369"/>
    </row>
    <row r="326" spans="2:17">
      <c r="B326" s="340"/>
      <c r="C326" s="340"/>
      <c r="D326" s="340"/>
      <c r="E326" s="340"/>
      <c r="F326" s="340"/>
      <c r="G326" s="340"/>
      <c r="H326" s="340"/>
      <c r="I326" s="369"/>
      <c r="J326" s="369"/>
      <c r="K326" s="369"/>
      <c r="L326" s="369"/>
      <c r="M326" s="369"/>
      <c r="N326" s="369"/>
      <c r="O326" s="369"/>
      <c r="P326" s="369"/>
      <c r="Q326" s="369"/>
    </row>
    <row r="327" spans="2:17">
      <c r="B327" s="340"/>
      <c r="C327" s="340"/>
      <c r="D327" s="340"/>
      <c r="E327" s="340"/>
      <c r="F327" s="340"/>
      <c r="G327" s="340"/>
      <c r="H327" s="340"/>
      <c r="I327" s="369"/>
      <c r="J327" s="369"/>
      <c r="K327" s="369"/>
      <c r="L327" s="369"/>
      <c r="M327" s="369"/>
      <c r="N327" s="369"/>
      <c r="O327" s="369"/>
      <c r="P327" s="369"/>
      <c r="Q327" s="369"/>
    </row>
    <row r="328" spans="2:17">
      <c r="B328" s="340"/>
      <c r="C328" s="340"/>
      <c r="D328" s="340"/>
      <c r="E328" s="340"/>
      <c r="F328" s="340"/>
      <c r="G328" s="340"/>
      <c r="H328" s="340"/>
      <c r="I328" s="369"/>
      <c r="J328" s="369"/>
      <c r="K328" s="369"/>
      <c r="L328" s="369"/>
      <c r="M328" s="369"/>
      <c r="N328" s="369"/>
      <c r="O328" s="369"/>
      <c r="P328" s="369"/>
      <c r="Q328" s="369"/>
    </row>
    <row r="329" spans="2:17">
      <c r="B329" s="340"/>
      <c r="C329" s="340"/>
      <c r="D329" s="340"/>
      <c r="E329" s="340"/>
      <c r="F329" s="340"/>
      <c r="G329" s="340"/>
      <c r="H329" s="340"/>
      <c r="I329" s="369"/>
      <c r="J329" s="369"/>
      <c r="K329" s="369"/>
      <c r="L329" s="369"/>
      <c r="M329" s="369"/>
      <c r="N329" s="369"/>
      <c r="O329" s="369"/>
      <c r="P329" s="369"/>
      <c r="Q329" s="369"/>
    </row>
    <row r="330" spans="2:17">
      <c r="B330" s="340"/>
      <c r="C330" s="340"/>
      <c r="D330" s="340"/>
      <c r="E330" s="340"/>
      <c r="F330" s="340"/>
      <c r="G330" s="340"/>
      <c r="H330" s="340"/>
      <c r="I330" s="369"/>
      <c r="J330" s="369"/>
      <c r="K330" s="369"/>
      <c r="L330" s="369"/>
      <c r="M330" s="369"/>
      <c r="N330" s="369"/>
      <c r="O330" s="369"/>
      <c r="P330" s="369"/>
      <c r="Q330" s="369"/>
    </row>
    <row r="331" spans="2:17">
      <c r="B331" s="340"/>
      <c r="C331" s="340"/>
      <c r="D331" s="340"/>
      <c r="E331" s="340"/>
      <c r="F331" s="340"/>
      <c r="G331" s="340"/>
      <c r="H331" s="340"/>
      <c r="I331" s="369"/>
      <c r="J331" s="369"/>
      <c r="K331" s="369"/>
      <c r="L331" s="369"/>
      <c r="M331" s="369"/>
      <c r="N331" s="369"/>
      <c r="O331" s="369"/>
      <c r="P331" s="369"/>
      <c r="Q331" s="369"/>
    </row>
    <row r="332" spans="2:17">
      <c r="B332" s="340"/>
      <c r="C332" s="340"/>
      <c r="D332" s="340"/>
      <c r="E332" s="340"/>
      <c r="F332" s="340"/>
      <c r="G332" s="340"/>
      <c r="H332" s="340"/>
      <c r="I332" s="369"/>
      <c r="J332" s="369"/>
      <c r="K332" s="369"/>
      <c r="L332" s="369"/>
      <c r="M332" s="369"/>
      <c r="N332" s="369"/>
      <c r="O332" s="369"/>
      <c r="P332" s="369"/>
      <c r="Q332" s="369"/>
    </row>
    <row r="333" spans="2:17">
      <c r="B333" s="340"/>
      <c r="C333" s="340"/>
      <c r="D333" s="340"/>
      <c r="E333" s="340"/>
      <c r="F333" s="340"/>
      <c r="G333" s="340"/>
      <c r="H333" s="340"/>
      <c r="I333" s="369"/>
      <c r="J333" s="369"/>
      <c r="K333" s="369"/>
      <c r="L333" s="369"/>
      <c r="M333" s="369"/>
      <c r="N333" s="369"/>
      <c r="O333" s="369"/>
      <c r="P333" s="369"/>
      <c r="Q333" s="369"/>
    </row>
    <row r="334" spans="2:17">
      <c r="B334" s="340"/>
      <c r="C334" s="340"/>
      <c r="D334" s="340"/>
      <c r="E334" s="340"/>
      <c r="F334" s="340"/>
      <c r="G334" s="340"/>
      <c r="H334" s="340"/>
      <c r="I334" s="369"/>
      <c r="J334" s="369"/>
      <c r="K334" s="369"/>
      <c r="L334" s="369"/>
      <c r="M334" s="369"/>
      <c r="N334" s="369"/>
      <c r="O334" s="369"/>
      <c r="P334" s="369"/>
      <c r="Q334" s="369"/>
    </row>
    <row r="335" spans="2:17">
      <c r="B335" s="340"/>
      <c r="C335" s="340"/>
      <c r="D335" s="340"/>
      <c r="E335" s="340"/>
      <c r="F335" s="340"/>
      <c r="G335" s="340"/>
      <c r="H335" s="340"/>
      <c r="I335" s="369"/>
      <c r="J335" s="369"/>
      <c r="K335" s="369"/>
      <c r="L335" s="369"/>
      <c r="M335" s="369"/>
      <c r="N335" s="369"/>
      <c r="O335" s="369"/>
      <c r="P335" s="369"/>
      <c r="Q335" s="369"/>
    </row>
    <row r="336" spans="2:17">
      <c r="B336" s="340"/>
      <c r="C336" s="340"/>
      <c r="D336" s="340"/>
      <c r="E336" s="340"/>
      <c r="F336" s="340"/>
      <c r="G336" s="340"/>
      <c r="H336" s="340"/>
      <c r="I336" s="369"/>
      <c r="J336" s="369"/>
      <c r="K336" s="369"/>
      <c r="L336" s="369"/>
      <c r="M336" s="369"/>
      <c r="N336" s="369"/>
      <c r="O336" s="369"/>
      <c r="P336" s="369"/>
      <c r="Q336" s="369"/>
    </row>
    <row r="337" spans="2:17">
      <c r="B337" s="340"/>
      <c r="C337" s="340"/>
      <c r="D337" s="340"/>
      <c r="E337" s="340"/>
      <c r="F337" s="340"/>
      <c r="G337" s="340"/>
      <c r="H337" s="340"/>
      <c r="I337" s="369"/>
      <c r="J337" s="369"/>
      <c r="K337" s="369"/>
      <c r="L337" s="369"/>
      <c r="M337" s="369"/>
      <c r="N337" s="369"/>
      <c r="O337" s="369"/>
      <c r="P337" s="369"/>
      <c r="Q337" s="369"/>
    </row>
    <row r="338" spans="2:17">
      <c r="B338" s="340"/>
      <c r="C338" s="340"/>
      <c r="D338" s="340"/>
      <c r="E338" s="340"/>
      <c r="F338" s="340"/>
      <c r="G338" s="340"/>
      <c r="H338" s="340"/>
      <c r="I338" s="369"/>
      <c r="J338" s="369"/>
      <c r="K338" s="369"/>
      <c r="L338" s="369"/>
      <c r="M338" s="369"/>
      <c r="N338" s="369"/>
      <c r="O338" s="369"/>
      <c r="P338" s="369"/>
      <c r="Q338" s="369"/>
    </row>
    <row r="339" spans="2:17">
      <c r="B339" s="340"/>
      <c r="C339" s="340"/>
      <c r="D339" s="340"/>
      <c r="E339" s="340"/>
      <c r="F339" s="340"/>
      <c r="G339" s="340"/>
      <c r="H339" s="340"/>
      <c r="I339" s="369"/>
      <c r="J339" s="369"/>
      <c r="K339" s="369"/>
      <c r="L339" s="369"/>
      <c r="M339" s="369"/>
      <c r="N339" s="369"/>
      <c r="O339" s="369"/>
      <c r="P339" s="369"/>
      <c r="Q339" s="369"/>
    </row>
    <row r="340" spans="2:17">
      <c r="B340" s="340"/>
      <c r="C340" s="340"/>
      <c r="D340" s="340"/>
      <c r="E340" s="340"/>
      <c r="F340" s="340"/>
      <c r="G340" s="340"/>
      <c r="H340" s="340"/>
      <c r="I340" s="369"/>
      <c r="J340" s="369"/>
      <c r="K340" s="369"/>
      <c r="L340" s="369"/>
      <c r="M340" s="369"/>
      <c r="N340" s="369"/>
      <c r="O340" s="369"/>
      <c r="P340" s="369"/>
      <c r="Q340" s="369"/>
    </row>
    <row r="341" spans="2:17">
      <c r="B341" s="340"/>
      <c r="C341" s="340"/>
      <c r="D341" s="340"/>
      <c r="E341" s="340"/>
      <c r="F341" s="340"/>
      <c r="G341" s="340"/>
      <c r="H341" s="340"/>
      <c r="I341" s="369"/>
      <c r="J341" s="369"/>
      <c r="K341" s="369"/>
      <c r="L341" s="369"/>
      <c r="M341" s="369"/>
      <c r="N341" s="369"/>
      <c r="O341" s="369"/>
      <c r="P341" s="369"/>
      <c r="Q341" s="369"/>
    </row>
    <row r="342" spans="2:17">
      <c r="B342" s="340"/>
      <c r="C342" s="340"/>
      <c r="D342" s="340"/>
      <c r="E342" s="340"/>
      <c r="F342" s="340"/>
      <c r="G342" s="340"/>
      <c r="H342" s="340"/>
      <c r="I342" s="369"/>
      <c r="J342" s="369"/>
      <c r="K342" s="369"/>
      <c r="L342" s="369"/>
      <c r="M342" s="369"/>
      <c r="N342" s="369"/>
      <c r="O342" s="369"/>
      <c r="P342" s="369"/>
      <c r="Q342" s="369"/>
    </row>
    <row r="343" spans="2:17">
      <c r="B343" s="340"/>
      <c r="C343" s="340"/>
      <c r="D343" s="340"/>
      <c r="E343" s="340"/>
      <c r="F343" s="340"/>
      <c r="G343" s="340"/>
      <c r="H343" s="340"/>
      <c r="I343" s="369"/>
      <c r="J343" s="369"/>
      <c r="K343" s="369"/>
      <c r="L343" s="369"/>
      <c r="M343" s="369"/>
      <c r="N343" s="369"/>
      <c r="O343" s="369"/>
      <c r="P343" s="369"/>
      <c r="Q343" s="369"/>
    </row>
    <row r="344" spans="2:17">
      <c r="B344" s="340"/>
      <c r="C344" s="340"/>
      <c r="D344" s="340"/>
      <c r="E344" s="340"/>
      <c r="F344" s="340"/>
      <c r="G344" s="340"/>
      <c r="H344" s="340"/>
      <c r="I344" s="369"/>
      <c r="J344" s="369"/>
      <c r="K344" s="369"/>
      <c r="L344" s="369"/>
      <c r="M344" s="369"/>
      <c r="N344" s="369"/>
      <c r="O344" s="369"/>
      <c r="P344" s="369"/>
      <c r="Q344" s="369"/>
    </row>
    <row r="345" spans="2:17">
      <c r="B345" s="340"/>
      <c r="C345" s="340"/>
      <c r="D345" s="340"/>
      <c r="E345" s="340"/>
      <c r="F345" s="340"/>
      <c r="G345" s="340"/>
      <c r="H345" s="340"/>
      <c r="I345" s="369"/>
      <c r="J345" s="369"/>
      <c r="K345" s="369"/>
      <c r="L345" s="369"/>
      <c r="M345" s="369"/>
      <c r="N345" s="369"/>
      <c r="O345" s="369"/>
      <c r="P345" s="369"/>
      <c r="Q345" s="369"/>
    </row>
    <row r="346" spans="2:17">
      <c r="B346" s="340"/>
      <c r="C346" s="340"/>
      <c r="D346" s="340"/>
      <c r="E346" s="340"/>
      <c r="F346" s="340"/>
      <c r="G346" s="340"/>
      <c r="H346" s="340"/>
      <c r="I346" s="369"/>
      <c r="J346" s="369"/>
      <c r="K346" s="369"/>
      <c r="L346" s="369"/>
      <c r="M346" s="369"/>
      <c r="N346" s="369"/>
      <c r="O346" s="369"/>
      <c r="P346" s="369"/>
      <c r="Q346" s="369"/>
    </row>
    <row r="347" spans="2:17">
      <c r="B347" s="340"/>
      <c r="C347" s="340"/>
      <c r="D347" s="340"/>
      <c r="E347" s="340"/>
      <c r="F347" s="340"/>
      <c r="G347" s="340"/>
      <c r="H347" s="340"/>
      <c r="I347" s="369"/>
      <c r="J347" s="369"/>
      <c r="K347" s="369"/>
      <c r="L347" s="369"/>
      <c r="M347" s="369"/>
      <c r="N347" s="369"/>
      <c r="O347" s="369"/>
      <c r="P347" s="369"/>
      <c r="Q347" s="369"/>
    </row>
    <row r="348" spans="2:17">
      <c r="B348" s="340"/>
      <c r="C348" s="340"/>
      <c r="D348" s="340"/>
      <c r="E348" s="340"/>
      <c r="F348" s="340"/>
      <c r="G348" s="340"/>
      <c r="H348" s="340"/>
      <c r="I348" s="369"/>
      <c r="J348" s="369"/>
      <c r="K348" s="369"/>
      <c r="L348" s="369"/>
      <c r="M348" s="369"/>
      <c r="N348" s="369"/>
      <c r="O348" s="369"/>
      <c r="P348" s="369"/>
      <c r="Q348" s="369"/>
    </row>
    <row r="349" spans="2:17">
      <c r="B349" s="340"/>
      <c r="C349" s="340"/>
      <c r="D349" s="340"/>
      <c r="E349" s="340"/>
      <c r="F349" s="340"/>
      <c r="G349" s="340"/>
      <c r="H349" s="340"/>
      <c r="I349" s="369"/>
      <c r="J349" s="369"/>
      <c r="K349" s="369"/>
      <c r="L349" s="369"/>
      <c r="M349" s="369"/>
      <c r="N349" s="369"/>
      <c r="O349" s="369"/>
      <c r="P349" s="369"/>
      <c r="Q349" s="369"/>
    </row>
    <row r="350" spans="2:17">
      <c r="B350" s="340"/>
      <c r="C350" s="340"/>
      <c r="D350" s="340"/>
      <c r="E350" s="340"/>
      <c r="F350" s="340"/>
      <c r="G350" s="340"/>
      <c r="H350" s="340"/>
      <c r="I350" s="369"/>
      <c r="J350" s="369"/>
      <c r="K350" s="369"/>
      <c r="L350" s="369"/>
      <c r="M350" s="369"/>
      <c r="N350" s="369"/>
      <c r="O350" s="369"/>
      <c r="P350" s="369"/>
      <c r="Q350" s="369"/>
    </row>
    <row r="351" spans="2:17">
      <c r="B351" s="340"/>
      <c r="C351" s="340"/>
      <c r="D351" s="340"/>
      <c r="E351" s="340"/>
      <c r="F351" s="340"/>
      <c r="G351" s="340"/>
      <c r="H351" s="340"/>
      <c r="I351" s="369"/>
      <c r="J351" s="369"/>
      <c r="K351" s="369"/>
      <c r="L351" s="369"/>
      <c r="M351" s="369"/>
      <c r="N351" s="369"/>
      <c r="O351" s="369"/>
      <c r="P351" s="369"/>
      <c r="Q351" s="369"/>
    </row>
    <row r="352" spans="2:17">
      <c r="B352" s="340"/>
      <c r="C352" s="340"/>
      <c r="D352" s="340"/>
      <c r="E352" s="340"/>
      <c r="F352" s="340"/>
      <c r="G352" s="340"/>
      <c r="H352" s="340"/>
      <c r="I352" s="369"/>
      <c r="J352" s="369"/>
      <c r="K352" s="369"/>
      <c r="L352" s="369"/>
      <c r="M352" s="369"/>
      <c r="N352" s="369"/>
      <c r="O352" s="369"/>
      <c r="P352" s="369"/>
      <c r="Q352" s="369"/>
    </row>
    <row r="353" spans="2:17">
      <c r="B353" s="340"/>
      <c r="C353" s="340"/>
      <c r="D353" s="340"/>
      <c r="E353" s="340"/>
      <c r="F353" s="340"/>
      <c r="G353" s="340"/>
      <c r="H353" s="340"/>
      <c r="I353" s="369"/>
      <c r="J353" s="369"/>
      <c r="K353" s="369"/>
      <c r="L353" s="369"/>
      <c r="M353" s="369"/>
      <c r="N353" s="369"/>
      <c r="O353" s="369"/>
      <c r="P353" s="369"/>
      <c r="Q353" s="369"/>
    </row>
    <row r="354" spans="2:17">
      <c r="B354" s="340"/>
      <c r="C354" s="340"/>
      <c r="D354" s="340"/>
      <c r="E354" s="340"/>
      <c r="F354" s="340"/>
      <c r="G354" s="340"/>
      <c r="H354" s="340"/>
      <c r="I354" s="369"/>
      <c r="J354" s="369"/>
      <c r="K354" s="369"/>
      <c r="L354" s="369"/>
      <c r="M354" s="369"/>
      <c r="N354" s="369"/>
      <c r="O354" s="369"/>
      <c r="P354" s="369"/>
      <c r="Q354" s="369"/>
    </row>
    <row r="355" spans="2:17">
      <c r="B355" s="340"/>
      <c r="C355" s="340"/>
      <c r="D355" s="340"/>
      <c r="E355" s="340"/>
      <c r="F355" s="340"/>
      <c r="G355" s="340"/>
      <c r="H355" s="340"/>
      <c r="I355" s="369"/>
      <c r="J355" s="369"/>
      <c r="K355" s="369"/>
      <c r="L355" s="369"/>
      <c r="M355" s="369"/>
      <c r="N355" s="369"/>
      <c r="O355" s="369"/>
      <c r="P355" s="369"/>
      <c r="Q355" s="369"/>
    </row>
  </sheetData>
  <mergeCells count="239">
    <mergeCell ref="K1:O1"/>
    <mergeCell ref="AA1:AE1"/>
    <mergeCell ref="AA60:AE60"/>
    <mergeCell ref="AA69:AE69"/>
    <mergeCell ref="Q70:Z70"/>
    <mergeCell ref="Q77:Z77"/>
    <mergeCell ref="B84:J84"/>
    <mergeCell ref="B85:J85"/>
    <mergeCell ref="B86:J86"/>
    <mergeCell ref="B87:J87"/>
    <mergeCell ref="B88:J88"/>
    <mergeCell ref="B89:J89"/>
    <mergeCell ref="AC96:AE96"/>
    <mergeCell ref="AD97:AE97"/>
    <mergeCell ref="AD98:AE98"/>
    <mergeCell ref="AD99:AE99"/>
    <mergeCell ref="AD100:AE100"/>
    <mergeCell ref="K106:O106"/>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K163:Q163"/>
    <mergeCell ref="J177:L177"/>
    <mergeCell ref="J178:L178"/>
    <mergeCell ref="J179:L179"/>
    <mergeCell ref="I180:L180"/>
    <mergeCell ref="B187:C187"/>
    <mergeCell ref="D187:E187"/>
    <mergeCell ref="F187:G187"/>
    <mergeCell ref="H187:Q187"/>
    <mergeCell ref="N218:Q218"/>
    <mergeCell ref="N221:Q221"/>
    <mergeCell ref="N243:Q243"/>
    <mergeCell ref="N246:Q246"/>
    <mergeCell ref="B147:B154"/>
    <mergeCell ref="B157:B158"/>
    <mergeCell ref="B159:B167"/>
    <mergeCell ref="B170:B171"/>
    <mergeCell ref="B172:B180"/>
    <mergeCell ref="G218:G227"/>
    <mergeCell ref="H13:H15"/>
    <mergeCell ref="I13:I15"/>
    <mergeCell ref="I174:I176"/>
    <mergeCell ref="J2:J12"/>
    <mergeCell ref="J13:J26"/>
    <mergeCell ref="J27:J41"/>
    <mergeCell ref="J42:J57"/>
    <mergeCell ref="J58:J66"/>
    <mergeCell ref="J67:J74"/>
    <mergeCell ref="J75:J82"/>
    <mergeCell ref="K67:K74"/>
    <mergeCell ref="U109:U113"/>
    <mergeCell ref="V109:V113"/>
    <mergeCell ref="X115:X116"/>
    <mergeCell ref="X117:X118"/>
    <mergeCell ref="X119:X120"/>
    <mergeCell ref="Y115:Y116"/>
    <mergeCell ref="Y117:Y118"/>
    <mergeCell ref="Y119:Y120"/>
    <mergeCell ref="Z2:Z10"/>
    <mergeCell ref="Z11:Z13"/>
    <mergeCell ref="Z14:Z16"/>
    <mergeCell ref="Z17:Z23"/>
    <mergeCell ref="Z24:Z36"/>
    <mergeCell ref="Z37:Z48"/>
    <mergeCell ref="Z49:Z57"/>
    <mergeCell ref="Z58:Z64"/>
    <mergeCell ref="AA2:AA23"/>
    <mergeCell ref="AB106:AB107"/>
    <mergeCell ref="AB108:AB109"/>
    <mergeCell ref="AB110:AB112"/>
    <mergeCell ref="C157:D158"/>
    <mergeCell ref="H196:Q197"/>
    <mergeCell ref="K164:N167"/>
    <mergeCell ref="O164:Q167"/>
    <mergeCell ref="L36:O45"/>
    <mergeCell ref="B216:G217"/>
    <mergeCell ref="V135:W137"/>
    <mergeCell ref="K13:O16"/>
    <mergeCell ref="K27:O29"/>
    <mergeCell ref="K30:O32"/>
    <mergeCell ref="Q78:Z80"/>
    <mergeCell ref="J249:Q254"/>
    <mergeCell ref="B200:C201"/>
    <mergeCell ref="D200:E201"/>
    <mergeCell ref="F200:G201"/>
    <mergeCell ref="H194:Q195"/>
    <mergeCell ref="S106:V108"/>
    <mergeCell ref="B188:C189"/>
    <mergeCell ref="D188:E189"/>
    <mergeCell ref="F188:G189"/>
    <mergeCell ref="B204:C205"/>
    <mergeCell ref="D204:E205"/>
    <mergeCell ref="F204:G205"/>
    <mergeCell ref="Q114:V116"/>
    <mergeCell ref="K114:L115"/>
    <mergeCell ref="K103:L105"/>
    <mergeCell ref="B190:C191"/>
    <mergeCell ref="D190:E191"/>
    <mergeCell ref="F190:G191"/>
    <mergeCell ref="B192:C193"/>
    <mergeCell ref="D192:E193"/>
    <mergeCell ref="F192:G193"/>
    <mergeCell ref="J174:L176"/>
    <mergeCell ref="B210:C211"/>
    <mergeCell ref="D210:E211"/>
    <mergeCell ref="F210:G211"/>
    <mergeCell ref="F159:G167"/>
    <mergeCell ref="H159:I167"/>
    <mergeCell ref="N219:Q220"/>
    <mergeCell ref="J216:Q217"/>
    <mergeCell ref="B206:C207"/>
    <mergeCell ref="D206:E207"/>
    <mergeCell ref="F206:G207"/>
    <mergeCell ref="B196:C197"/>
    <mergeCell ref="D196:E197"/>
    <mergeCell ref="F196:G197"/>
    <mergeCell ref="Q84:Z85"/>
    <mergeCell ref="K161:Q162"/>
    <mergeCell ref="N110:O111"/>
    <mergeCell ref="J224:Q228"/>
    <mergeCell ref="D147:E154"/>
    <mergeCell ref="F147:G154"/>
    <mergeCell ref="L147:M154"/>
    <mergeCell ref="K110:L111"/>
    <mergeCell ref="K159:N160"/>
    <mergeCell ref="B198:C199"/>
    <mergeCell ref="D198:E199"/>
    <mergeCell ref="F198:G199"/>
    <mergeCell ref="V132:W134"/>
    <mergeCell ref="N116:O117"/>
    <mergeCell ref="B208:C209"/>
    <mergeCell ref="D208:E209"/>
    <mergeCell ref="F208:G209"/>
    <mergeCell ref="B212:Q214"/>
    <mergeCell ref="I147:J154"/>
    <mergeCell ref="Q132:U134"/>
    <mergeCell ref="Q104:V105"/>
    <mergeCell ref="Q106:R113"/>
    <mergeCell ref="B223:F227"/>
    <mergeCell ref="N247:Q248"/>
    <mergeCell ref="AC108:AE109"/>
    <mergeCell ref="X110:AA113"/>
    <mergeCell ref="C159:D160"/>
    <mergeCell ref="X94:AE95"/>
    <mergeCell ref="Q86:Z87"/>
    <mergeCell ref="AC110:AE112"/>
    <mergeCell ref="X104:AE105"/>
    <mergeCell ref="X126:AE128"/>
    <mergeCell ref="H208:Q209"/>
    <mergeCell ref="J218:M223"/>
    <mergeCell ref="AA39:AE41"/>
    <mergeCell ref="AB21:AE23"/>
    <mergeCell ref="Q126:U128"/>
    <mergeCell ref="J230:Q231"/>
    <mergeCell ref="Q129:U131"/>
    <mergeCell ref="N102:O105"/>
    <mergeCell ref="L71:O74"/>
    <mergeCell ref="B202:C203"/>
    <mergeCell ref="D202:E203"/>
    <mergeCell ref="F202:G203"/>
    <mergeCell ref="Q71:Z73"/>
    <mergeCell ref="H200:Q201"/>
    <mergeCell ref="V126:W128"/>
    <mergeCell ref="V138:W140"/>
    <mergeCell ref="N114:O115"/>
    <mergeCell ref="H204:Q205"/>
    <mergeCell ref="V129:W131"/>
    <mergeCell ref="C170:D171"/>
    <mergeCell ref="H210:Q211"/>
    <mergeCell ref="F172:G180"/>
    <mergeCell ref="B194:C195"/>
    <mergeCell ref="D194:E195"/>
    <mergeCell ref="F194:G195"/>
    <mergeCell ref="J243:M248"/>
    <mergeCell ref="N244:Q245"/>
    <mergeCell ref="F157:G158"/>
    <mergeCell ref="H157:I158"/>
    <mergeCell ref="O159:Q160"/>
    <mergeCell ref="F170:G171"/>
    <mergeCell ref="Q94:V95"/>
    <mergeCell ref="I170:Q171"/>
    <mergeCell ref="Q138:U140"/>
    <mergeCell ref="K98:L102"/>
    <mergeCell ref="Q102:V103"/>
    <mergeCell ref="Q96:V100"/>
    <mergeCell ref="Q81:Z83"/>
    <mergeCell ref="I172:L173"/>
    <mergeCell ref="Z115:AC116"/>
    <mergeCell ref="J232:Q233"/>
    <mergeCell ref="J241:Q242"/>
    <mergeCell ref="J234:Q239"/>
    <mergeCell ref="K116:L117"/>
    <mergeCell ref="N98:O101"/>
    <mergeCell ref="M172:Q180"/>
    <mergeCell ref="B218:F222"/>
    <mergeCell ref="L67:O70"/>
    <mergeCell ref="H198:Q199"/>
    <mergeCell ref="I181:Q183"/>
    <mergeCell ref="N222:Q223"/>
    <mergeCell ref="H190:Q191"/>
    <mergeCell ref="H202:Q203"/>
    <mergeCell ref="Q90:AE92"/>
    <mergeCell ref="X135:AE137"/>
    <mergeCell ref="X138:AE140"/>
    <mergeCell ref="X101:AE102"/>
    <mergeCell ref="Q122:AE124"/>
    <mergeCell ref="AC106:AE107"/>
    <mergeCell ref="X132:AE134"/>
    <mergeCell ref="AB113:AE114"/>
    <mergeCell ref="X129:AE131"/>
    <mergeCell ref="Q74:Z76"/>
    <mergeCell ref="AA42:AE45"/>
    <mergeCell ref="H192:Q193"/>
    <mergeCell ref="Q135:U137"/>
    <mergeCell ref="AD115:AE120"/>
    <mergeCell ref="K112:L113"/>
    <mergeCell ref="O147:Q154"/>
    <mergeCell ref="N112:O113"/>
    <mergeCell ref="H206:Q207"/>
    <mergeCell ref="C172:D180"/>
    <mergeCell ref="Z119:AC120"/>
    <mergeCell ref="B185:Q186"/>
    <mergeCell ref="Z117:AC118"/>
    <mergeCell ref="S109:T113"/>
    <mergeCell ref="X96:AB100"/>
    <mergeCell ref="K2:O12"/>
    <mergeCell ref="X106:AA109"/>
    <mergeCell ref="K157:Q158"/>
    <mergeCell ref="H188:Q189"/>
  </mergeCells>
  <pageMargins left="0.75" right="0.75" top="1" bottom="1" header="0.509027777777778" footer="0.509027777777778"/>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H145"/>
  <sheetViews>
    <sheetView showGridLines="0" showRowColHeaders="0" zoomScale="57" zoomScaleNormal="57" workbookViewId="0">
      <selection activeCell="C17" sqref="C17:C18"/>
    </sheetView>
  </sheetViews>
  <sheetFormatPr defaultColWidth="9" defaultRowHeight="16.8" outlineLevelCol="7"/>
  <cols>
    <col min="1" max="3" width="9" style="34"/>
    <col min="4" max="4" width="80.6346153846154" style="34" customWidth="1"/>
    <col min="5" max="6" width="9" style="34"/>
    <col min="7" max="7" width="80.6346153846154" style="34" customWidth="1"/>
    <col min="8" max="16384" width="9" style="34"/>
  </cols>
  <sheetData>
    <row r="1" ht="12" customHeight="1"/>
    <row r="2" ht="19" customHeight="1" spans="3:7">
      <c r="C2" s="68" t="s">
        <v>5347</v>
      </c>
      <c r="D2" s="69"/>
      <c r="F2" s="115" t="s">
        <v>5348</v>
      </c>
      <c r="G2" s="116"/>
    </row>
    <row r="3" spans="3:7">
      <c r="C3" s="70" t="s">
        <v>445</v>
      </c>
      <c r="D3" s="71" t="s">
        <v>5349</v>
      </c>
      <c r="F3" s="70" t="s">
        <v>445</v>
      </c>
      <c r="G3" s="71" t="s">
        <v>5349</v>
      </c>
    </row>
    <row r="4" ht="55" customHeight="1" spans="3:7">
      <c r="C4" s="72">
        <v>1</v>
      </c>
      <c r="D4" s="73" t="s">
        <v>5350</v>
      </c>
      <c r="F4" s="72">
        <v>1</v>
      </c>
      <c r="G4" s="73" t="s">
        <v>5351</v>
      </c>
    </row>
    <row r="5" ht="55" customHeight="1" spans="3:7">
      <c r="C5" s="74">
        <v>2</v>
      </c>
      <c r="D5" s="75" t="s">
        <v>5352</v>
      </c>
      <c r="F5" s="74">
        <v>2</v>
      </c>
      <c r="G5" s="75" t="s">
        <v>5353</v>
      </c>
    </row>
    <row r="6" ht="55" customHeight="1" spans="3:7">
      <c r="C6" s="72">
        <v>3</v>
      </c>
      <c r="D6" s="73" t="s">
        <v>5354</v>
      </c>
      <c r="F6" s="72">
        <v>3</v>
      </c>
      <c r="G6" s="73" t="s">
        <v>5355</v>
      </c>
    </row>
    <row r="7" ht="55" customHeight="1" spans="3:7">
      <c r="C7" s="74">
        <v>4</v>
      </c>
      <c r="D7" s="75" t="s">
        <v>5356</v>
      </c>
      <c r="F7" s="74">
        <v>4</v>
      </c>
      <c r="G7" s="75" t="s">
        <v>5357</v>
      </c>
    </row>
    <row r="8" ht="55" customHeight="1" spans="3:7">
      <c r="C8" s="72">
        <v>5</v>
      </c>
      <c r="D8" s="73" t="s">
        <v>5358</v>
      </c>
      <c r="F8" s="72">
        <v>5</v>
      </c>
      <c r="G8" s="73" t="s">
        <v>5359</v>
      </c>
    </row>
    <row r="9" ht="55" customHeight="1" spans="3:7">
      <c r="C9" s="74">
        <v>6</v>
      </c>
      <c r="D9" s="75" t="s">
        <v>5360</v>
      </c>
      <c r="F9" s="74">
        <v>6</v>
      </c>
      <c r="G9" s="75" t="s">
        <v>5361</v>
      </c>
    </row>
    <row r="10" ht="55" customHeight="1" spans="3:7">
      <c r="C10" s="72">
        <v>7</v>
      </c>
      <c r="D10" s="73" t="s">
        <v>5362</v>
      </c>
      <c r="F10" s="72">
        <v>7</v>
      </c>
      <c r="G10" s="73" t="s">
        <v>5363</v>
      </c>
    </row>
    <row r="11" ht="55" customHeight="1" spans="3:7">
      <c r="C11" s="74">
        <v>8</v>
      </c>
      <c r="D11" s="75" t="s">
        <v>5364</v>
      </c>
      <c r="F11" s="74">
        <v>8</v>
      </c>
      <c r="G11" s="75" t="s">
        <v>5365</v>
      </c>
    </row>
    <row r="12" ht="55" customHeight="1" spans="3:7">
      <c r="C12" s="72">
        <v>9</v>
      </c>
      <c r="D12" s="73" t="s">
        <v>5366</v>
      </c>
      <c r="F12" s="72">
        <v>9</v>
      </c>
      <c r="G12" s="73" t="s">
        <v>5367</v>
      </c>
    </row>
    <row r="13" ht="55" customHeight="1" spans="3:7">
      <c r="C13" s="76">
        <v>10</v>
      </c>
      <c r="D13" s="77" t="s">
        <v>5368</v>
      </c>
      <c r="F13" s="76">
        <v>10</v>
      </c>
      <c r="G13" s="117" t="s">
        <v>5369</v>
      </c>
    </row>
    <row r="14" ht="17.55"/>
    <row r="15" spans="3:7">
      <c r="C15" s="78" t="s">
        <v>2177</v>
      </c>
      <c r="D15" s="79"/>
      <c r="F15" s="78" t="s">
        <v>2178</v>
      </c>
      <c r="G15" s="79"/>
    </row>
    <row r="16" ht="17" spans="3:7">
      <c r="C16" s="80" t="s">
        <v>445</v>
      </c>
      <c r="D16" s="81" t="s">
        <v>5370</v>
      </c>
      <c r="E16" s="33"/>
      <c r="F16" s="80" t="s">
        <v>445</v>
      </c>
      <c r="G16" s="81" t="s">
        <v>5370</v>
      </c>
    </row>
    <row r="17" spans="3:7">
      <c r="C17" s="82">
        <v>0</v>
      </c>
      <c r="D17" s="83" t="str">
        <f>IF(C17=0,"请在左侧输入数字",VLOOKUP(C17,附表!M114:N213,2,FALSE))</f>
        <v>请在左侧输入数字</v>
      </c>
      <c r="E17" s="33"/>
      <c r="F17" s="82">
        <v>0</v>
      </c>
      <c r="G17" s="83" t="str">
        <f>IF(F17=0,"请在左侧输入数字",VLOOKUP(F17,附表!S114:T213,2,FALSE))</f>
        <v>请在左侧输入数字</v>
      </c>
    </row>
    <row r="18" ht="17.55" spans="3:7">
      <c r="C18" s="84"/>
      <c r="D18" s="85"/>
      <c r="E18" s="33"/>
      <c r="F18" s="84"/>
      <c r="G18" s="85"/>
    </row>
    <row r="19" ht="20.4" spans="3:7">
      <c r="C19" s="86"/>
      <c r="D19" s="86"/>
      <c r="E19" s="33"/>
      <c r="F19" s="86"/>
      <c r="G19" s="86"/>
    </row>
    <row r="22" ht="17.55"/>
    <row r="23" spans="3:7">
      <c r="C23" s="87" t="s">
        <v>5371</v>
      </c>
      <c r="D23" s="88"/>
      <c r="E23" s="88"/>
      <c r="F23" s="88"/>
      <c r="G23" s="118"/>
    </row>
    <row r="24" ht="17" customHeight="1" spans="3:7">
      <c r="C24" s="89"/>
      <c r="D24" s="90"/>
      <c r="E24" s="90"/>
      <c r="F24" s="90"/>
      <c r="G24" s="119"/>
    </row>
    <row r="25" ht="20" customHeight="1" spans="3:7">
      <c r="C25" s="91"/>
      <c r="D25" s="92"/>
      <c r="E25" s="92"/>
      <c r="F25" s="92"/>
      <c r="G25" s="120"/>
    </row>
    <row r="26" ht="21.15" spans="3:7">
      <c r="C26" s="86"/>
      <c r="D26" s="86"/>
      <c r="E26" s="33"/>
      <c r="F26" s="86"/>
      <c r="G26" s="86"/>
    </row>
    <row r="27" spans="3:7">
      <c r="C27" s="93" t="s">
        <v>5372</v>
      </c>
      <c r="D27" s="94"/>
      <c r="E27" s="33"/>
      <c r="F27" s="93" t="s">
        <v>5373</v>
      </c>
      <c r="G27" s="94"/>
    </row>
    <row r="28" spans="3:7">
      <c r="C28" s="95"/>
      <c r="D28" s="96"/>
      <c r="E28" s="33"/>
      <c r="F28" s="95"/>
      <c r="G28" s="96"/>
    </row>
    <row r="29" spans="3:7">
      <c r="C29" s="97" t="s">
        <v>5374</v>
      </c>
      <c r="D29" s="98"/>
      <c r="E29" s="33"/>
      <c r="F29" s="97" t="s">
        <v>5375</v>
      </c>
      <c r="G29" s="98"/>
    </row>
    <row r="30" spans="3:7">
      <c r="C30" s="99"/>
      <c r="D30" s="100"/>
      <c r="E30" s="33"/>
      <c r="F30" s="99"/>
      <c r="G30" s="100"/>
    </row>
    <row r="31" ht="15" customHeight="1" spans="3:7">
      <c r="C31" s="99"/>
      <c r="D31" s="100"/>
      <c r="E31" s="33"/>
      <c r="F31" s="99"/>
      <c r="G31" s="100"/>
    </row>
    <row r="32" ht="15" customHeight="1" spans="3:7">
      <c r="C32" s="101"/>
      <c r="D32" s="102"/>
      <c r="E32" s="33"/>
      <c r="F32" s="99"/>
      <c r="G32" s="100"/>
    </row>
    <row r="33" ht="15" customHeight="1" spans="3:7">
      <c r="C33" s="86"/>
      <c r="D33" s="86"/>
      <c r="E33" s="33"/>
      <c r="F33" s="99"/>
      <c r="G33" s="100"/>
    </row>
    <row r="34" ht="15" customHeight="1" spans="3:7">
      <c r="C34" s="93" t="s">
        <v>5376</v>
      </c>
      <c r="D34" s="103" t="s">
        <v>5377</v>
      </c>
      <c r="E34" s="33"/>
      <c r="F34" s="99"/>
      <c r="G34" s="100"/>
    </row>
    <row r="35" ht="15" customHeight="1" spans="3:7">
      <c r="C35" s="95"/>
      <c r="D35" s="104"/>
      <c r="E35" s="33"/>
      <c r="F35" s="99"/>
      <c r="G35" s="100"/>
    </row>
    <row r="36" ht="15" customHeight="1" spans="3:7">
      <c r="C36" s="95"/>
      <c r="D36" s="104"/>
      <c r="E36" s="33"/>
      <c r="F36" s="99"/>
      <c r="G36" s="100"/>
    </row>
    <row r="37" ht="15" customHeight="1" spans="3:7">
      <c r="C37" s="95"/>
      <c r="D37" s="104"/>
      <c r="E37" s="33"/>
      <c r="F37" s="99"/>
      <c r="G37" s="100"/>
    </row>
    <row r="38" ht="15" customHeight="1" spans="3:7">
      <c r="C38" s="95"/>
      <c r="D38" s="104"/>
      <c r="E38" s="33"/>
      <c r="F38" s="99"/>
      <c r="G38" s="100"/>
    </row>
    <row r="39" ht="15" customHeight="1" spans="3:8">
      <c r="C39" s="95"/>
      <c r="D39" s="104"/>
      <c r="E39" s="33"/>
      <c r="F39" s="99"/>
      <c r="G39" s="100"/>
      <c r="H39" s="121" t="s">
        <v>5378</v>
      </c>
    </row>
    <row r="40" spans="3:7">
      <c r="C40" s="95"/>
      <c r="D40" s="104" t="s">
        <v>5379</v>
      </c>
      <c r="E40" s="33"/>
      <c r="F40" s="99"/>
      <c r="G40" s="100"/>
    </row>
    <row r="41" spans="3:7">
      <c r="C41" s="95"/>
      <c r="D41" s="104"/>
      <c r="E41" s="33"/>
      <c r="F41" s="99"/>
      <c r="G41" s="100"/>
    </row>
    <row r="42" ht="17.55" spans="3:7">
      <c r="C42" s="105"/>
      <c r="D42" s="106"/>
      <c r="E42" s="33"/>
      <c r="F42" s="101"/>
      <c r="G42" s="102"/>
    </row>
    <row r="43" ht="21.15" spans="3:7">
      <c r="C43" s="86"/>
      <c r="D43" s="86"/>
      <c r="E43" s="33"/>
      <c r="F43" s="86"/>
      <c r="G43" s="86"/>
    </row>
    <row r="44" spans="3:7">
      <c r="C44" s="87" t="s">
        <v>5380</v>
      </c>
      <c r="D44" s="88"/>
      <c r="E44" s="88"/>
      <c r="F44" s="88"/>
      <c r="G44" s="118"/>
    </row>
    <row r="45" spans="3:7">
      <c r="C45" s="89"/>
      <c r="D45" s="90"/>
      <c r="E45" s="90"/>
      <c r="F45" s="90"/>
      <c r="G45" s="119"/>
    </row>
    <row r="46" ht="17.55" spans="3:7">
      <c r="C46" s="91"/>
      <c r="D46" s="92"/>
      <c r="E46" s="92"/>
      <c r="F46" s="92"/>
      <c r="G46" s="120"/>
    </row>
    <row r="47" ht="21.15" spans="3:7">
      <c r="C47" s="86"/>
      <c r="D47" s="86"/>
      <c r="E47" s="33"/>
      <c r="F47" s="86"/>
      <c r="G47" s="86"/>
    </row>
    <row r="48" spans="3:7">
      <c r="C48" s="107" t="s">
        <v>5381</v>
      </c>
      <c r="D48" s="108" t="s">
        <v>5382</v>
      </c>
      <c r="E48" s="33"/>
      <c r="F48" s="107" t="s">
        <v>5383</v>
      </c>
      <c r="G48" s="108" t="s">
        <v>5384</v>
      </c>
    </row>
    <row r="49" spans="3:7">
      <c r="C49" s="109"/>
      <c r="D49" s="110"/>
      <c r="E49" s="33"/>
      <c r="F49" s="109"/>
      <c r="G49" s="110"/>
    </row>
    <row r="50" ht="17.55" spans="3:7">
      <c r="C50" s="111"/>
      <c r="D50" s="112"/>
      <c r="E50" s="33"/>
      <c r="F50" s="111"/>
      <c r="G50" s="112"/>
    </row>
    <row r="51" ht="17.55" spans="4:7">
      <c r="D51" s="33"/>
      <c r="E51" s="33"/>
      <c r="F51" s="18"/>
      <c r="G51" s="18"/>
    </row>
    <row r="52" spans="3:7">
      <c r="C52" s="107" t="s">
        <v>5385</v>
      </c>
      <c r="D52" s="108" t="s">
        <v>5386</v>
      </c>
      <c r="E52" s="33"/>
      <c r="F52" s="107" t="s">
        <v>5387</v>
      </c>
      <c r="G52" s="122" t="s">
        <v>5388</v>
      </c>
    </row>
    <row r="53" spans="3:7">
      <c r="C53" s="109"/>
      <c r="D53" s="110"/>
      <c r="E53" s="33"/>
      <c r="F53" s="109"/>
      <c r="G53" s="123"/>
    </row>
    <row r="54" spans="3:7">
      <c r="C54" s="109"/>
      <c r="D54" s="110"/>
      <c r="E54" s="33"/>
      <c r="F54" s="109"/>
      <c r="G54" s="124" t="s">
        <v>5389</v>
      </c>
    </row>
    <row r="55" spans="3:7">
      <c r="C55" s="109" t="s">
        <v>5390</v>
      </c>
      <c r="D55" s="113" t="s">
        <v>5391</v>
      </c>
      <c r="E55" s="33"/>
      <c r="F55" s="109"/>
      <c r="G55" s="124"/>
    </row>
    <row r="56" spans="3:7">
      <c r="C56" s="109"/>
      <c r="D56" s="114"/>
      <c r="E56" s="33"/>
      <c r="F56" s="109"/>
      <c r="G56" s="123"/>
    </row>
    <row r="57" spans="3:7">
      <c r="C57" s="109"/>
      <c r="D57" s="110" t="s">
        <v>5392</v>
      </c>
      <c r="E57" s="33"/>
      <c r="F57" s="109"/>
      <c r="G57" s="124" t="s">
        <v>5393</v>
      </c>
    </row>
    <row r="58" spans="3:7">
      <c r="C58" s="109"/>
      <c r="D58" s="110"/>
      <c r="E58" s="33"/>
      <c r="F58" s="109"/>
      <c r="G58" s="125"/>
    </row>
    <row r="59" spans="3:7">
      <c r="C59" s="109" t="s">
        <v>5394</v>
      </c>
      <c r="D59" s="113" t="s">
        <v>5395</v>
      </c>
      <c r="E59" s="33"/>
      <c r="F59" s="109"/>
      <c r="G59" s="125"/>
    </row>
    <row r="60" spans="3:7">
      <c r="C60" s="109"/>
      <c r="D60" s="110"/>
      <c r="E60" s="33"/>
      <c r="F60" s="109"/>
      <c r="G60" s="126" t="s">
        <v>5396</v>
      </c>
    </row>
    <row r="61" spans="3:7">
      <c r="C61" s="109"/>
      <c r="D61" s="110"/>
      <c r="E61" s="33"/>
      <c r="F61" s="109"/>
      <c r="G61" s="125"/>
    </row>
    <row r="62" ht="17.55" spans="3:7">
      <c r="C62" s="111"/>
      <c r="D62" s="112"/>
      <c r="E62" s="33"/>
      <c r="F62" s="109"/>
      <c r="G62" s="125"/>
    </row>
    <row r="63" ht="17.55" spans="3:7">
      <c r="C63" s="18"/>
      <c r="D63" s="18"/>
      <c r="E63" s="33"/>
      <c r="F63" s="111"/>
      <c r="G63" s="127"/>
    </row>
    <row r="64" spans="3:7">
      <c r="C64" s="18"/>
      <c r="D64" s="18"/>
      <c r="E64" s="33"/>
      <c r="F64" s="18"/>
      <c r="G64" s="18"/>
    </row>
    <row r="65" spans="3:7">
      <c r="C65" s="18"/>
      <c r="D65" s="18"/>
      <c r="E65" s="33"/>
      <c r="F65" s="18"/>
      <c r="G65" s="18"/>
    </row>
    <row r="66" spans="3:7">
      <c r="C66" s="18"/>
      <c r="D66" s="18"/>
      <c r="E66" s="33"/>
      <c r="F66" s="18"/>
      <c r="G66" s="18"/>
    </row>
    <row r="67" spans="3:7">
      <c r="C67" s="18"/>
      <c r="D67" s="18"/>
      <c r="E67" s="33"/>
      <c r="F67" s="18"/>
      <c r="G67" s="18"/>
    </row>
    <row r="68" spans="3:7">
      <c r="C68" s="18"/>
      <c r="D68" s="18"/>
      <c r="E68" s="33"/>
      <c r="F68" s="18"/>
      <c r="G68" s="18"/>
    </row>
    <row r="69" spans="3:7">
      <c r="C69" s="18"/>
      <c r="D69" s="18"/>
      <c r="E69" s="33"/>
      <c r="F69" s="18"/>
      <c r="G69" s="18"/>
    </row>
    <row r="70" spans="3:7">
      <c r="C70" s="18"/>
      <c r="D70" s="18"/>
      <c r="E70" s="33"/>
      <c r="F70" s="18"/>
      <c r="G70" s="18"/>
    </row>
    <row r="71" spans="3:7">
      <c r="C71" s="18"/>
      <c r="D71" s="18"/>
      <c r="E71" s="33"/>
      <c r="F71" s="18"/>
      <c r="G71" s="18"/>
    </row>
    <row r="72" spans="3:7">
      <c r="C72" s="18"/>
      <c r="D72" s="18"/>
      <c r="E72" s="33"/>
      <c r="F72" s="18"/>
      <c r="G72" s="18"/>
    </row>
    <row r="73" spans="3:7">
      <c r="C73" s="18"/>
      <c r="D73" s="18"/>
      <c r="E73" s="33"/>
      <c r="F73" s="18"/>
      <c r="G73" s="18"/>
    </row>
    <row r="74" spans="3:7">
      <c r="C74" s="18"/>
      <c r="D74" s="18"/>
      <c r="E74" s="33"/>
      <c r="F74" s="18"/>
      <c r="G74" s="18"/>
    </row>
    <row r="75" spans="3:7">
      <c r="C75" s="18"/>
      <c r="D75" s="18"/>
      <c r="E75" s="33"/>
      <c r="F75" s="18"/>
      <c r="G75" s="18"/>
    </row>
    <row r="76" spans="3:7">
      <c r="C76" s="18"/>
      <c r="D76" s="18"/>
      <c r="E76" s="33"/>
      <c r="F76" s="18"/>
      <c r="G76" s="18"/>
    </row>
    <row r="77" spans="3:7">
      <c r="C77" s="18"/>
      <c r="D77" s="18"/>
      <c r="E77" s="33"/>
      <c r="F77" s="18"/>
      <c r="G77" s="18"/>
    </row>
    <row r="78" spans="3:7">
      <c r="C78" s="18"/>
      <c r="D78" s="18"/>
      <c r="E78" s="33"/>
      <c r="F78" s="18"/>
      <c r="G78" s="18"/>
    </row>
    <row r="79" spans="3:7">
      <c r="C79" s="18"/>
      <c r="D79" s="18"/>
      <c r="E79" s="33"/>
      <c r="F79" s="18"/>
      <c r="G79" s="18"/>
    </row>
    <row r="80" spans="3:7">
      <c r="C80" s="18"/>
      <c r="D80" s="18"/>
      <c r="E80" s="33"/>
      <c r="F80" s="18"/>
      <c r="G80" s="18"/>
    </row>
    <row r="81" spans="3:7">
      <c r="C81" s="18"/>
      <c r="D81" s="18"/>
      <c r="E81" s="33"/>
      <c r="F81" s="18"/>
      <c r="G81" s="18"/>
    </row>
    <row r="82" spans="3:7">
      <c r="C82" s="18"/>
      <c r="D82" s="18"/>
      <c r="E82" s="33"/>
      <c r="F82" s="18"/>
      <c r="G82" s="18"/>
    </row>
    <row r="83" spans="3:7">
      <c r="C83" s="18"/>
      <c r="D83" s="18"/>
      <c r="E83" s="33"/>
      <c r="F83" s="18"/>
      <c r="G83" s="18"/>
    </row>
    <row r="84" spans="3:7">
      <c r="C84" s="18"/>
      <c r="D84" s="18"/>
      <c r="E84" s="33"/>
      <c r="F84" s="18"/>
      <c r="G84" s="18"/>
    </row>
    <row r="85" spans="3:7">
      <c r="C85" s="18"/>
      <c r="D85" s="18"/>
      <c r="E85" s="33"/>
      <c r="F85" s="18"/>
      <c r="G85" s="18"/>
    </row>
    <row r="86" spans="3:7">
      <c r="C86" s="18"/>
      <c r="D86" s="18"/>
      <c r="E86" s="33"/>
      <c r="F86" s="18"/>
      <c r="G86" s="18"/>
    </row>
    <row r="87" spans="3:7">
      <c r="C87" s="18"/>
      <c r="D87" s="18"/>
      <c r="E87" s="33"/>
      <c r="F87" s="18"/>
      <c r="G87" s="18"/>
    </row>
    <row r="88" spans="3:7">
      <c r="C88" s="18"/>
      <c r="D88" s="18"/>
      <c r="E88" s="33"/>
      <c r="F88" s="18"/>
      <c r="G88" s="18"/>
    </row>
    <row r="89" spans="3:7">
      <c r="C89" s="18"/>
      <c r="D89" s="18"/>
      <c r="E89" s="33"/>
      <c r="F89" s="18"/>
      <c r="G89" s="18"/>
    </row>
    <row r="90" spans="3:7">
      <c r="C90" s="18"/>
      <c r="D90" s="18"/>
      <c r="E90" s="33"/>
      <c r="F90" s="18"/>
      <c r="G90" s="18"/>
    </row>
    <row r="91" spans="3:7">
      <c r="C91" s="18"/>
      <c r="D91" s="18"/>
      <c r="E91" s="33"/>
      <c r="F91" s="18"/>
      <c r="G91" s="18"/>
    </row>
    <row r="92" spans="3:7">
      <c r="C92" s="18"/>
      <c r="D92" s="18"/>
      <c r="E92" s="33"/>
      <c r="F92" s="18"/>
      <c r="G92" s="18"/>
    </row>
    <row r="93" spans="3:7">
      <c r="C93" s="18"/>
      <c r="D93" s="18"/>
      <c r="E93" s="33"/>
      <c r="F93" s="18"/>
      <c r="G93" s="18"/>
    </row>
    <row r="94" ht="20.4" spans="3:7">
      <c r="C94" s="86"/>
      <c r="D94" s="86"/>
      <c r="E94" s="33"/>
      <c r="F94" s="86"/>
      <c r="G94" s="86"/>
    </row>
    <row r="95" ht="20.4" spans="3:7">
      <c r="C95" s="86"/>
      <c r="D95" s="86"/>
      <c r="E95" s="33"/>
      <c r="F95" s="86"/>
      <c r="G95" s="86"/>
    </row>
    <row r="96" ht="20.4" spans="3:7">
      <c r="C96" s="86"/>
      <c r="D96" s="86"/>
      <c r="E96" s="33"/>
      <c r="F96" s="86"/>
      <c r="G96" s="86"/>
    </row>
    <row r="97" ht="20.4" spans="3:7">
      <c r="C97" s="86"/>
      <c r="D97" s="86"/>
      <c r="E97" s="33"/>
      <c r="F97" s="86"/>
      <c r="G97" s="86"/>
    </row>
    <row r="98" ht="20.4" spans="3:7">
      <c r="C98" s="86"/>
      <c r="D98" s="86"/>
      <c r="E98" s="33"/>
      <c r="F98" s="86"/>
      <c r="G98" s="86"/>
    </row>
    <row r="99" ht="20.4" spans="3:7">
      <c r="C99" s="86"/>
      <c r="D99" s="86"/>
      <c r="E99" s="33"/>
      <c r="F99" s="86"/>
      <c r="G99" s="86"/>
    </row>
    <row r="100" ht="20.4" spans="3:7">
      <c r="C100" s="86"/>
      <c r="D100" s="86"/>
      <c r="E100" s="33"/>
      <c r="F100" s="86"/>
      <c r="G100" s="86"/>
    </row>
    <row r="101" ht="20.4" spans="3:7">
      <c r="C101" s="86"/>
      <c r="D101" s="86"/>
      <c r="E101" s="33"/>
      <c r="F101" s="86"/>
      <c r="G101" s="86"/>
    </row>
    <row r="102" ht="20.4" spans="3:7">
      <c r="C102" s="86"/>
      <c r="D102" s="86"/>
      <c r="E102" s="33"/>
      <c r="F102" s="86"/>
      <c r="G102" s="86"/>
    </row>
    <row r="103" ht="20.4" spans="3:7">
      <c r="C103" s="86"/>
      <c r="D103" s="86"/>
      <c r="E103" s="33"/>
      <c r="F103" s="86"/>
      <c r="G103" s="86"/>
    </row>
    <row r="104" ht="20.4" spans="3:7">
      <c r="C104" s="86"/>
      <c r="D104" s="86"/>
      <c r="E104" s="33"/>
      <c r="F104" s="86"/>
      <c r="G104" s="86"/>
    </row>
    <row r="105" ht="20.4" spans="3:7">
      <c r="C105" s="86"/>
      <c r="D105" s="86"/>
      <c r="E105" s="33"/>
      <c r="F105" s="86"/>
      <c r="G105" s="86"/>
    </row>
    <row r="106" ht="20.4" spans="3:7">
      <c r="C106" s="86"/>
      <c r="D106" s="86"/>
      <c r="E106" s="33"/>
      <c r="F106" s="86"/>
      <c r="G106" s="86"/>
    </row>
    <row r="107" ht="20.4" spans="3:7">
      <c r="C107" s="86"/>
      <c r="D107" s="86"/>
      <c r="E107" s="33"/>
      <c r="F107" s="86"/>
      <c r="G107" s="86"/>
    </row>
    <row r="108" ht="20.4" spans="3:7">
      <c r="C108" s="86"/>
      <c r="D108" s="86"/>
      <c r="E108" s="33"/>
      <c r="F108" s="86"/>
      <c r="G108" s="86"/>
    </row>
    <row r="109" ht="20.4" spans="3:7">
      <c r="C109" s="86"/>
      <c r="D109" s="86"/>
      <c r="E109" s="33"/>
      <c r="F109" s="86"/>
      <c r="G109" s="86"/>
    </row>
    <row r="110" ht="20.4" spans="3:7">
      <c r="C110" s="86"/>
      <c r="D110" s="86"/>
      <c r="E110" s="33"/>
      <c r="F110" s="86"/>
      <c r="G110" s="86"/>
    </row>
    <row r="111" ht="20.4" spans="3:7">
      <c r="C111" s="86"/>
      <c r="D111" s="86"/>
      <c r="E111" s="33"/>
      <c r="F111" s="86"/>
      <c r="G111" s="86"/>
    </row>
    <row r="112" ht="20.4" spans="3:7">
      <c r="C112" s="86"/>
      <c r="D112" s="86"/>
      <c r="E112" s="33"/>
      <c r="F112" s="86"/>
      <c r="G112" s="86"/>
    </row>
    <row r="113" ht="20.4" spans="3:7">
      <c r="C113" s="86"/>
      <c r="D113" s="86"/>
      <c r="E113" s="33"/>
      <c r="F113" s="86"/>
      <c r="G113" s="86"/>
    </row>
    <row r="114" ht="20.4" spans="3:7">
      <c r="C114" s="86"/>
      <c r="D114" s="86"/>
      <c r="E114" s="33"/>
      <c r="F114" s="86"/>
      <c r="G114" s="86"/>
    </row>
    <row r="115" ht="20.4" spans="3:7">
      <c r="C115" s="86"/>
      <c r="D115" s="86"/>
      <c r="E115" s="33"/>
      <c r="F115" s="86"/>
      <c r="G115" s="86"/>
    </row>
    <row r="116" ht="20.4" spans="3:7">
      <c r="C116" s="86"/>
      <c r="D116" s="86"/>
      <c r="E116" s="33"/>
      <c r="F116" s="86"/>
      <c r="G116" s="86"/>
    </row>
    <row r="117" ht="20.4" spans="3:7">
      <c r="C117" s="86"/>
      <c r="D117" s="86"/>
      <c r="E117" s="33"/>
      <c r="F117" s="86"/>
      <c r="G117" s="86"/>
    </row>
    <row r="118" ht="20.4" spans="3:7">
      <c r="C118" s="86"/>
      <c r="D118" s="86"/>
      <c r="E118" s="33"/>
      <c r="F118" s="86"/>
      <c r="G118" s="86"/>
    </row>
    <row r="119" ht="20.4" spans="3:7">
      <c r="C119" s="86"/>
      <c r="D119" s="86"/>
      <c r="E119" s="33"/>
      <c r="F119" s="86"/>
      <c r="G119" s="86"/>
    </row>
    <row r="120" ht="20.4" spans="3:7">
      <c r="C120" s="86"/>
      <c r="D120" s="86"/>
      <c r="E120" s="33"/>
      <c r="F120" s="86"/>
      <c r="G120" s="86"/>
    </row>
    <row r="121" ht="20.4" spans="3:7">
      <c r="C121" s="86"/>
      <c r="D121" s="86"/>
      <c r="E121" s="33"/>
      <c r="F121" s="86"/>
      <c r="G121" s="86"/>
    </row>
    <row r="122" ht="20.4" spans="3:7">
      <c r="C122" s="86"/>
      <c r="D122" s="86"/>
      <c r="E122" s="33"/>
      <c r="F122" s="86"/>
      <c r="G122" s="86"/>
    </row>
    <row r="123" ht="20.4" spans="3:7">
      <c r="C123" s="86"/>
      <c r="D123" s="86"/>
      <c r="E123" s="33"/>
      <c r="F123" s="86"/>
      <c r="G123" s="86"/>
    </row>
    <row r="124" ht="20.4" spans="3:7">
      <c r="C124" s="86"/>
      <c r="D124" s="86"/>
      <c r="E124" s="33"/>
      <c r="F124" s="86"/>
      <c r="G124" s="86"/>
    </row>
    <row r="125" ht="20.4" spans="3:7">
      <c r="C125" s="86"/>
      <c r="D125" s="86"/>
      <c r="E125" s="33"/>
      <c r="F125" s="86"/>
      <c r="G125" s="86"/>
    </row>
    <row r="126" ht="20.4" spans="3:7">
      <c r="C126" s="86"/>
      <c r="D126" s="86"/>
      <c r="E126" s="33"/>
      <c r="F126" s="86"/>
      <c r="G126" s="86"/>
    </row>
    <row r="127" ht="20.4" spans="3:7">
      <c r="C127" s="86"/>
      <c r="D127" s="86"/>
      <c r="E127" s="33"/>
      <c r="F127" s="86"/>
      <c r="G127" s="86"/>
    </row>
    <row r="128" ht="20.4" spans="3:7">
      <c r="C128" s="86"/>
      <c r="D128" s="86"/>
      <c r="E128" s="33"/>
      <c r="F128" s="86"/>
      <c r="G128" s="86"/>
    </row>
    <row r="129" ht="20.4" spans="3:7">
      <c r="C129" s="86"/>
      <c r="D129" s="86"/>
      <c r="E129" s="33"/>
      <c r="F129" s="86"/>
      <c r="G129" s="86"/>
    </row>
    <row r="130" ht="20.4" spans="3:7">
      <c r="C130" s="86"/>
      <c r="D130" s="86"/>
      <c r="E130" s="33"/>
      <c r="F130" s="86"/>
      <c r="G130" s="86"/>
    </row>
    <row r="131" ht="20.4" spans="3:7">
      <c r="C131" s="86"/>
      <c r="D131" s="86"/>
      <c r="E131" s="33"/>
      <c r="F131" s="86"/>
      <c r="G131" s="86"/>
    </row>
    <row r="132" ht="20.4" spans="3:7">
      <c r="C132" s="86"/>
      <c r="D132" s="86"/>
      <c r="E132" s="33"/>
      <c r="F132" s="86"/>
      <c r="G132" s="86"/>
    </row>
    <row r="133" ht="20.4" spans="3:7">
      <c r="C133" s="86"/>
      <c r="D133" s="86"/>
      <c r="E133" s="33"/>
      <c r="F133" s="86"/>
      <c r="G133" s="86"/>
    </row>
    <row r="134" ht="20.4" spans="3:7">
      <c r="C134" s="86"/>
      <c r="D134" s="86"/>
      <c r="E134" s="33"/>
      <c r="F134" s="86"/>
      <c r="G134" s="86"/>
    </row>
    <row r="135" ht="20.4" spans="3:7">
      <c r="C135" s="86"/>
      <c r="D135" s="86"/>
      <c r="E135" s="33"/>
      <c r="F135" s="86"/>
      <c r="G135" s="86"/>
    </row>
    <row r="136" ht="20.4" spans="3:7">
      <c r="C136" s="86"/>
      <c r="D136" s="86"/>
      <c r="E136" s="33"/>
      <c r="F136" s="86"/>
      <c r="G136" s="86"/>
    </row>
    <row r="137" ht="20.4" spans="3:7">
      <c r="C137" s="86"/>
      <c r="D137" s="86"/>
      <c r="E137" s="33"/>
      <c r="F137" s="86"/>
      <c r="G137" s="86"/>
    </row>
    <row r="138" ht="20.4" spans="3:7">
      <c r="C138" s="86"/>
      <c r="D138" s="86"/>
      <c r="E138" s="33"/>
      <c r="F138" s="86"/>
      <c r="G138" s="86"/>
    </row>
    <row r="139" ht="20.4" spans="3:7">
      <c r="C139" s="33"/>
      <c r="D139" s="33"/>
      <c r="E139" s="33"/>
      <c r="F139" s="86"/>
      <c r="G139" s="86"/>
    </row>
    <row r="140" ht="20.4" spans="3:7">
      <c r="C140" s="33"/>
      <c r="D140" s="33"/>
      <c r="E140" s="33"/>
      <c r="F140" s="86"/>
      <c r="G140" s="86"/>
    </row>
    <row r="141" ht="20.4" spans="3:7">
      <c r="C141" s="33"/>
      <c r="D141" s="33"/>
      <c r="E141" s="33"/>
      <c r="F141" s="86"/>
      <c r="G141" s="86"/>
    </row>
    <row r="142" ht="20.4" spans="3:7">
      <c r="C142" s="33"/>
      <c r="D142" s="33"/>
      <c r="E142" s="33"/>
      <c r="F142" s="86"/>
      <c r="G142" s="86"/>
    </row>
    <row r="143" ht="20.4" spans="3:7">
      <c r="C143" s="33"/>
      <c r="D143" s="33"/>
      <c r="E143" s="33"/>
      <c r="F143" s="86"/>
      <c r="G143" s="86"/>
    </row>
    <row r="144" ht="20.4" spans="3:7">
      <c r="C144" s="33"/>
      <c r="D144" s="33"/>
      <c r="E144" s="33"/>
      <c r="F144" s="86"/>
      <c r="G144" s="86"/>
    </row>
    <row r="145" ht="20.4" spans="3:7">
      <c r="C145" s="33"/>
      <c r="D145" s="33"/>
      <c r="E145" s="33"/>
      <c r="F145" s="86"/>
      <c r="G145" s="86"/>
    </row>
  </sheetData>
  <sheetProtection sheet="1" formatCells="0" objects="1"/>
  <mergeCells count="33">
    <mergeCell ref="C2:D2"/>
    <mergeCell ref="F2:G2"/>
    <mergeCell ref="C15:D15"/>
    <mergeCell ref="F15:G15"/>
    <mergeCell ref="C17:C18"/>
    <mergeCell ref="C34:C42"/>
    <mergeCell ref="C48:C50"/>
    <mergeCell ref="C52:C54"/>
    <mergeCell ref="C55:C58"/>
    <mergeCell ref="C59:C62"/>
    <mergeCell ref="D17:D18"/>
    <mergeCell ref="D34:D39"/>
    <mergeCell ref="D40:D42"/>
    <mergeCell ref="D48:D50"/>
    <mergeCell ref="D52:D54"/>
    <mergeCell ref="D55:D56"/>
    <mergeCell ref="D57:D58"/>
    <mergeCell ref="D59:D62"/>
    <mergeCell ref="F17:F18"/>
    <mergeCell ref="F48:F50"/>
    <mergeCell ref="F52:F63"/>
    <mergeCell ref="G17:G18"/>
    <mergeCell ref="G48:G50"/>
    <mergeCell ref="G52:G53"/>
    <mergeCell ref="G54:G56"/>
    <mergeCell ref="G57:G59"/>
    <mergeCell ref="G60:G63"/>
    <mergeCell ref="C29:D32"/>
    <mergeCell ref="F27:G28"/>
    <mergeCell ref="F29:G42"/>
    <mergeCell ref="C44:G46"/>
    <mergeCell ref="C27:D28"/>
    <mergeCell ref="C23:G25"/>
  </mergeCells>
  <dataValidations count="2">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dataValidation type="list" allowBlank="1" showInputMessage="1" showErrorMessage="1" sqref="C17:C18 F17:F18">
      <formula1>附表!$M$113:$M$213</formula1>
    </dataValidation>
  </dataValidations>
  <pageMargins left="0.75" right="0.75" top="1" bottom="1" header="0.509027777777778" footer="0.509027777777778"/>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31"/>
  <sheetViews>
    <sheetView showRowColHeaders="0" workbookViewId="0">
      <selection activeCell="B2" sqref="B2:K3"/>
    </sheetView>
  </sheetViews>
  <sheetFormatPr defaultColWidth="9" defaultRowHeight="22" customHeight="1"/>
  <cols>
    <col min="1" max="1" width="5.63461538461539" style="1" customWidth="1"/>
    <col min="2" max="38" width="9" style="1"/>
    <col min="39" max="39" width="2.90384615384615" style="1" customWidth="1"/>
    <col min="40" max="50" width="9" style="1"/>
    <col min="51" max="51" width="2.90384615384615" style="1" customWidth="1"/>
    <col min="52" max="62" width="9" style="1"/>
    <col min="63" max="63" width="2.90384615384615" style="1" customWidth="1"/>
    <col min="64" max="16384" width="9" style="1"/>
  </cols>
  <sheetData>
    <row r="1" customHeight="1" spans="1:74">
      <c r="A1" s="2" t="s">
        <v>5397</v>
      </c>
      <c r="B1" s="2"/>
      <c r="C1" s="2"/>
      <c r="D1" s="2"/>
      <c r="E1" s="2"/>
      <c r="F1" s="2"/>
      <c r="G1" s="2"/>
      <c r="H1" s="2"/>
      <c r="I1" s="2"/>
      <c r="J1" s="2"/>
      <c r="K1" s="2"/>
      <c r="M1" s="2" t="s">
        <v>5398</v>
      </c>
      <c r="N1" s="2"/>
      <c r="O1" s="2"/>
      <c r="P1" s="2"/>
      <c r="Q1" s="2"/>
      <c r="R1" s="2"/>
      <c r="S1" s="2"/>
      <c r="T1" s="2"/>
      <c r="U1" s="2"/>
      <c r="V1" s="2"/>
      <c r="W1" s="2"/>
      <c r="AB1" s="36" t="s">
        <v>5399</v>
      </c>
      <c r="AC1" s="36"/>
      <c r="AD1" s="36"/>
      <c r="AE1" s="36"/>
      <c r="AF1" s="36"/>
      <c r="AG1" s="36"/>
      <c r="AH1" s="36"/>
      <c r="AI1" s="36"/>
      <c r="AJ1" s="36"/>
      <c r="AK1" s="36"/>
      <c r="AL1" s="36"/>
      <c r="AN1" s="36" t="s">
        <v>5400</v>
      </c>
      <c r="AO1" s="36"/>
      <c r="AP1" s="36"/>
      <c r="AQ1" s="36"/>
      <c r="AR1" s="36"/>
      <c r="AS1" s="36"/>
      <c r="AT1" s="36"/>
      <c r="AU1" s="36"/>
      <c r="AV1" s="36"/>
      <c r="AW1" s="36"/>
      <c r="AX1" s="36"/>
      <c r="AY1" s="46"/>
      <c r="AZ1" s="36" t="s">
        <v>5401</v>
      </c>
      <c r="BA1" s="36"/>
      <c r="BB1" s="36"/>
      <c r="BC1" s="36"/>
      <c r="BD1" s="36"/>
      <c r="BE1" s="36"/>
      <c r="BF1" s="36"/>
      <c r="BG1" s="36"/>
      <c r="BH1" s="36"/>
      <c r="BI1" s="36"/>
      <c r="BJ1" s="36"/>
      <c r="BK1" s="46"/>
      <c r="BL1" s="36" t="s">
        <v>5402</v>
      </c>
      <c r="BM1" s="36"/>
      <c r="BN1" s="36"/>
      <c r="BO1" s="36"/>
      <c r="BP1" s="36"/>
      <c r="BQ1" s="36"/>
      <c r="BR1" s="36"/>
      <c r="BS1" s="36"/>
      <c r="BT1" s="36"/>
      <c r="BU1" s="36"/>
      <c r="BV1" s="36"/>
    </row>
    <row r="2" customHeight="1" spans="1:74">
      <c r="A2" s="3" t="s">
        <v>5403</v>
      </c>
      <c r="B2" s="4" t="s">
        <v>5404</v>
      </c>
      <c r="C2" s="5"/>
      <c r="D2" s="5"/>
      <c r="E2" s="5"/>
      <c r="F2" s="5"/>
      <c r="G2" s="5"/>
      <c r="H2" s="5"/>
      <c r="I2" s="5"/>
      <c r="J2" s="5"/>
      <c r="K2" s="5"/>
      <c r="Y2" s="37" t="s">
        <v>5405</v>
      </c>
      <c r="Z2" s="37"/>
      <c r="AB2" s="36"/>
      <c r="AC2" s="36"/>
      <c r="AD2" s="36"/>
      <c r="AE2" s="36"/>
      <c r="AF2" s="36"/>
      <c r="AG2" s="36"/>
      <c r="AH2" s="36"/>
      <c r="AI2" s="36"/>
      <c r="AJ2" s="36"/>
      <c r="AK2" s="36"/>
      <c r="AL2" s="36"/>
      <c r="AN2" s="36"/>
      <c r="AO2" s="36"/>
      <c r="AP2" s="36"/>
      <c r="AQ2" s="36"/>
      <c r="AR2" s="36"/>
      <c r="AS2" s="36"/>
      <c r="AT2" s="36"/>
      <c r="AU2" s="36"/>
      <c r="AV2" s="36"/>
      <c r="AW2" s="36"/>
      <c r="AX2" s="36"/>
      <c r="AY2" s="46"/>
      <c r="AZ2" s="36"/>
      <c r="BA2" s="36"/>
      <c r="BB2" s="36"/>
      <c r="BC2" s="36"/>
      <c r="BD2" s="36"/>
      <c r="BE2" s="36"/>
      <c r="BF2" s="36"/>
      <c r="BG2" s="36"/>
      <c r="BH2" s="36"/>
      <c r="BI2" s="36"/>
      <c r="BJ2" s="36"/>
      <c r="BK2" s="46"/>
      <c r="BL2" s="36"/>
      <c r="BM2" s="36"/>
      <c r="BN2" s="36"/>
      <c r="BO2" s="36"/>
      <c r="BP2" s="36"/>
      <c r="BQ2" s="36"/>
      <c r="BR2" s="36"/>
      <c r="BS2" s="36"/>
      <c r="BT2" s="36"/>
      <c r="BU2" s="36"/>
      <c r="BV2" s="36"/>
    </row>
    <row r="3" customHeight="1" spans="1:74">
      <c r="A3" s="3"/>
      <c r="B3" s="5"/>
      <c r="C3" s="5"/>
      <c r="D3" s="5"/>
      <c r="E3" s="5"/>
      <c r="F3" s="5"/>
      <c r="G3" s="5"/>
      <c r="H3" s="5"/>
      <c r="I3" s="5"/>
      <c r="J3" s="5"/>
      <c r="K3" s="5"/>
      <c r="M3" s="16" t="s">
        <v>5406</v>
      </c>
      <c r="N3" s="16"/>
      <c r="O3" s="16"/>
      <c r="P3" s="16"/>
      <c r="Q3" s="16"/>
      <c r="R3" s="16"/>
      <c r="S3" s="16"/>
      <c r="T3" s="16"/>
      <c r="U3" s="16"/>
      <c r="V3" s="16"/>
      <c r="W3" s="16"/>
      <c r="Y3" s="37"/>
      <c r="Z3" s="37"/>
      <c r="AB3" s="2" t="s">
        <v>5407</v>
      </c>
      <c r="AC3" s="2"/>
      <c r="AD3" s="2"/>
      <c r="AE3" s="2"/>
      <c r="AF3" s="2"/>
      <c r="AG3" s="2"/>
      <c r="AH3" s="2"/>
      <c r="AI3" s="2"/>
      <c r="AJ3" s="2"/>
      <c r="AK3" s="2"/>
      <c r="AL3" s="2"/>
      <c r="AN3" s="2" t="s">
        <v>5408</v>
      </c>
      <c r="AO3" s="2"/>
      <c r="AP3" s="2"/>
      <c r="AQ3" s="2"/>
      <c r="AR3" s="2"/>
      <c r="AS3" s="2"/>
      <c r="AT3" s="2"/>
      <c r="AU3" s="2"/>
      <c r="AV3" s="2"/>
      <c r="AW3" s="2"/>
      <c r="AX3" s="2"/>
      <c r="AY3" s="46"/>
      <c r="AZ3" s="2" t="s">
        <v>5409</v>
      </c>
      <c r="BA3" s="2"/>
      <c r="BB3" s="2"/>
      <c r="BC3" s="2"/>
      <c r="BD3" s="2"/>
      <c r="BE3" s="2"/>
      <c r="BF3" s="2"/>
      <c r="BG3" s="2"/>
      <c r="BH3" s="2"/>
      <c r="BI3" s="2"/>
      <c r="BJ3" s="2"/>
      <c r="BK3" s="46"/>
      <c r="BL3" s="52" t="s">
        <v>5410</v>
      </c>
      <c r="BM3" s="2"/>
      <c r="BN3" s="2"/>
      <c r="BO3" s="2"/>
      <c r="BP3" s="2"/>
      <c r="BQ3" s="2"/>
      <c r="BR3" s="2"/>
      <c r="BS3" s="2"/>
      <c r="BT3" s="2"/>
      <c r="BU3" s="2"/>
      <c r="BV3" s="2"/>
    </row>
    <row r="4" customHeight="1" spans="1:74">
      <c r="A4" s="3"/>
      <c r="B4" s="4" t="s">
        <v>5411</v>
      </c>
      <c r="C4" s="4"/>
      <c r="D4" s="4"/>
      <c r="E4" s="4"/>
      <c r="F4" s="4"/>
      <c r="G4" s="4"/>
      <c r="H4" s="4"/>
      <c r="I4" s="4"/>
      <c r="J4" s="4"/>
      <c r="K4" s="4"/>
      <c r="T4" s="23" t="s">
        <v>5412</v>
      </c>
      <c r="U4" s="23"/>
      <c r="V4" s="23"/>
      <c r="W4" s="23"/>
      <c r="Y4" s="37"/>
      <c r="Z4" s="37"/>
      <c r="AB4" s="25" t="s">
        <v>5413</v>
      </c>
      <c r="AC4" s="4" t="s">
        <v>5414</v>
      </c>
      <c r="AD4" s="4"/>
      <c r="AE4" s="4"/>
      <c r="AF4" s="4"/>
      <c r="AG4" s="4"/>
      <c r="AH4" s="4"/>
      <c r="AI4" s="4"/>
      <c r="AJ4" s="4"/>
      <c r="AK4" s="4"/>
      <c r="AL4" s="4"/>
      <c r="AN4" s="25" t="s">
        <v>5413</v>
      </c>
      <c r="AO4" s="5" t="s">
        <v>5415</v>
      </c>
      <c r="AP4" s="5"/>
      <c r="AQ4" s="5"/>
      <c r="AR4" s="5"/>
      <c r="AS4" s="5"/>
      <c r="AT4" s="5"/>
      <c r="AU4" s="5"/>
      <c r="AV4" s="5"/>
      <c r="AW4" s="5"/>
      <c r="AX4" s="5"/>
      <c r="AY4" s="46"/>
      <c r="AZ4" s="47" t="s">
        <v>5413</v>
      </c>
      <c r="BA4" s="4" t="s">
        <v>5416</v>
      </c>
      <c r="BB4" s="5"/>
      <c r="BC4" s="5"/>
      <c r="BD4" s="5"/>
      <c r="BE4" s="5"/>
      <c r="BF4" s="5"/>
      <c r="BG4" s="5"/>
      <c r="BH4" s="5"/>
      <c r="BI4" s="5"/>
      <c r="BJ4" s="5"/>
      <c r="BK4" s="46"/>
      <c r="BL4" s="39" t="s">
        <v>5417</v>
      </c>
      <c r="BM4" s="53" t="s">
        <v>5418</v>
      </c>
      <c r="BN4" s="5"/>
      <c r="BO4" s="5"/>
      <c r="BP4" s="5"/>
      <c r="BQ4" s="5"/>
      <c r="BR4" s="5"/>
      <c r="BS4" s="5"/>
      <c r="BT4" s="5"/>
      <c r="BU4" s="5"/>
      <c r="BV4" s="5"/>
    </row>
    <row r="5" customHeight="1" spans="1:74">
      <c r="A5" s="3"/>
      <c r="B5" s="4"/>
      <c r="C5" s="4"/>
      <c r="D5" s="4"/>
      <c r="E5" s="4"/>
      <c r="F5" s="4"/>
      <c r="G5" s="4"/>
      <c r="H5" s="4"/>
      <c r="I5" s="4"/>
      <c r="J5" s="4"/>
      <c r="K5" s="4"/>
      <c r="T5" s="23"/>
      <c r="U5" s="23"/>
      <c r="V5" s="23"/>
      <c r="W5" s="23"/>
      <c r="Y5" s="37"/>
      <c r="Z5" s="37"/>
      <c r="AB5" s="25"/>
      <c r="AC5" s="4"/>
      <c r="AD5" s="4"/>
      <c r="AE5" s="4"/>
      <c r="AF5" s="4"/>
      <c r="AG5" s="4"/>
      <c r="AH5" s="4"/>
      <c r="AI5" s="4"/>
      <c r="AJ5" s="4"/>
      <c r="AK5" s="4"/>
      <c r="AL5" s="4"/>
      <c r="AN5" s="25"/>
      <c r="AO5" s="42" t="s">
        <v>5419</v>
      </c>
      <c r="AP5" s="43"/>
      <c r="AQ5" s="43"/>
      <c r="AR5" s="43"/>
      <c r="AS5" s="43"/>
      <c r="AT5" s="43"/>
      <c r="AU5" s="43"/>
      <c r="AV5" s="43"/>
      <c r="AW5" s="43"/>
      <c r="AX5" s="43"/>
      <c r="AY5" s="46"/>
      <c r="AZ5" s="47"/>
      <c r="BA5" s="5"/>
      <c r="BB5" s="5"/>
      <c r="BC5" s="5"/>
      <c r="BD5" s="5"/>
      <c r="BE5" s="5"/>
      <c r="BF5" s="5"/>
      <c r="BG5" s="5"/>
      <c r="BH5" s="5"/>
      <c r="BI5" s="5"/>
      <c r="BJ5" s="5"/>
      <c r="BK5" s="46"/>
      <c r="BL5" s="39"/>
      <c r="BM5" s="5"/>
      <c r="BN5" s="5"/>
      <c r="BO5" s="5"/>
      <c r="BP5" s="5"/>
      <c r="BQ5" s="5"/>
      <c r="BR5" s="5"/>
      <c r="BS5" s="5"/>
      <c r="BT5" s="5"/>
      <c r="BU5" s="5"/>
      <c r="BV5" s="5"/>
    </row>
    <row r="6" customHeight="1" spans="1:74">
      <c r="A6" s="3"/>
      <c r="B6" s="4" t="s">
        <v>5420</v>
      </c>
      <c r="C6" s="4"/>
      <c r="D6" s="4"/>
      <c r="E6" s="4"/>
      <c r="F6" s="4"/>
      <c r="G6" s="4"/>
      <c r="H6" s="4"/>
      <c r="I6" s="4"/>
      <c r="J6" s="4"/>
      <c r="K6" s="4"/>
      <c r="T6" s="23"/>
      <c r="U6" s="23"/>
      <c r="V6" s="23"/>
      <c r="W6" s="23"/>
      <c r="Y6" s="37"/>
      <c r="Z6" s="37"/>
      <c r="AB6" s="25"/>
      <c r="AC6" s="5" t="s">
        <v>5421</v>
      </c>
      <c r="AD6" s="5"/>
      <c r="AE6" s="5"/>
      <c r="AF6" s="5"/>
      <c r="AG6" s="5"/>
      <c r="AH6" s="5"/>
      <c r="AI6" s="5"/>
      <c r="AJ6" s="5"/>
      <c r="AK6" s="5"/>
      <c r="AL6" s="5"/>
      <c r="AN6" s="25"/>
      <c r="AO6" s="43"/>
      <c r="AP6" s="43"/>
      <c r="AQ6" s="43"/>
      <c r="AR6" s="43"/>
      <c r="AS6" s="43"/>
      <c r="AT6" s="43"/>
      <c r="AU6" s="43"/>
      <c r="AV6" s="43"/>
      <c r="AW6" s="43"/>
      <c r="AX6" s="43"/>
      <c r="AY6" s="46"/>
      <c r="AZ6" s="47"/>
      <c r="BA6" s="5"/>
      <c r="BB6" s="5"/>
      <c r="BC6" s="5"/>
      <c r="BD6" s="5"/>
      <c r="BE6" s="5"/>
      <c r="BF6" s="5"/>
      <c r="BG6" s="5"/>
      <c r="BH6" s="5"/>
      <c r="BI6" s="5"/>
      <c r="BJ6" s="5"/>
      <c r="BK6" s="46"/>
      <c r="BL6" s="39"/>
      <c r="BM6" s="5"/>
      <c r="BN6" s="5"/>
      <c r="BO6" s="5"/>
      <c r="BP6" s="5"/>
      <c r="BQ6" s="5"/>
      <c r="BR6" s="5"/>
      <c r="BS6" s="5"/>
      <c r="BT6" s="5"/>
      <c r="BU6" s="5"/>
      <c r="BV6" s="5"/>
    </row>
    <row r="7" customHeight="1" spans="1:74">
      <c r="A7" s="3"/>
      <c r="B7" s="4"/>
      <c r="C7" s="4"/>
      <c r="D7" s="4"/>
      <c r="E7" s="4"/>
      <c r="F7" s="4"/>
      <c r="G7" s="4"/>
      <c r="H7" s="4"/>
      <c r="I7" s="4"/>
      <c r="J7" s="4"/>
      <c r="K7" s="4"/>
      <c r="M7" s="17" t="s">
        <v>5422</v>
      </c>
      <c r="N7" s="17"/>
      <c r="O7" s="17"/>
      <c r="P7" s="17"/>
      <c r="Q7" s="17"/>
      <c r="R7" s="17"/>
      <c r="S7" s="17"/>
      <c r="T7" s="23"/>
      <c r="U7" s="23"/>
      <c r="V7" s="23"/>
      <c r="W7" s="23"/>
      <c r="Y7" s="37"/>
      <c r="Z7" s="37"/>
      <c r="AB7" s="2" t="s">
        <v>5423</v>
      </c>
      <c r="AC7" s="2"/>
      <c r="AD7" s="2"/>
      <c r="AE7" s="2"/>
      <c r="AF7" s="2"/>
      <c r="AG7" s="2"/>
      <c r="AH7" s="2"/>
      <c r="AI7" s="2"/>
      <c r="AJ7" s="2"/>
      <c r="AK7" s="2"/>
      <c r="AL7" s="2"/>
      <c r="AN7" s="27" t="s">
        <v>5424</v>
      </c>
      <c r="AO7" s="5" t="s">
        <v>5425</v>
      </c>
      <c r="AP7" s="5"/>
      <c r="AQ7" s="5"/>
      <c r="AR7" s="5"/>
      <c r="AS7" s="5"/>
      <c r="AT7" s="5"/>
      <c r="AU7" s="5"/>
      <c r="AV7" s="5"/>
      <c r="AW7" s="5"/>
      <c r="AX7" s="5"/>
      <c r="AY7" s="46"/>
      <c r="AZ7" s="47"/>
      <c r="BA7" s="4" t="s">
        <v>5426</v>
      </c>
      <c r="BB7" s="5"/>
      <c r="BC7" s="5"/>
      <c r="BD7" s="5"/>
      <c r="BE7" s="5"/>
      <c r="BF7" s="5"/>
      <c r="BG7" s="5"/>
      <c r="BH7" s="5"/>
      <c r="BI7" s="5"/>
      <c r="BJ7" s="5"/>
      <c r="BK7" s="46"/>
      <c r="BL7" s="39"/>
      <c r="BM7" s="5"/>
      <c r="BN7" s="5"/>
      <c r="BO7" s="5"/>
      <c r="BP7" s="5"/>
      <c r="BQ7" s="5"/>
      <c r="BR7" s="5"/>
      <c r="BS7" s="5"/>
      <c r="BT7" s="5"/>
      <c r="BU7" s="5"/>
      <c r="BV7" s="5"/>
    </row>
    <row r="8" customHeight="1" spans="1:74">
      <c r="A8" s="3"/>
      <c r="B8" s="4"/>
      <c r="C8" s="4"/>
      <c r="D8" s="4"/>
      <c r="E8" s="4"/>
      <c r="F8" s="4"/>
      <c r="G8" s="4"/>
      <c r="H8" s="4"/>
      <c r="I8" s="4"/>
      <c r="J8" s="4"/>
      <c r="K8" s="4"/>
      <c r="M8" s="17" t="s">
        <v>5427</v>
      </c>
      <c r="N8" s="17"/>
      <c r="O8" s="17"/>
      <c r="P8" s="17"/>
      <c r="Q8" s="17"/>
      <c r="R8" s="17"/>
      <c r="S8" s="17"/>
      <c r="T8" s="23"/>
      <c r="U8" s="23"/>
      <c r="V8" s="23"/>
      <c r="W8" s="23"/>
      <c r="Y8" s="37"/>
      <c r="Z8" s="37"/>
      <c r="AB8" s="8" t="s">
        <v>5413</v>
      </c>
      <c r="AC8" s="42" t="s">
        <v>5428</v>
      </c>
      <c r="AD8" s="42"/>
      <c r="AE8" s="42"/>
      <c r="AF8" s="42"/>
      <c r="AG8" s="42"/>
      <c r="AH8" s="42"/>
      <c r="AI8" s="42"/>
      <c r="AJ8" s="42"/>
      <c r="AK8" s="42"/>
      <c r="AL8" s="42"/>
      <c r="AN8" s="39" t="s">
        <v>5429</v>
      </c>
      <c r="AO8" s="42" t="s">
        <v>5430</v>
      </c>
      <c r="AP8" s="43"/>
      <c r="AQ8" s="43"/>
      <c r="AR8" s="43"/>
      <c r="AS8" s="43"/>
      <c r="AT8" s="43"/>
      <c r="AU8" s="43"/>
      <c r="AV8" s="43"/>
      <c r="AW8" s="43"/>
      <c r="AX8" s="43"/>
      <c r="AY8" s="46"/>
      <c r="AZ8" s="47"/>
      <c r="BA8" s="5"/>
      <c r="BB8" s="5"/>
      <c r="BC8" s="5"/>
      <c r="BD8" s="5"/>
      <c r="BE8" s="5"/>
      <c r="BF8" s="5"/>
      <c r="BG8" s="5"/>
      <c r="BH8" s="5"/>
      <c r="BI8" s="5"/>
      <c r="BJ8" s="5"/>
      <c r="BK8" s="46"/>
      <c r="BL8" s="39"/>
      <c r="BM8" s="5"/>
      <c r="BN8" s="5"/>
      <c r="BO8" s="5"/>
      <c r="BP8" s="5"/>
      <c r="BQ8" s="5"/>
      <c r="BR8" s="5"/>
      <c r="BS8" s="5"/>
      <c r="BT8" s="5"/>
      <c r="BU8" s="5"/>
      <c r="BV8" s="5"/>
    </row>
    <row r="9" customHeight="1" spans="1:74">
      <c r="A9" s="3"/>
      <c r="B9" s="4"/>
      <c r="C9" s="4"/>
      <c r="D9" s="4"/>
      <c r="E9" s="4"/>
      <c r="F9" s="4"/>
      <c r="G9" s="4"/>
      <c r="H9" s="4"/>
      <c r="I9" s="4"/>
      <c r="J9" s="4"/>
      <c r="K9" s="4"/>
      <c r="M9" s="18"/>
      <c r="N9" s="18"/>
      <c r="O9" s="18"/>
      <c r="P9" s="18"/>
      <c r="Q9" s="18"/>
      <c r="R9" s="18"/>
      <c r="S9" s="18"/>
      <c r="T9" s="18"/>
      <c r="U9" s="18"/>
      <c r="V9" s="18"/>
      <c r="W9" s="18"/>
      <c r="Y9" s="37"/>
      <c r="Z9" s="37"/>
      <c r="AB9" s="8"/>
      <c r="AC9" s="42"/>
      <c r="AD9" s="42"/>
      <c r="AE9" s="42"/>
      <c r="AF9" s="42"/>
      <c r="AG9" s="42"/>
      <c r="AH9" s="42"/>
      <c r="AI9" s="42"/>
      <c r="AJ9" s="42"/>
      <c r="AK9" s="42"/>
      <c r="AL9" s="42"/>
      <c r="AN9" s="39"/>
      <c r="AO9" s="43"/>
      <c r="AP9" s="43"/>
      <c r="AQ9" s="43"/>
      <c r="AR9" s="43"/>
      <c r="AS9" s="43"/>
      <c r="AT9" s="43"/>
      <c r="AU9" s="43"/>
      <c r="AV9" s="43"/>
      <c r="AW9" s="43"/>
      <c r="AX9" s="43"/>
      <c r="AY9" s="46"/>
      <c r="AZ9" s="47"/>
      <c r="BA9" s="4" t="s">
        <v>5431</v>
      </c>
      <c r="BB9" s="5"/>
      <c r="BC9" s="5"/>
      <c r="BD9" s="5"/>
      <c r="BE9" s="5"/>
      <c r="BF9" s="5"/>
      <c r="BG9" s="5"/>
      <c r="BH9" s="5"/>
      <c r="BI9" s="5"/>
      <c r="BJ9" s="5"/>
      <c r="BK9" s="46"/>
      <c r="BL9" s="39"/>
      <c r="BM9" s="5"/>
      <c r="BN9" s="5"/>
      <c r="BO9" s="5"/>
      <c r="BP9" s="5"/>
      <c r="BQ9" s="5"/>
      <c r="BR9" s="5"/>
      <c r="BS9" s="5"/>
      <c r="BT9" s="5"/>
      <c r="BU9" s="5"/>
      <c r="BV9" s="5"/>
    </row>
    <row r="10" customHeight="1" spans="1:74">
      <c r="A10" s="3"/>
      <c r="B10" s="5" t="s">
        <v>5432</v>
      </c>
      <c r="C10" s="5"/>
      <c r="D10" s="5"/>
      <c r="E10" s="5"/>
      <c r="F10" s="5"/>
      <c r="G10" s="5"/>
      <c r="H10" s="5"/>
      <c r="I10" s="5"/>
      <c r="J10" s="5"/>
      <c r="K10" s="5"/>
      <c r="AB10" s="8"/>
      <c r="AC10" s="42"/>
      <c r="AD10" s="42"/>
      <c r="AE10" s="42"/>
      <c r="AF10" s="42"/>
      <c r="AG10" s="42"/>
      <c r="AH10" s="42"/>
      <c r="AI10" s="42"/>
      <c r="AJ10" s="42"/>
      <c r="AK10" s="42"/>
      <c r="AL10" s="42"/>
      <c r="AN10" s="2" t="s">
        <v>5433</v>
      </c>
      <c r="AO10" s="2"/>
      <c r="AP10" s="2"/>
      <c r="AQ10" s="2"/>
      <c r="AR10" s="2"/>
      <c r="AS10" s="2"/>
      <c r="AT10" s="2"/>
      <c r="AU10" s="2"/>
      <c r="AV10" s="2"/>
      <c r="AW10" s="2"/>
      <c r="AX10" s="2"/>
      <c r="AY10" s="46"/>
      <c r="AZ10" s="47"/>
      <c r="BA10" s="5"/>
      <c r="BB10" s="5"/>
      <c r="BC10" s="5"/>
      <c r="BD10" s="5"/>
      <c r="BE10" s="5"/>
      <c r="BF10" s="5"/>
      <c r="BG10" s="5"/>
      <c r="BH10" s="5"/>
      <c r="BI10" s="5"/>
      <c r="BJ10" s="5"/>
      <c r="BK10" s="46"/>
      <c r="BL10" s="39"/>
      <c r="BM10" s="5"/>
      <c r="BN10" s="5"/>
      <c r="BO10" s="5"/>
      <c r="BP10" s="5"/>
      <c r="BQ10" s="5"/>
      <c r="BR10" s="5"/>
      <c r="BS10" s="5"/>
      <c r="BT10" s="5"/>
      <c r="BU10" s="5"/>
      <c r="BV10" s="5"/>
    </row>
    <row r="11" customHeight="1" spans="1:74">
      <c r="A11" s="3"/>
      <c r="B11" s="6" t="s">
        <v>5434</v>
      </c>
      <c r="C11" s="6"/>
      <c r="D11" s="6"/>
      <c r="E11" s="6"/>
      <c r="F11" s="6"/>
      <c r="G11" s="6"/>
      <c r="H11" s="6"/>
      <c r="I11" s="6"/>
      <c r="J11" s="6"/>
      <c r="K11" s="6"/>
      <c r="M11" s="19" t="s">
        <v>5435</v>
      </c>
      <c r="N11" s="19"/>
      <c r="O11" s="20" t="s">
        <v>5436</v>
      </c>
      <c r="P11" s="20"/>
      <c r="Q11" s="20"/>
      <c r="R11" s="20"/>
      <c r="S11" s="20"/>
      <c r="T11" s="20"/>
      <c r="U11" s="20"/>
      <c r="V11" s="20"/>
      <c r="W11" s="20"/>
      <c r="X11" s="33"/>
      <c r="AB11" s="25" t="s">
        <v>5437</v>
      </c>
      <c r="AC11" s="43" t="s">
        <v>5438</v>
      </c>
      <c r="AD11" s="43"/>
      <c r="AE11" s="43"/>
      <c r="AF11" s="43"/>
      <c r="AG11" s="43"/>
      <c r="AH11" s="43"/>
      <c r="AI11" s="43"/>
      <c r="AJ11" s="43"/>
      <c r="AK11" s="43"/>
      <c r="AL11" s="43"/>
      <c r="AN11" s="44" t="s">
        <v>5413</v>
      </c>
      <c r="AO11" s="5" t="s">
        <v>5439</v>
      </c>
      <c r="AP11" s="5"/>
      <c r="AQ11" s="5"/>
      <c r="AR11" s="5"/>
      <c r="AS11" s="5"/>
      <c r="AT11" s="5"/>
      <c r="AU11" s="5"/>
      <c r="AV11" s="5"/>
      <c r="AW11" s="5"/>
      <c r="AX11" s="5"/>
      <c r="AY11" s="46"/>
      <c r="AZ11" s="47"/>
      <c r="BA11" s="4" t="s">
        <v>5440</v>
      </c>
      <c r="BB11" s="4"/>
      <c r="BC11" s="4"/>
      <c r="BD11" s="4"/>
      <c r="BE11" s="4"/>
      <c r="BF11" s="4"/>
      <c r="BG11" s="4"/>
      <c r="BH11" s="4"/>
      <c r="BI11" s="4"/>
      <c r="BJ11" s="4"/>
      <c r="BK11" s="46"/>
      <c r="BL11" s="39"/>
      <c r="BM11" s="5"/>
      <c r="BN11" s="5"/>
      <c r="BO11" s="5"/>
      <c r="BP11" s="5"/>
      <c r="BQ11" s="5"/>
      <c r="BR11" s="5"/>
      <c r="BS11" s="5"/>
      <c r="BT11" s="5"/>
      <c r="BU11" s="5"/>
      <c r="BV11" s="5"/>
    </row>
    <row r="12" customHeight="1" spans="1:74">
      <c r="A12" s="3"/>
      <c r="B12" s="6"/>
      <c r="C12" s="6"/>
      <c r="D12" s="6"/>
      <c r="E12" s="6"/>
      <c r="F12" s="6"/>
      <c r="G12" s="6"/>
      <c r="H12" s="6"/>
      <c r="I12" s="6"/>
      <c r="J12" s="6"/>
      <c r="K12" s="6"/>
      <c r="M12" s="19"/>
      <c r="N12" s="19"/>
      <c r="O12" s="20"/>
      <c r="P12" s="20"/>
      <c r="Q12" s="20"/>
      <c r="R12" s="20"/>
      <c r="S12" s="20"/>
      <c r="T12" s="20"/>
      <c r="U12" s="20"/>
      <c r="V12" s="20"/>
      <c r="W12" s="20"/>
      <c r="X12" s="33"/>
      <c r="AB12" s="25"/>
      <c r="AC12" s="43" t="s">
        <v>5441</v>
      </c>
      <c r="AD12" s="43"/>
      <c r="AE12" s="43"/>
      <c r="AF12" s="43"/>
      <c r="AG12" s="43"/>
      <c r="AH12" s="43"/>
      <c r="AI12" s="43"/>
      <c r="AJ12" s="43"/>
      <c r="AK12" s="43"/>
      <c r="AL12" s="43"/>
      <c r="AN12" s="44"/>
      <c r="AO12" s="4" t="s">
        <v>5442</v>
      </c>
      <c r="AP12" s="5"/>
      <c r="AQ12" s="5"/>
      <c r="AR12" s="5"/>
      <c r="AS12" s="5"/>
      <c r="AT12" s="5"/>
      <c r="AU12" s="5"/>
      <c r="AV12" s="5"/>
      <c r="AW12" s="5"/>
      <c r="AX12" s="5"/>
      <c r="AY12" s="46"/>
      <c r="AZ12" s="47"/>
      <c r="BA12" s="4"/>
      <c r="BB12" s="4"/>
      <c r="BC12" s="4"/>
      <c r="BD12" s="4"/>
      <c r="BE12" s="4"/>
      <c r="BF12" s="4"/>
      <c r="BG12" s="4"/>
      <c r="BH12" s="4"/>
      <c r="BI12" s="4"/>
      <c r="BJ12" s="4"/>
      <c r="BK12" s="46"/>
      <c r="BL12" s="39"/>
      <c r="BM12" s="5"/>
      <c r="BN12" s="5"/>
      <c r="BO12" s="5"/>
      <c r="BP12" s="5"/>
      <c r="BQ12" s="5"/>
      <c r="BR12" s="5"/>
      <c r="BS12" s="5"/>
      <c r="BT12" s="5"/>
      <c r="BU12" s="5"/>
      <c r="BV12" s="5"/>
    </row>
    <row r="13" customHeight="1" spans="1:74">
      <c r="A13" s="3"/>
      <c r="B13" s="6"/>
      <c r="C13" s="6"/>
      <c r="D13" s="6"/>
      <c r="E13" s="6"/>
      <c r="F13" s="6"/>
      <c r="G13" s="6"/>
      <c r="H13" s="6"/>
      <c r="I13" s="6"/>
      <c r="J13" s="6"/>
      <c r="K13" s="6"/>
      <c r="M13" s="19" t="s">
        <v>5443</v>
      </c>
      <c r="N13" s="19"/>
      <c r="O13" s="20" t="s">
        <v>5444</v>
      </c>
      <c r="P13" s="20"/>
      <c r="Q13" s="20"/>
      <c r="R13" s="20"/>
      <c r="S13" s="20"/>
      <c r="T13" s="20"/>
      <c r="U13" s="20"/>
      <c r="V13" s="20"/>
      <c r="W13" s="20"/>
      <c r="X13" s="33"/>
      <c r="AB13" s="2" t="s">
        <v>5445</v>
      </c>
      <c r="AC13" s="2"/>
      <c r="AD13" s="2"/>
      <c r="AE13" s="2"/>
      <c r="AF13" s="2"/>
      <c r="AG13" s="2"/>
      <c r="AH13" s="2"/>
      <c r="AI13" s="2"/>
      <c r="AJ13" s="2"/>
      <c r="AK13" s="2"/>
      <c r="AL13" s="2"/>
      <c r="AN13" s="44"/>
      <c r="AO13" s="5"/>
      <c r="AP13" s="5"/>
      <c r="AQ13" s="5"/>
      <c r="AR13" s="5"/>
      <c r="AS13" s="5"/>
      <c r="AT13" s="5"/>
      <c r="AU13" s="5"/>
      <c r="AV13" s="5"/>
      <c r="AW13" s="5"/>
      <c r="AX13" s="5"/>
      <c r="AY13" s="46"/>
      <c r="AZ13" s="47"/>
      <c r="BA13" s="5" t="s">
        <v>5446</v>
      </c>
      <c r="BB13" s="5"/>
      <c r="BC13" s="5"/>
      <c r="BD13" s="5"/>
      <c r="BE13" s="5"/>
      <c r="BF13" s="5"/>
      <c r="BG13" s="5"/>
      <c r="BH13" s="5"/>
      <c r="BI13" s="5"/>
      <c r="BJ13" s="5"/>
      <c r="BK13" s="46"/>
      <c r="BL13" s="39"/>
      <c r="BM13" s="5"/>
      <c r="BN13" s="5"/>
      <c r="BO13" s="5"/>
      <c r="BP13" s="5"/>
      <c r="BQ13" s="5"/>
      <c r="BR13" s="5"/>
      <c r="BS13" s="5"/>
      <c r="BT13" s="5"/>
      <c r="BU13" s="5"/>
      <c r="BV13" s="5"/>
    </row>
    <row r="14" customHeight="1" spans="1:74">
      <c r="A14" s="3"/>
      <c r="B14" s="6"/>
      <c r="C14" s="6"/>
      <c r="D14" s="6"/>
      <c r="E14" s="6"/>
      <c r="F14" s="6"/>
      <c r="G14" s="6"/>
      <c r="H14" s="6"/>
      <c r="I14" s="6"/>
      <c r="J14" s="6"/>
      <c r="K14" s="6"/>
      <c r="M14" s="19"/>
      <c r="N14" s="19"/>
      <c r="O14" s="20"/>
      <c r="P14" s="20"/>
      <c r="Q14" s="20"/>
      <c r="R14" s="20"/>
      <c r="S14" s="20"/>
      <c r="T14" s="20"/>
      <c r="U14" s="20"/>
      <c r="V14" s="20"/>
      <c r="W14" s="20"/>
      <c r="X14" s="33"/>
      <c r="AB14" s="8" t="s">
        <v>5413</v>
      </c>
      <c r="AC14" s="4" t="s">
        <v>5447</v>
      </c>
      <c r="AD14" s="4"/>
      <c r="AE14" s="4"/>
      <c r="AF14" s="4"/>
      <c r="AG14" s="4"/>
      <c r="AH14" s="4"/>
      <c r="AI14" s="4"/>
      <c r="AJ14" s="4"/>
      <c r="AK14" s="4"/>
      <c r="AL14" s="4"/>
      <c r="AN14" s="44"/>
      <c r="AO14" s="4" t="s">
        <v>5448</v>
      </c>
      <c r="AP14" s="5"/>
      <c r="AQ14" s="5"/>
      <c r="AR14" s="5"/>
      <c r="AS14" s="5"/>
      <c r="AT14" s="5"/>
      <c r="AU14" s="5"/>
      <c r="AV14" s="5"/>
      <c r="AW14" s="5"/>
      <c r="AX14" s="5"/>
      <c r="AY14" s="46"/>
      <c r="AZ14" s="47"/>
      <c r="BA14" s="5" t="s">
        <v>5449</v>
      </c>
      <c r="BB14" s="5"/>
      <c r="BC14" s="5"/>
      <c r="BD14" s="5"/>
      <c r="BE14" s="5"/>
      <c r="BF14" s="5"/>
      <c r="BG14" s="5"/>
      <c r="BH14" s="5"/>
      <c r="BI14" s="5"/>
      <c r="BJ14" s="5"/>
      <c r="BK14" s="46"/>
      <c r="BL14" s="39"/>
      <c r="BM14" s="5"/>
      <c r="BN14" s="5"/>
      <c r="BO14" s="5"/>
      <c r="BP14" s="5"/>
      <c r="BQ14" s="5"/>
      <c r="BR14" s="5"/>
      <c r="BS14" s="5"/>
      <c r="BT14" s="5"/>
      <c r="BU14" s="5"/>
      <c r="BV14" s="5"/>
    </row>
    <row r="15" customHeight="1" spans="1:74">
      <c r="A15" s="3"/>
      <c r="B15" s="6"/>
      <c r="C15" s="6"/>
      <c r="D15" s="6"/>
      <c r="E15" s="6"/>
      <c r="F15" s="6"/>
      <c r="G15" s="6"/>
      <c r="H15" s="6"/>
      <c r="I15" s="6"/>
      <c r="J15" s="6"/>
      <c r="K15" s="6"/>
      <c r="M15" s="19" t="s">
        <v>5450</v>
      </c>
      <c r="N15" s="19"/>
      <c r="O15" s="20" t="s">
        <v>5451</v>
      </c>
      <c r="P15" s="20"/>
      <c r="Q15" s="20"/>
      <c r="R15" s="20"/>
      <c r="S15" s="20"/>
      <c r="T15" s="32" t="s">
        <v>5452</v>
      </c>
      <c r="U15" s="32"/>
      <c r="V15" s="32"/>
      <c r="W15" s="32"/>
      <c r="X15" s="34" t="s">
        <v>5453</v>
      </c>
      <c r="Y15" s="34"/>
      <c r="Z15" s="34"/>
      <c r="AB15" s="8"/>
      <c r="AC15" s="4" t="s">
        <v>5454</v>
      </c>
      <c r="AD15" s="4"/>
      <c r="AE15" s="4"/>
      <c r="AF15" s="4"/>
      <c r="AG15" s="4"/>
      <c r="AH15" s="4"/>
      <c r="AI15" s="4"/>
      <c r="AJ15" s="4"/>
      <c r="AK15" s="4"/>
      <c r="AL15" s="4"/>
      <c r="AN15" s="44"/>
      <c r="AO15" s="5"/>
      <c r="AP15" s="5"/>
      <c r="AQ15" s="5"/>
      <c r="AR15" s="5"/>
      <c r="AS15" s="5"/>
      <c r="AT15" s="5"/>
      <c r="AU15" s="5"/>
      <c r="AV15" s="5"/>
      <c r="AW15" s="5"/>
      <c r="AX15" s="5"/>
      <c r="AY15" s="46"/>
      <c r="AZ15" s="47"/>
      <c r="BA15" s="5" t="s">
        <v>5455</v>
      </c>
      <c r="BB15" s="5"/>
      <c r="BC15" s="5"/>
      <c r="BD15" s="5"/>
      <c r="BE15" s="5"/>
      <c r="BF15" s="5"/>
      <c r="BG15" s="5"/>
      <c r="BH15" s="5"/>
      <c r="BI15" s="5"/>
      <c r="BJ15" s="5"/>
      <c r="BK15" s="46"/>
      <c r="BL15" s="2" t="s">
        <v>5456</v>
      </c>
      <c r="BM15" s="2"/>
      <c r="BN15" s="2"/>
      <c r="BO15" s="2"/>
      <c r="BP15" s="2"/>
      <c r="BQ15" s="2"/>
      <c r="BR15" s="2"/>
      <c r="BS15" s="2"/>
      <c r="BT15" s="2"/>
      <c r="BU15" s="2"/>
      <c r="BV15" s="2"/>
    </row>
    <row r="16" customHeight="1" spans="1:74">
      <c r="A16" s="3"/>
      <c r="B16" s="5" t="s">
        <v>5457</v>
      </c>
      <c r="C16" s="5"/>
      <c r="D16" s="5"/>
      <c r="E16" s="5"/>
      <c r="F16" s="5"/>
      <c r="G16" s="5"/>
      <c r="H16" s="5"/>
      <c r="I16" s="5"/>
      <c r="J16" s="5"/>
      <c r="K16" s="5"/>
      <c r="M16" s="19"/>
      <c r="N16" s="19"/>
      <c r="O16" s="20"/>
      <c r="P16" s="20"/>
      <c r="Q16" s="20"/>
      <c r="R16" s="20"/>
      <c r="S16" s="20"/>
      <c r="T16" s="32"/>
      <c r="U16" s="32"/>
      <c r="V16" s="32"/>
      <c r="W16" s="32"/>
      <c r="X16" s="34"/>
      <c r="Y16" s="34"/>
      <c r="Z16" s="34"/>
      <c r="AB16" s="8"/>
      <c r="AC16" s="4" t="s">
        <v>5458</v>
      </c>
      <c r="AD16" s="4"/>
      <c r="AE16" s="4"/>
      <c r="AF16" s="4"/>
      <c r="AG16" s="4"/>
      <c r="AH16" s="4"/>
      <c r="AI16" s="4"/>
      <c r="AJ16" s="4"/>
      <c r="AK16" s="4"/>
      <c r="AL16" s="4"/>
      <c r="AN16" s="44"/>
      <c r="AO16" s="5"/>
      <c r="AP16" s="5"/>
      <c r="AQ16" s="5"/>
      <c r="AR16" s="5"/>
      <c r="AS16" s="5"/>
      <c r="AT16" s="5"/>
      <c r="AU16" s="5"/>
      <c r="AV16" s="5"/>
      <c r="AW16" s="5"/>
      <c r="AX16" s="5"/>
      <c r="AY16" s="46"/>
      <c r="AZ16" s="47"/>
      <c r="BA16" s="5" t="s">
        <v>5459</v>
      </c>
      <c r="BB16" s="5"/>
      <c r="BC16" s="5"/>
      <c r="BD16" s="5"/>
      <c r="BE16" s="5"/>
      <c r="BF16" s="5"/>
      <c r="BG16" s="5"/>
      <c r="BH16" s="5"/>
      <c r="BI16" s="5"/>
      <c r="BJ16" s="5"/>
      <c r="BK16" s="46"/>
      <c r="BL16" s="39" t="s">
        <v>5460</v>
      </c>
      <c r="BM16" s="4" t="s">
        <v>5461</v>
      </c>
      <c r="BN16" s="4"/>
      <c r="BO16" s="4"/>
      <c r="BP16" s="4"/>
      <c r="BQ16" s="4"/>
      <c r="BR16" s="4"/>
      <c r="BS16" s="4"/>
      <c r="BT16" s="4"/>
      <c r="BU16" s="4"/>
      <c r="BV16" s="4"/>
    </row>
    <row r="17" customHeight="1" spans="1:74">
      <c r="A17" s="3"/>
      <c r="B17" s="4" t="s">
        <v>5462</v>
      </c>
      <c r="C17" s="5"/>
      <c r="D17" s="5"/>
      <c r="E17" s="5"/>
      <c r="F17" s="5"/>
      <c r="G17" s="5"/>
      <c r="H17" s="5"/>
      <c r="I17" s="5"/>
      <c r="J17" s="5"/>
      <c r="K17" s="5"/>
      <c r="M17" s="19" t="s">
        <v>5463</v>
      </c>
      <c r="N17" s="19"/>
      <c r="O17" s="20" t="s">
        <v>5464</v>
      </c>
      <c r="P17" s="20"/>
      <c r="Q17" s="20"/>
      <c r="R17" s="20"/>
      <c r="S17" s="20"/>
      <c r="T17" s="20"/>
      <c r="U17" s="20"/>
      <c r="V17" s="20"/>
      <c r="W17" s="20"/>
      <c r="X17" s="33"/>
      <c r="AB17" s="38" t="s">
        <v>124</v>
      </c>
      <c r="AC17" s="11" t="s">
        <v>5465</v>
      </c>
      <c r="AD17" s="11"/>
      <c r="AE17" s="11"/>
      <c r="AF17" s="11"/>
      <c r="AG17" s="11"/>
      <c r="AH17" s="11"/>
      <c r="AI17" s="11"/>
      <c r="AJ17" s="11"/>
      <c r="AK17" s="11"/>
      <c r="AL17" s="11"/>
      <c r="AN17" s="39" t="s">
        <v>5466</v>
      </c>
      <c r="AO17" s="4" t="s">
        <v>5467</v>
      </c>
      <c r="AP17" s="4"/>
      <c r="AQ17" s="4"/>
      <c r="AR17" s="4"/>
      <c r="AS17" s="4"/>
      <c r="AT17" s="4"/>
      <c r="AU17" s="4"/>
      <c r="AV17" s="4"/>
      <c r="AW17" s="4"/>
      <c r="AX17" s="4"/>
      <c r="AY17" s="46"/>
      <c r="AZ17" s="47"/>
      <c r="BA17" s="4" t="s">
        <v>5468</v>
      </c>
      <c r="BB17" s="4"/>
      <c r="BC17" s="4"/>
      <c r="BD17" s="4"/>
      <c r="BE17" s="4"/>
      <c r="BF17" s="4"/>
      <c r="BG17" s="4"/>
      <c r="BH17" s="4"/>
      <c r="BI17" s="4"/>
      <c r="BJ17" s="4"/>
      <c r="BK17" s="46"/>
      <c r="BL17" s="39"/>
      <c r="BM17" s="4"/>
      <c r="BN17" s="4"/>
      <c r="BO17" s="4"/>
      <c r="BP17" s="4"/>
      <c r="BQ17" s="4"/>
      <c r="BR17" s="4"/>
      <c r="BS17" s="4"/>
      <c r="BT17" s="4"/>
      <c r="BU17" s="4"/>
      <c r="BV17" s="4"/>
    </row>
    <row r="18" customHeight="1" spans="1:74">
      <c r="A18" s="3"/>
      <c r="B18" s="5"/>
      <c r="C18" s="5"/>
      <c r="D18" s="5"/>
      <c r="E18" s="5"/>
      <c r="F18" s="5"/>
      <c r="G18" s="5"/>
      <c r="H18" s="5"/>
      <c r="I18" s="5"/>
      <c r="J18" s="5"/>
      <c r="K18" s="5"/>
      <c r="M18" s="19"/>
      <c r="N18" s="19"/>
      <c r="O18" s="20"/>
      <c r="P18" s="20"/>
      <c r="Q18" s="20"/>
      <c r="R18" s="20"/>
      <c r="S18" s="20"/>
      <c r="T18" s="20"/>
      <c r="U18" s="20"/>
      <c r="V18" s="20"/>
      <c r="W18" s="20"/>
      <c r="X18" s="33"/>
      <c r="AB18" s="2" t="s">
        <v>5469</v>
      </c>
      <c r="AC18" s="2"/>
      <c r="AD18" s="2"/>
      <c r="AE18" s="2"/>
      <c r="AF18" s="2"/>
      <c r="AG18" s="2"/>
      <c r="AH18" s="2"/>
      <c r="AI18" s="2"/>
      <c r="AJ18" s="2"/>
      <c r="AK18" s="2"/>
      <c r="AL18" s="2"/>
      <c r="AN18" s="39"/>
      <c r="AO18" s="4"/>
      <c r="AP18" s="4"/>
      <c r="AQ18" s="4"/>
      <c r="AR18" s="4"/>
      <c r="AS18" s="4"/>
      <c r="AT18" s="4"/>
      <c r="AU18" s="4"/>
      <c r="AV18" s="4"/>
      <c r="AW18" s="4"/>
      <c r="AX18" s="4"/>
      <c r="AY18" s="46"/>
      <c r="AZ18" s="47"/>
      <c r="BA18" s="4"/>
      <c r="BB18" s="4"/>
      <c r="BC18" s="4"/>
      <c r="BD18" s="4"/>
      <c r="BE18" s="4"/>
      <c r="BF18" s="4"/>
      <c r="BG18" s="4"/>
      <c r="BH18" s="4"/>
      <c r="BI18" s="4"/>
      <c r="BJ18" s="4"/>
      <c r="BK18" s="46"/>
      <c r="BL18" s="39"/>
      <c r="BM18" s="4"/>
      <c r="BN18" s="4"/>
      <c r="BO18" s="4"/>
      <c r="BP18" s="4"/>
      <c r="BQ18" s="4"/>
      <c r="BR18" s="4"/>
      <c r="BS18" s="4"/>
      <c r="BT18" s="4"/>
      <c r="BU18" s="4"/>
      <c r="BV18" s="4"/>
    </row>
    <row r="19" customHeight="1" spans="1:74">
      <c r="A19" s="7" t="s">
        <v>5470</v>
      </c>
      <c r="B19" s="4" t="s">
        <v>5471</v>
      </c>
      <c r="C19" s="4"/>
      <c r="D19" s="4"/>
      <c r="E19" s="4"/>
      <c r="F19" s="4"/>
      <c r="G19" s="4"/>
      <c r="H19" s="4"/>
      <c r="I19" s="4"/>
      <c r="J19" s="4"/>
      <c r="K19" s="4"/>
      <c r="M19" s="19" t="s">
        <v>5472</v>
      </c>
      <c r="N19" s="19"/>
      <c r="O19" s="20" t="s">
        <v>5473</v>
      </c>
      <c r="P19" s="20"/>
      <c r="Q19" s="20"/>
      <c r="R19" s="20"/>
      <c r="S19" s="20"/>
      <c r="T19" s="32" t="s">
        <v>5474</v>
      </c>
      <c r="U19" s="32"/>
      <c r="V19" s="32"/>
      <c r="W19" s="32"/>
      <c r="AB19" s="8" t="s">
        <v>5413</v>
      </c>
      <c r="AC19" s="4" t="s">
        <v>5475</v>
      </c>
      <c r="AD19" s="4"/>
      <c r="AE19" s="4"/>
      <c r="AF19" s="4"/>
      <c r="AG19" s="4"/>
      <c r="AH19" s="4"/>
      <c r="AI19" s="4"/>
      <c r="AJ19" s="4"/>
      <c r="AK19" s="4"/>
      <c r="AL19" s="4"/>
      <c r="AN19" s="39"/>
      <c r="AO19" s="4"/>
      <c r="AP19" s="4"/>
      <c r="AQ19" s="4"/>
      <c r="AR19" s="4"/>
      <c r="AS19" s="4"/>
      <c r="AT19" s="4"/>
      <c r="AU19" s="4"/>
      <c r="AV19" s="4"/>
      <c r="AW19" s="4"/>
      <c r="AX19" s="4"/>
      <c r="AY19" s="46"/>
      <c r="AZ19" s="47"/>
      <c r="BA19" s="4"/>
      <c r="BB19" s="4"/>
      <c r="BC19" s="4"/>
      <c r="BD19" s="4"/>
      <c r="BE19" s="4"/>
      <c r="BF19" s="4"/>
      <c r="BG19" s="4"/>
      <c r="BH19" s="4"/>
      <c r="BI19" s="4"/>
      <c r="BJ19" s="4"/>
      <c r="BK19" s="46"/>
      <c r="BL19" s="39"/>
      <c r="BM19" s="4"/>
      <c r="BN19" s="4"/>
      <c r="BO19" s="4"/>
      <c r="BP19" s="4"/>
      <c r="BQ19" s="4"/>
      <c r="BR19" s="4"/>
      <c r="BS19" s="4"/>
      <c r="BT19" s="4"/>
      <c r="BU19" s="4"/>
      <c r="BV19" s="4"/>
    </row>
    <row r="20" customHeight="1" spans="1:74">
      <c r="A20" s="8" t="s">
        <v>5466</v>
      </c>
      <c r="B20" s="4" t="s">
        <v>5476</v>
      </c>
      <c r="C20" s="4"/>
      <c r="D20" s="4"/>
      <c r="E20" s="4"/>
      <c r="F20" s="4"/>
      <c r="G20" s="4"/>
      <c r="H20" s="4"/>
      <c r="I20" s="4"/>
      <c r="J20" s="4"/>
      <c r="K20" s="4"/>
      <c r="M20" s="19"/>
      <c r="N20" s="19"/>
      <c r="O20" s="20"/>
      <c r="P20" s="20"/>
      <c r="Q20" s="20"/>
      <c r="R20" s="20"/>
      <c r="S20" s="20"/>
      <c r="T20" s="32"/>
      <c r="U20" s="32"/>
      <c r="V20" s="32"/>
      <c r="W20" s="32"/>
      <c r="AB20" s="8"/>
      <c r="AC20" s="4" t="s">
        <v>5477</v>
      </c>
      <c r="AD20" s="4"/>
      <c r="AE20" s="4"/>
      <c r="AF20" s="4"/>
      <c r="AG20" s="4"/>
      <c r="AH20" s="4"/>
      <c r="AI20" s="4"/>
      <c r="AJ20" s="4"/>
      <c r="AK20" s="4"/>
      <c r="AL20" s="4"/>
      <c r="AN20" s="27" t="s">
        <v>5424</v>
      </c>
      <c r="AO20" s="5" t="s">
        <v>5478</v>
      </c>
      <c r="AP20" s="5"/>
      <c r="AQ20" s="5"/>
      <c r="AR20" s="5"/>
      <c r="AS20" s="5"/>
      <c r="AT20" s="5"/>
      <c r="AU20" s="5"/>
      <c r="AV20" s="5"/>
      <c r="AW20" s="5"/>
      <c r="AX20" s="5"/>
      <c r="AY20" s="46"/>
      <c r="AZ20" s="45" t="s">
        <v>5470</v>
      </c>
      <c r="BA20" s="5" t="s">
        <v>5479</v>
      </c>
      <c r="BB20" s="5"/>
      <c r="BC20" s="5"/>
      <c r="BD20" s="5"/>
      <c r="BE20" s="5"/>
      <c r="BF20" s="5"/>
      <c r="BG20" s="5"/>
      <c r="BH20" s="5"/>
      <c r="BI20" s="5"/>
      <c r="BJ20" s="5"/>
      <c r="BK20" s="46"/>
      <c r="BL20" s="39"/>
      <c r="BM20" s="4"/>
      <c r="BN20" s="4"/>
      <c r="BO20" s="4"/>
      <c r="BP20" s="4"/>
      <c r="BQ20" s="4"/>
      <c r="BR20" s="4"/>
      <c r="BS20" s="4"/>
      <c r="BT20" s="4"/>
      <c r="BU20" s="4"/>
      <c r="BV20" s="4"/>
    </row>
    <row r="21" customHeight="1" spans="1:74">
      <c r="A21" s="8"/>
      <c r="B21" s="4"/>
      <c r="C21" s="4"/>
      <c r="D21" s="4"/>
      <c r="E21" s="4"/>
      <c r="F21" s="4"/>
      <c r="G21" s="4"/>
      <c r="H21" s="4"/>
      <c r="I21" s="4"/>
      <c r="J21" s="4"/>
      <c r="K21" s="4"/>
      <c r="M21" s="21" t="s">
        <v>5480</v>
      </c>
      <c r="O21" s="21"/>
      <c r="V21" s="35"/>
      <c r="AB21" s="8"/>
      <c r="AC21" s="4"/>
      <c r="AD21" s="4"/>
      <c r="AE21" s="4"/>
      <c r="AF21" s="4"/>
      <c r="AG21" s="4"/>
      <c r="AH21" s="4"/>
      <c r="AI21" s="4"/>
      <c r="AJ21" s="4"/>
      <c r="AK21" s="4"/>
      <c r="AL21" s="4"/>
      <c r="AN21" s="27" t="s">
        <v>5437</v>
      </c>
      <c r="AO21" s="5" t="s">
        <v>5481</v>
      </c>
      <c r="AP21" s="5"/>
      <c r="AQ21" s="5"/>
      <c r="AR21" s="5"/>
      <c r="AS21" s="5"/>
      <c r="AT21" s="5"/>
      <c r="AU21" s="5"/>
      <c r="AV21" s="5"/>
      <c r="AW21" s="5"/>
      <c r="AX21" s="5"/>
      <c r="AY21" s="46"/>
      <c r="AZ21" s="8" t="s">
        <v>5482</v>
      </c>
      <c r="BA21" s="5" t="s">
        <v>5483</v>
      </c>
      <c r="BB21" s="5"/>
      <c r="BC21" s="5"/>
      <c r="BD21" s="5"/>
      <c r="BE21" s="5"/>
      <c r="BF21" s="5"/>
      <c r="BG21" s="5"/>
      <c r="BH21" s="5"/>
      <c r="BI21" s="5"/>
      <c r="BJ21" s="5"/>
      <c r="BK21" s="46"/>
      <c r="BL21" s="39"/>
      <c r="BM21" s="4"/>
      <c r="BN21" s="4"/>
      <c r="BO21" s="4"/>
      <c r="BP21" s="4"/>
      <c r="BQ21" s="4"/>
      <c r="BR21" s="4"/>
      <c r="BS21" s="4"/>
      <c r="BT21" s="4"/>
      <c r="BU21" s="4"/>
      <c r="BV21" s="4"/>
    </row>
    <row r="22" customHeight="1" spans="1:74">
      <c r="A22" s="8"/>
      <c r="B22" s="9" t="s">
        <v>5484</v>
      </c>
      <c r="C22" s="9"/>
      <c r="D22" s="9"/>
      <c r="E22" s="9"/>
      <c r="F22" s="9"/>
      <c r="G22" s="9"/>
      <c r="H22" s="9"/>
      <c r="I22" s="9"/>
      <c r="J22" s="9"/>
      <c r="K22" s="9"/>
      <c r="M22" s="22" t="s">
        <v>5485</v>
      </c>
      <c r="N22" s="22"/>
      <c r="O22" s="22"/>
      <c r="P22" s="22"/>
      <c r="Q22" s="22"/>
      <c r="R22" s="22"/>
      <c r="S22" s="22"/>
      <c r="T22" s="22"/>
      <c r="U22" s="22"/>
      <c r="V22" s="22"/>
      <c r="W22" s="22"/>
      <c r="AB22" s="8"/>
      <c r="AC22" s="4" t="s">
        <v>5486</v>
      </c>
      <c r="AD22" s="4"/>
      <c r="AE22" s="4"/>
      <c r="AF22" s="4"/>
      <c r="AG22" s="4"/>
      <c r="AH22" s="4"/>
      <c r="AI22" s="4"/>
      <c r="AJ22" s="4"/>
      <c r="AK22" s="4"/>
      <c r="AL22" s="4"/>
      <c r="AN22" s="27" t="s">
        <v>5487</v>
      </c>
      <c r="AO22" s="4" t="s">
        <v>5488</v>
      </c>
      <c r="AP22" s="4"/>
      <c r="AQ22" s="4"/>
      <c r="AR22" s="4"/>
      <c r="AS22" s="4"/>
      <c r="AT22" s="4"/>
      <c r="AU22" s="4"/>
      <c r="AV22" s="4"/>
      <c r="AW22" s="4"/>
      <c r="AX22" s="4"/>
      <c r="AY22" s="46"/>
      <c r="AZ22" s="8"/>
      <c r="BA22" s="5" t="s">
        <v>5489</v>
      </c>
      <c r="BB22" s="5"/>
      <c r="BC22" s="5"/>
      <c r="BD22" s="5"/>
      <c r="BE22" s="5"/>
      <c r="BF22" s="5"/>
      <c r="BG22" s="5"/>
      <c r="BH22" s="5"/>
      <c r="BI22" s="5"/>
      <c r="BJ22" s="5"/>
      <c r="BK22" s="46"/>
      <c r="BL22" s="39"/>
      <c r="BM22" s="5" t="s">
        <v>5490</v>
      </c>
      <c r="BN22" s="5"/>
      <c r="BO22" s="5"/>
      <c r="BP22" s="5"/>
      <c r="BQ22" s="5"/>
      <c r="BR22" s="5"/>
      <c r="BS22" s="5"/>
      <c r="BT22" s="5"/>
      <c r="BU22" s="5"/>
      <c r="BV22" s="5"/>
    </row>
    <row r="23" customHeight="1" spans="1:74">
      <c r="A23" s="8"/>
      <c r="B23" s="10" t="s">
        <v>5491</v>
      </c>
      <c r="C23" s="9"/>
      <c r="D23" s="9"/>
      <c r="E23" s="9"/>
      <c r="F23" s="9"/>
      <c r="G23" s="9"/>
      <c r="H23" s="9"/>
      <c r="I23" s="9"/>
      <c r="J23" s="9"/>
      <c r="K23" s="9"/>
      <c r="M23" s="18" t="s">
        <v>5492</v>
      </c>
      <c r="AB23" s="8"/>
      <c r="AC23" s="4"/>
      <c r="AD23" s="4"/>
      <c r="AE23" s="4"/>
      <c r="AF23" s="4"/>
      <c r="AG23" s="4"/>
      <c r="AH23" s="4"/>
      <c r="AI23" s="4"/>
      <c r="AJ23" s="4"/>
      <c r="AK23" s="4"/>
      <c r="AL23" s="4"/>
      <c r="AN23" s="45" t="s">
        <v>5429</v>
      </c>
      <c r="AO23" s="4" t="s">
        <v>5493</v>
      </c>
      <c r="AP23" s="4"/>
      <c r="AQ23" s="4"/>
      <c r="AR23" s="4"/>
      <c r="AS23" s="4"/>
      <c r="AT23" s="4"/>
      <c r="AU23" s="4"/>
      <c r="AV23" s="4"/>
      <c r="AW23" s="4"/>
      <c r="AX23" s="4"/>
      <c r="AY23" s="46"/>
      <c r="AZ23" s="8"/>
      <c r="BA23" s="5" t="s">
        <v>5494</v>
      </c>
      <c r="BB23" s="5"/>
      <c r="BC23" s="5"/>
      <c r="BD23" s="5"/>
      <c r="BE23" s="5"/>
      <c r="BF23" s="5"/>
      <c r="BG23" s="5"/>
      <c r="BH23" s="5"/>
      <c r="BI23" s="5"/>
      <c r="BJ23" s="5"/>
      <c r="BK23" s="46"/>
      <c r="BL23" s="39"/>
      <c r="BM23" s="5" t="s">
        <v>5495</v>
      </c>
      <c r="BN23" s="5"/>
      <c r="BO23" s="5"/>
      <c r="BP23" s="5"/>
      <c r="BQ23" s="5"/>
      <c r="BR23" s="5"/>
      <c r="BS23" s="5"/>
      <c r="BT23" s="5"/>
      <c r="BU23" s="5"/>
      <c r="BV23" s="5"/>
    </row>
    <row r="24" customHeight="1" spans="1:74">
      <c r="A24" s="8"/>
      <c r="B24" s="9"/>
      <c r="C24" s="9"/>
      <c r="D24" s="9"/>
      <c r="E24" s="9"/>
      <c r="F24" s="9"/>
      <c r="G24" s="9"/>
      <c r="H24" s="9"/>
      <c r="I24" s="9"/>
      <c r="J24" s="9"/>
      <c r="K24" s="9"/>
      <c r="AB24" s="8"/>
      <c r="AC24" s="11" t="s">
        <v>5496</v>
      </c>
      <c r="AD24" s="11"/>
      <c r="AE24" s="11"/>
      <c r="AF24" s="11"/>
      <c r="AG24" s="11"/>
      <c r="AH24" s="11"/>
      <c r="AI24" s="11"/>
      <c r="AJ24" s="11"/>
      <c r="AK24" s="11"/>
      <c r="AL24" s="11"/>
      <c r="AN24" s="39" t="s">
        <v>124</v>
      </c>
      <c r="AO24" s="11" t="s">
        <v>5497</v>
      </c>
      <c r="AP24" s="11"/>
      <c r="AQ24" s="11"/>
      <c r="AR24" s="11"/>
      <c r="AS24" s="11"/>
      <c r="AT24" s="11"/>
      <c r="AU24" s="11"/>
      <c r="AV24" s="11"/>
      <c r="AW24" s="11"/>
      <c r="AX24" s="11"/>
      <c r="AY24" s="46"/>
      <c r="AZ24" s="8"/>
      <c r="BA24" s="5" t="s">
        <v>5498</v>
      </c>
      <c r="BB24" s="5"/>
      <c r="BC24" s="5"/>
      <c r="BD24" s="5"/>
      <c r="BE24" s="5"/>
      <c r="BF24" s="5"/>
      <c r="BG24" s="5"/>
      <c r="BH24" s="5"/>
      <c r="BI24" s="5"/>
      <c r="BJ24" s="5"/>
      <c r="BK24" s="46"/>
      <c r="BL24" s="39"/>
      <c r="BM24" s="4" t="s">
        <v>5499</v>
      </c>
      <c r="BN24" s="4"/>
      <c r="BO24" s="4"/>
      <c r="BP24" s="4"/>
      <c r="BQ24" s="4"/>
      <c r="BR24" s="4"/>
      <c r="BS24" s="4"/>
      <c r="BT24" s="4"/>
      <c r="BU24" s="4"/>
      <c r="BV24" s="4"/>
    </row>
    <row r="25" customHeight="1" spans="1:74">
      <c r="A25" s="8"/>
      <c r="B25" s="4" t="s">
        <v>5500</v>
      </c>
      <c r="C25" s="4"/>
      <c r="D25" s="4"/>
      <c r="E25" s="4"/>
      <c r="F25" s="4"/>
      <c r="G25" s="4"/>
      <c r="H25" s="4"/>
      <c r="I25" s="4"/>
      <c r="J25" s="4"/>
      <c r="K25" s="4"/>
      <c r="M25" s="18" t="s">
        <v>5501</v>
      </c>
      <c r="AB25" s="8"/>
      <c r="AC25" s="11"/>
      <c r="AD25" s="11"/>
      <c r="AE25" s="11"/>
      <c r="AF25" s="11"/>
      <c r="AG25" s="11"/>
      <c r="AH25" s="11"/>
      <c r="AI25" s="11"/>
      <c r="AJ25" s="11"/>
      <c r="AK25" s="11"/>
      <c r="AL25" s="11"/>
      <c r="AN25" s="39"/>
      <c r="AO25" s="11" t="s">
        <v>5502</v>
      </c>
      <c r="AP25" s="31"/>
      <c r="AQ25" s="31"/>
      <c r="AR25" s="31"/>
      <c r="AS25" s="31"/>
      <c r="AT25" s="31"/>
      <c r="AU25" s="31"/>
      <c r="AV25" s="31"/>
      <c r="AW25" s="31"/>
      <c r="AX25" s="31"/>
      <c r="AY25" s="46"/>
      <c r="AZ25" s="8"/>
      <c r="BA25" s="51" t="s">
        <v>5503</v>
      </c>
      <c r="BB25" s="51"/>
      <c r="BC25" s="51"/>
      <c r="BD25" s="51"/>
      <c r="BE25" s="51"/>
      <c r="BF25" s="51"/>
      <c r="BG25" s="51"/>
      <c r="BH25" s="51"/>
      <c r="BI25" s="51"/>
      <c r="BJ25" s="51"/>
      <c r="BK25" s="46"/>
      <c r="BL25" s="39"/>
      <c r="BM25" s="4"/>
      <c r="BN25" s="4"/>
      <c r="BO25" s="4"/>
      <c r="BP25" s="4"/>
      <c r="BQ25" s="4"/>
      <c r="BR25" s="4"/>
      <c r="BS25" s="4"/>
      <c r="BT25" s="4"/>
      <c r="BU25" s="4"/>
      <c r="BV25" s="4"/>
    </row>
    <row r="26" customHeight="1" spans="1:74">
      <c r="A26" s="3" t="s">
        <v>5504</v>
      </c>
      <c r="B26" s="10" t="s">
        <v>5505</v>
      </c>
      <c r="C26" s="11"/>
      <c r="D26" s="11"/>
      <c r="E26" s="11"/>
      <c r="F26" s="11"/>
      <c r="G26" s="11"/>
      <c r="H26" s="11"/>
      <c r="I26" s="11"/>
      <c r="J26" s="11"/>
      <c r="K26" s="11"/>
      <c r="AB26" s="8"/>
      <c r="AC26" s="11"/>
      <c r="AD26" s="11"/>
      <c r="AE26" s="11"/>
      <c r="AF26" s="11"/>
      <c r="AG26" s="11"/>
      <c r="AH26" s="11"/>
      <c r="AI26" s="11"/>
      <c r="AJ26" s="11"/>
      <c r="AK26" s="11"/>
      <c r="AL26" s="11"/>
      <c r="AN26" s="39"/>
      <c r="AO26" s="31"/>
      <c r="AP26" s="31"/>
      <c r="AQ26" s="31"/>
      <c r="AR26" s="31"/>
      <c r="AS26" s="31"/>
      <c r="AT26" s="31"/>
      <c r="AU26" s="31"/>
      <c r="AV26" s="31"/>
      <c r="AW26" s="31"/>
      <c r="AX26" s="31"/>
      <c r="AY26" s="46"/>
      <c r="AZ26" s="2" t="s">
        <v>5506</v>
      </c>
      <c r="BA26" s="2"/>
      <c r="BB26" s="2"/>
      <c r="BC26" s="2"/>
      <c r="BD26" s="2"/>
      <c r="BE26" s="2"/>
      <c r="BF26" s="2"/>
      <c r="BG26" s="2"/>
      <c r="BH26" s="2"/>
      <c r="BI26" s="2"/>
      <c r="BJ26" s="2"/>
      <c r="BK26" s="46"/>
      <c r="BL26" s="39"/>
      <c r="BM26" s="4"/>
      <c r="BN26" s="4"/>
      <c r="BO26" s="4"/>
      <c r="BP26" s="4"/>
      <c r="BQ26" s="4"/>
      <c r="BR26" s="4"/>
      <c r="BS26" s="4"/>
      <c r="BT26" s="4"/>
      <c r="BU26" s="4"/>
      <c r="BV26" s="4"/>
    </row>
    <row r="27" customHeight="1" spans="1:74">
      <c r="A27" s="3"/>
      <c r="B27" s="11"/>
      <c r="C27" s="11"/>
      <c r="D27" s="11"/>
      <c r="E27" s="11"/>
      <c r="F27" s="11"/>
      <c r="G27" s="11"/>
      <c r="H27" s="11"/>
      <c r="I27" s="11"/>
      <c r="J27" s="11"/>
      <c r="K27" s="11"/>
      <c r="M27" s="18" t="s">
        <v>5507</v>
      </c>
      <c r="AB27" s="7" t="s">
        <v>5470</v>
      </c>
      <c r="AC27" s="4" t="s">
        <v>5508</v>
      </c>
      <c r="AD27" s="4"/>
      <c r="AE27" s="4"/>
      <c r="AF27" s="4"/>
      <c r="AG27" s="4"/>
      <c r="AH27" s="4"/>
      <c r="AI27" s="4"/>
      <c r="AJ27" s="4"/>
      <c r="AK27" s="4"/>
      <c r="AL27" s="4"/>
      <c r="AN27" s="39"/>
      <c r="AO27" s="11" t="s">
        <v>5509</v>
      </c>
      <c r="AP27" s="11"/>
      <c r="AQ27" s="11"/>
      <c r="AR27" s="11"/>
      <c r="AS27" s="11"/>
      <c r="AT27" s="11"/>
      <c r="AU27" s="11"/>
      <c r="AV27" s="11"/>
      <c r="AW27" s="11"/>
      <c r="AX27" s="11"/>
      <c r="AY27" s="46"/>
      <c r="AZ27" s="47" t="s">
        <v>5413</v>
      </c>
      <c r="BA27" s="5" t="s">
        <v>5510</v>
      </c>
      <c r="BB27" s="5"/>
      <c r="BC27" s="5"/>
      <c r="BD27" s="5"/>
      <c r="BE27" s="5"/>
      <c r="BF27" s="5"/>
      <c r="BG27" s="5"/>
      <c r="BH27" s="5"/>
      <c r="BI27" s="5"/>
      <c r="BJ27" s="5"/>
      <c r="BK27" s="46"/>
      <c r="BL27" s="39"/>
      <c r="BM27" s="4" t="s">
        <v>5511</v>
      </c>
      <c r="BN27" s="4"/>
      <c r="BO27" s="4"/>
      <c r="BP27" s="4"/>
      <c r="BQ27" s="4"/>
      <c r="BR27" s="4"/>
      <c r="BS27" s="4"/>
      <c r="BT27" s="4"/>
      <c r="BU27" s="4"/>
      <c r="BV27" s="4"/>
    </row>
    <row r="28" customHeight="1" spans="1:74">
      <c r="A28" s="3"/>
      <c r="B28" s="11"/>
      <c r="C28" s="11"/>
      <c r="D28" s="11"/>
      <c r="E28" s="11"/>
      <c r="F28" s="11"/>
      <c r="G28" s="11"/>
      <c r="H28" s="11"/>
      <c r="I28" s="11"/>
      <c r="J28" s="11"/>
      <c r="K28" s="11"/>
      <c r="L28" s="15"/>
      <c r="AB28" s="39" t="s">
        <v>5429</v>
      </c>
      <c r="AC28" s="4" t="s">
        <v>5512</v>
      </c>
      <c r="AD28" s="4"/>
      <c r="AE28" s="4"/>
      <c r="AF28" s="4"/>
      <c r="AG28" s="4"/>
      <c r="AH28" s="4"/>
      <c r="AI28" s="4"/>
      <c r="AJ28" s="4"/>
      <c r="AK28" s="4"/>
      <c r="AL28" s="4"/>
      <c r="AN28" s="39"/>
      <c r="AO28" s="11" t="s">
        <v>5513</v>
      </c>
      <c r="AP28" s="11"/>
      <c r="AQ28" s="11"/>
      <c r="AR28" s="11"/>
      <c r="AS28" s="11"/>
      <c r="AT28" s="11"/>
      <c r="AU28" s="11"/>
      <c r="AV28" s="11"/>
      <c r="AW28" s="11"/>
      <c r="AX28" s="11"/>
      <c r="AY28" s="46"/>
      <c r="AZ28" s="47"/>
      <c r="BA28" s="42" t="s">
        <v>5514</v>
      </c>
      <c r="BB28" s="43"/>
      <c r="BC28" s="43"/>
      <c r="BD28" s="43"/>
      <c r="BE28" s="43"/>
      <c r="BF28" s="43"/>
      <c r="BG28" s="43"/>
      <c r="BH28" s="43"/>
      <c r="BI28" s="43"/>
      <c r="BJ28" s="43"/>
      <c r="BK28" s="46"/>
      <c r="BL28" s="39"/>
      <c r="BM28" s="4"/>
      <c r="BN28" s="4"/>
      <c r="BO28" s="4"/>
      <c r="BP28" s="4"/>
      <c r="BQ28" s="4"/>
      <c r="BR28" s="4"/>
      <c r="BS28" s="4"/>
      <c r="BT28" s="4"/>
      <c r="BU28" s="4"/>
      <c r="BV28" s="4"/>
    </row>
    <row r="29" customHeight="1" spans="1:74">
      <c r="A29" s="3"/>
      <c r="B29" s="4" t="s">
        <v>5515</v>
      </c>
      <c r="C29" s="4"/>
      <c r="D29" s="4"/>
      <c r="E29" s="4"/>
      <c r="F29" s="4"/>
      <c r="G29" s="4"/>
      <c r="H29" s="4"/>
      <c r="I29" s="4"/>
      <c r="J29" s="4"/>
      <c r="K29" s="4"/>
      <c r="L29" s="15"/>
      <c r="AB29" s="2" t="s">
        <v>5516</v>
      </c>
      <c r="AC29" s="2"/>
      <c r="AD29" s="2"/>
      <c r="AE29" s="2"/>
      <c r="AF29" s="2"/>
      <c r="AG29" s="2"/>
      <c r="AH29" s="2"/>
      <c r="AI29" s="2"/>
      <c r="AJ29" s="2"/>
      <c r="AK29" s="2"/>
      <c r="AL29" s="2"/>
      <c r="AN29" s="2" t="s">
        <v>5517</v>
      </c>
      <c r="AO29" s="2"/>
      <c r="AP29" s="2"/>
      <c r="AQ29" s="2"/>
      <c r="AR29" s="2"/>
      <c r="AS29" s="2"/>
      <c r="AT29" s="2"/>
      <c r="AU29" s="2"/>
      <c r="AV29" s="2"/>
      <c r="AW29" s="2"/>
      <c r="AX29" s="2"/>
      <c r="AY29" s="46"/>
      <c r="AZ29" s="47"/>
      <c r="BA29" s="43"/>
      <c r="BB29" s="43"/>
      <c r="BC29" s="43"/>
      <c r="BD29" s="43"/>
      <c r="BE29" s="43"/>
      <c r="BF29" s="43"/>
      <c r="BG29" s="43"/>
      <c r="BH29" s="43"/>
      <c r="BI29" s="43"/>
      <c r="BJ29" s="43"/>
      <c r="BK29" s="46"/>
      <c r="BL29" s="39"/>
      <c r="BM29" s="4"/>
      <c r="BN29" s="4"/>
      <c r="BO29" s="4"/>
      <c r="BP29" s="4"/>
      <c r="BQ29" s="4"/>
      <c r="BR29" s="4"/>
      <c r="BS29" s="4"/>
      <c r="BT29" s="4"/>
      <c r="BU29" s="4"/>
      <c r="BV29" s="4"/>
    </row>
    <row r="30" customHeight="1" spans="1:74">
      <c r="A30" s="3"/>
      <c r="B30" s="4"/>
      <c r="C30" s="4"/>
      <c r="D30" s="4"/>
      <c r="E30" s="4"/>
      <c r="F30" s="4"/>
      <c r="G30" s="4"/>
      <c r="H30" s="4"/>
      <c r="I30" s="4"/>
      <c r="J30" s="4"/>
      <c r="K30" s="4"/>
      <c r="L30" s="15"/>
      <c r="M30" s="23" t="s">
        <v>5518</v>
      </c>
      <c r="N30" s="23"/>
      <c r="O30" s="23"/>
      <c r="P30" s="23"/>
      <c r="Q30" s="23"/>
      <c r="R30" s="23"/>
      <c r="S30" s="23"/>
      <c r="T30" s="23"/>
      <c r="U30" s="23"/>
      <c r="V30" s="23"/>
      <c r="W30" s="23"/>
      <c r="AB30" s="27" t="s">
        <v>5413</v>
      </c>
      <c r="AC30" s="5" t="s">
        <v>5519</v>
      </c>
      <c r="AD30" s="5"/>
      <c r="AE30" s="5"/>
      <c r="AF30" s="5"/>
      <c r="AG30" s="5"/>
      <c r="AH30" s="5"/>
      <c r="AI30" s="5"/>
      <c r="AJ30" s="5"/>
      <c r="AK30" s="5"/>
      <c r="AL30" s="5"/>
      <c r="AN30" s="44" t="s">
        <v>5413</v>
      </c>
      <c r="AO30" s="4" t="s">
        <v>5520</v>
      </c>
      <c r="AP30" s="4"/>
      <c r="AQ30" s="4"/>
      <c r="AR30" s="4"/>
      <c r="AS30" s="4"/>
      <c r="AT30" s="4"/>
      <c r="AU30" s="4"/>
      <c r="AV30" s="4"/>
      <c r="AW30" s="4"/>
      <c r="AX30" s="4"/>
      <c r="AY30" s="46"/>
      <c r="AZ30" s="47"/>
      <c r="BA30" s="5" t="s">
        <v>5521</v>
      </c>
      <c r="BB30" s="5"/>
      <c r="BC30" s="5"/>
      <c r="BD30" s="5"/>
      <c r="BE30" s="5"/>
      <c r="BF30" s="5"/>
      <c r="BG30" s="5"/>
      <c r="BH30" s="5"/>
      <c r="BI30" s="5"/>
      <c r="BJ30" s="5"/>
      <c r="BK30" s="46"/>
      <c r="BL30" s="39"/>
      <c r="BM30" s="4"/>
      <c r="BN30" s="4"/>
      <c r="BO30" s="4"/>
      <c r="BP30" s="4"/>
      <c r="BQ30" s="4"/>
      <c r="BR30" s="4"/>
      <c r="BS30" s="4"/>
      <c r="BT30" s="4"/>
      <c r="BU30" s="4"/>
      <c r="BV30" s="4"/>
    </row>
    <row r="31" customHeight="1" spans="1:74">
      <c r="A31" s="3"/>
      <c r="B31" s="4" t="s">
        <v>5522</v>
      </c>
      <c r="C31" s="4"/>
      <c r="D31" s="4"/>
      <c r="E31" s="4"/>
      <c r="F31" s="4"/>
      <c r="G31" s="4"/>
      <c r="H31" s="4"/>
      <c r="I31" s="4"/>
      <c r="J31" s="4"/>
      <c r="K31" s="4"/>
      <c r="L31" s="15"/>
      <c r="M31" s="23"/>
      <c r="N31" s="23"/>
      <c r="O31" s="23"/>
      <c r="P31" s="23"/>
      <c r="Q31" s="23"/>
      <c r="R31" s="23"/>
      <c r="S31" s="23"/>
      <c r="T31" s="23"/>
      <c r="U31" s="23"/>
      <c r="V31" s="23"/>
      <c r="W31" s="23"/>
      <c r="AB31" s="27" t="s">
        <v>5523</v>
      </c>
      <c r="AC31" s="5" t="s">
        <v>5524</v>
      </c>
      <c r="AD31" s="5"/>
      <c r="AE31" s="5"/>
      <c r="AF31" s="5"/>
      <c r="AG31" s="5"/>
      <c r="AH31" s="5"/>
      <c r="AI31" s="5"/>
      <c r="AJ31" s="5"/>
      <c r="AK31" s="5"/>
      <c r="AL31" s="5"/>
      <c r="AN31" s="44"/>
      <c r="AO31" s="4" t="s">
        <v>5525</v>
      </c>
      <c r="AP31" s="4"/>
      <c r="AQ31" s="4"/>
      <c r="AR31" s="4"/>
      <c r="AS31" s="4"/>
      <c r="AT31" s="4"/>
      <c r="AU31" s="4"/>
      <c r="AV31" s="4"/>
      <c r="AW31" s="4"/>
      <c r="AX31" s="4"/>
      <c r="AY31" s="46"/>
      <c r="AZ31" s="47"/>
      <c r="BA31" s="5" t="s">
        <v>5526</v>
      </c>
      <c r="BB31" s="5"/>
      <c r="BC31" s="5"/>
      <c r="BD31" s="5"/>
      <c r="BE31" s="5"/>
      <c r="BF31" s="5"/>
      <c r="BG31" s="5"/>
      <c r="BH31" s="5"/>
      <c r="BI31" s="5"/>
      <c r="BJ31" s="5"/>
      <c r="BK31" s="46"/>
      <c r="BL31" s="39"/>
      <c r="BM31" s="4"/>
      <c r="BN31" s="4"/>
      <c r="BO31" s="4"/>
      <c r="BP31" s="4"/>
      <c r="BQ31" s="4"/>
      <c r="BR31" s="4"/>
      <c r="BS31" s="4"/>
      <c r="BT31" s="4"/>
      <c r="BU31" s="4"/>
      <c r="BV31" s="4"/>
    </row>
    <row r="32" customHeight="1" spans="1:74">
      <c r="A32" s="3"/>
      <c r="B32" s="5" t="s">
        <v>5527</v>
      </c>
      <c r="C32" s="5"/>
      <c r="D32" s="5"/>
      <c r="E32" s="5"/>
      <c r="F32" s="5"/>
      <c r="G32" s="5"/>
      <c r="H32" s="5"/>
      <c r="I32" s="5"/>
      <c r="J32" s="5"/>
      <c r="K32" s="5"/>
      <c r="L32" s="15"/>
      <c r="M32" s="18" t="s">
        <v>5528</v>
      </c>
      <c r="AB32" s="27" t="s">
        <v>5466</v>
      </c>
      <c r="AC32" s="5" t="s">
        <v>5529</v>
      </c>
      <c r="AD32" s="5"/>
      <c r="AE32" s="5"/>
      <c r="AF32" s="5"/>
      <c r="AG32" s="5"/>
      <c r="AH32" s="5"/>
      <c r="AI32" s="5"/>
      <c r="AJ32" s="5"/>
      <c r="AK32" s="5"/>
      <c r="AL32" s="5"/>
      <c r="AN32" s="44"/>
      <c r="AO32" s="4" t="s">
        <v>5530</v>
      </c>
      <c r="AP32" s="4"/>
      <c r="AQ32" s="4"/>
      <c r="AR32" s="4"/>
      <c r="AS32" s="4"/>
      <c r="AT32" s="4"/>
      <c r="AU32" s="4"/>
      <c r="AV32" s="4"/>
      <c r="AW32" s="4"/>
      <c r="AX32" s="4"/>
      <c r="AY32" s="46"/>
      <c r="AZ32" s="47"/>
      <c r="BA32" s="5" t="s">
        <v>5421</v>
      </c>
      <c r="BB32" s="5"/>
      <c r="BC32" s="5"/>
      <c r="BD32" s="5"/>
      <c r="BE32" s="5"/>
      <c r="BF32" s="5"/>
      <c r="BG32" s="5"/>
      <c r="BH32" s="5"/>
      <c r="BI32" s="5"/>
      <c r="BJ32" s="5"/>
      <c r="BK32" s="46"/>
      <c r="BL32" s="39"/>
      <c r="BM32" s="4"/>
      <c r="BN32" s="4"/>
      <c r="BO32" s="4"/>
      <c r="BP32" s="4"/>
      <c r="BQ32" s="4"/>
      <c r="BR32" s="4"/>
      <c r="BS32" s="4"/>
      <c r="BT32" s="4"/>
      <c r="BU32" s="4"/>
      <c r="BV32" s="4"/>
    </row>
    <row r="33" customHeight="1" spans="1:74">
      <c r="A33" s="12" t="s">
        <v>5531</v>
      </c>
      <c r="B33" s="5" t="s">
        <v>5532</v>
      </c>
      <c r="C33" s="5"/>
      <c r="D33" s="5"/>
      <c r="E33" s="5"/>
      <c r="F33" s="5"/>
      <c r="G33" s="5"/>
      <c r="H33" s="5"/>
      <c r="I33" s="5"/>
      <c r="J33" s="5"/>
      <c r="K33" s="5"/>
      <c r="L33" s="15"/>
      <c r="AB33" s="2" t="s">
        <v>5533</v>
      </c>
      <c r="AC33" s="2"/>
      <c r="AD33" s="2"/>
      <c r="AE33" s="2"/>
      <c r="AF33" s="2"/>
      <c r="AG33" s="2"/>
      <c r="AH33" s="2"/>
      <c r="AI33" s="2"/>
      <c r="AJ33" s="2"/>
      <c r="AK33" s="2"/>
      <c r="AL33" s="2"/>
      <c r="AN33" s="44"/>
      <c r="AO33" s="4" t="s">
        <v>5534</v>
      </c>
      <c r="AP33" s="4"/>
      <c r="AQ33" s="4"/>
      <c r="AR33" s="4"/>
      <c r="AS33" s="4"/>
      <c r="AT33" s="4"/>
      <c r="AU33" s="4"/>
      <c r="AV33" s="4"/>
      <c r="AW33" s="4"/>
      <c r="AX33" s="4"/>
      <c r="AY33" s="46"/>
      <c r="AZ33" s="27" t="s">
        <v>5466</v>
      </c>
      <c r="BA33" s="5" t="s">
        <v>5535</v>
      </c>
      <c r="BB33" s="5"/>
      <c r="BC33" s="5"/>
      <c r="BD33" s="5"/>
      <c r="BE33" s="5"/>
      <c r="BF33" s="5"/>
      <c r="BG33" s="5"/>
      <c r="BH33" s="5"/>
      <c r="BI33" s="5"/>
      <c r="BJ33" s="5"/>
      <c r="BK33" s="46"/>
      <c r="BL33" s="39"/>
      <c r="BM33" s="4"/>
      <c r="BN33" s="4"/>
      <c r="BO33" s="4"/>
      <c r="BP33" s="4"/>
      <c r="BQ33" s="4"/>
      <c r="BR33" s="4"/>
      <c r="BS33" s="4"/>
      <c r="BT33" s="4"/>
      <c r="BU33" s="4"/>
      <c r="BV33" s="4"/>
    </row>
    <row r="34" customHeight="1" spans="1:74">
      <c r="A34" s="13" t="s">
        <v>5487</v>
      </c>
      <c r="B34" s="4" t="s">
        <v>5536</v>
      </c>
      <c r="C34" s="4"/>
      <c r="D34" s="4"/>
      <c r="E34" s="4"/>
      <c r="F34" s="4"/>
      <c r="G34" s="4"/>
      <c r="H34" s="4"/>
      <c r="I34" s="4"/>
      <c r="J34" s="4"/>
      <c r="K34" s="4"/>
      <c r="L34" s="15"/>
      <c r="M34" s="18" t="s">
        <v>5537</v>
      </c>
      <c r="AB34" s="40" t="s">
        <v>5413</v>
      </c>
      <c r="AC34" s="5" t="s">
        <v>5538</v>
      </c>
      <c r="AD34" s="5"/>
      <c r="AE34" s="5"/>
      <c r="AF34" s="5"/>
      <c r="AG34" s="5"/>
      <c r="AH34" s="5"/>
      <c r="AI34" s="5"/>
      <c r="AJ34" s="5"/>
      <c r="AK34" s="5"/>
      <c r="AL34" s="5"/>
      <c r="AN34" s="44"/>
      <c r="AO34" s="4" t="s">
        <v>5539</v>
      </c>
      <c r="AP34" s="4"/>
      <c r="AQ34" s="4"/>
      <c r="AR34" s="4"/>
      <c r="AS34" s="4"/>
      <c r="AT34" s="4"/>
      <c r="AU34" s="4"/>
      <c r="AV34" s="4"/>
      <c r="AW34" s="4"/>
      <c r="AX34" s="4"/>
      <c r="AY34" s="46"/>
      <c r="AZ34" s="30" t="s">
        <v>5540</v>
      </c>
      <c r="BA34" s="5" t="s">
        <v>5541</v>
      </c>
      <c r="BB34" s="5"/>
      <c r="BC34" s="5"/>
      <c r="BD34" s="5"/>
      <c r="BE34" s="5"/>
      <c r="BF34" s="5"/>
      <c r="BG34" s="5"/>
      <c r="BH34" s="5"/>
      <c r="BI34" s="5"/>
      <c r="BJ34" s="5"/>
      <c r="BK34" s="46"/>
      <c r="BL34" s="39"/>
      <c r="BM34" s="4"/>
      <c r="BN34" s="4"/>
      <c r="BO34" s="4"/>
      <c r="BP34" s="4"/>
      <c r="BQ34" s="4"/>
      <c r="BR34" s="4"/>
      <c r="BS34" s="4"/>
      <c r="BT34" s="4"/>
      <c r="BU34" s="4"/>
      <c r="BV34" s="4"/>
    </row>
    <row r="35" customHeight="1" spans="1:74">
      <c r="A35" s="13" t="s">
        <v>5429</v>
      </c>
      <c r="B35" s="14" t="s">
        <v>5542</v>
      </c>
      <c r="C35" s="14"/>
      <c r="D35" s="14"/>
      <c r="E35" s="14"/>
      <c r="F35" s="14"/>
      <c r="G35" s="14"/>
      <c r="H35" s="14"/>
      <c r="I35" s="14"/>
      <c r="J35" s="14"/>
      <c r="K35" s="14"/>
      <c r="L35" s="15"/>
      <c r="AB35" s="40"/>
      <c r="AC35" s="5" t="s">
        <v>5543</v>
      </c>
      <c r="AD35" s="5"/>
      <c r="AE35" s="5"/>
      <c r="AF35" s="5"/>
      <c r="AG35" s="5"/>
      <c r="AH35" s="5"/>
      <c r="AI35" s="5"/>
      <c r="AJ35" s="5"/>
      <c r="AK35" s="5"/>
      <c r="AL35" s="5"/>
      <c r="AN35" s="7" t="s">
        <v>5470</v>
      </c>
      <c r="AO35" s="4" t="s">
        <v>5544</v>
      </c>
      <c r="AP35" s="4"/>
      <c r="AQ35" s="4"/>
      <c r="AR35" s="4"/>
      <c r="AS35" s="4"/>
      <c r="AT35" s="4"/>
      <c r="AU35" s="4"/>
      <c r="AV35" s="4"/>
      <c r="AW35" s="4"/>
      <c r="AX35" s="4"/>
      <c r="AY35" s="46"/>
      <c r="AZ35" s="48" t="s">
        <v>5545</v>
      </c>
      <c r="BA35" s="5" t="s">
        <v>5546</v>
      </c>
      <c r="BB35" s="5"/>
      <c r="BC35" s="5"/>
      <c r="BD35" s="5"/>
      <c r="BE35" s="5"/>
      <c r="BF35" s="5"/>
      <c r="BG35" s="5"/>
      <c r="BH35" s="5"/>
      <c r="BI35" s="5"/>
      <c r="BJ35" s="5"/>
      <c r="BK35" s="46"/>
      <c r="BL35" s="39"/>
      <c r="BM35" s="4"/>
      <c r="BN35" s="4"/>
      <c r="BO35" s="4"/>
      <c r="BP35" s="4"/>
      <c r="BQ35" s="4"/>
      <c r="BR35" s="4"/>
      <c r="BS35" s="4"/>
      <c r="BT35" s="4"/>
      <c r="BU35" s="4"/>
      <c r="BV35" s="4"/>
    </row>
    <row r="36" customHeight="1" spans="13:74">
      <c r="M36" s="24" t="s">
        <v>5547</v>
      </c>
      <c r="N36" s="24"/>
      <c r="O36" s="24"/>
      <c r="P36" s="24"/>
      <c r="Q36" s="24"/>
      <c r="R36" s="24"/>
      <c r="S36" s="24"/>
      <c r="T36" s="24"/>
      <c r="U36" s="24"/>
      <c r="V36" s="24"/>
      <c r="W36" s="24"/>
      <c r="AB36" s="40"/>
      <c r="AC36" s="5" t="s">
        <v>5548</v>
      </c>
      <c r="AD36" s="5"/>
      <c r="AE36" s="5"/>
      <c r="AF36" s="5"/>
      <c r="AG36" s="5"/>
      <c r="AH36" s="5"/>
      <c r="AI36" s="5"/>
      <c r="AJ36" s="5"/>
      <c r="AK36" s="5"/>
      <c r="AL36" s="5"/>
      <c r="AN36" s="39" t="s">
        <v>124</v>
      </c>
      <c r="AO36" s="11" t="s">
        <v>5549</v>
      </c>
      <c r="AP36" s="11"/>
      <c r="AQ36" s="11"/>
      <c r="AR36" s="11"/>
      <c r="AS36" s="11"/>
      <c r="AT36" s="11"/>
      <c r="AU36" s="11"/>
      <c r="AV36" s="11"/>
      <c r="AW36" s="11"/>
      <c r="AX36" s="11"/>
      <c r="AY36" s="46"/>
      <c r="AZ36" s="7" t="s">
        <v>5437</v>
      </c>
      <c r="BA36" s="5" t="s">
        <v>5546</v>
      </c>
      <c r="BB36" s="5"/>
      <c r="BC36" s="5"/>
      <c r="BD36" s="5"/>
      <c r="BE36" s="5"/>
      <c r="BF36" s="5"/>
      <c r="BG36" s="5"/>
      <c r="BH36" s="5"/>
      <c r="BI36" s="5"/>
      <c r="BJ36" s="5"/>
      <c r="BK36" s="46"/>
      <c r="BL36" s="39"/>
      <c r="BM36" s="4"/>
      <c r="BN36" s="4"/>
      <c r="BO36" s="4"/>
      <c r="BP36" s="4"/>
      <c r="BQ36" s="4"/>
      <c r="BR36" s="4"/>
      <c r="BS36" s="4"/>
      <c r="BT36" s="4"/>
      <c r="BU36" s="4"/>
      <c r="BV36" s="4"/>
    </row>
    <row r="37" customHeight="1" spans="13:74">
      <c r="M37" s="24"/>
      <c r="N37" s="24"/>
      <c r="O37" s="24"/>
      <c r="P37" s="24"/>
      <c r="Q37" s="24"/>
      <c r="R37" s="24"/>
      <c r="S37" s="24"/>
      <c r="T37" s="24"/>
      <c r="U37" s="24"/>
      <c r="V37" s="24"/>
      <c r="W37" s="24"/>
      <c r="AB37" s="40"/>
      <c r="AC37" s="4" t="s">
        <v>5550</v>
      </c>
      <c r="AD37" s="4"/>
      <c r="AE37" s="4"/>
      <c r="AF37" s="4"/>
      <c r="AG37" s="4"/>
      <c r="AH37" s="4"/>
      <c r="AI37" s="4"/>
      <c r="AJ37" s="4"/>
      <c r="AK37" s="4"/>
      <c r="AL37" s="4"/>
      <c r="AN37" s="2" t="s">
        <v>5551</v>
      </c>
      <c r="AO37" s="2"/>
      <c r="AP37" s="2"/>
      <c r="AQ37" s="2"/>
      <c r="AR37" s="2"/>
      <c r="AS37" s="2"/>
      <c r="AT37" s="2"/>
      <c r="AU37" s="2"/>
      <c r="AV37" s="2"/>
      <c r="AW37" s="2"/>
      <c r="AX37" s="2"/>
      <c r="AY37" s="46"/>
      <c r="AZ37" s="7"/>
      <c r="BA37" s="5" t="s">
        <v>5552</v>
      </c>
      <c r="BB37" s="5"/>
      <c r="BC37" s="5"/>
      <c r="BD37" s="5"/>
      <c r="BE37" s="5"/>
      <c r="BF37" s="5"/>
      <c r="BG37" s="5"/>
      <c r="BH37" s="5"/>
      <c r="BI37" s="5"/>
      <c r="BJ37" s="5"/>
      <c r="BK37" s="46"/>
      <c r="BL37" s="39" t="s">
        <v>5553</v>
      </c>
      <c r="BM37" s="5" t="s">
        <v>5554</v>
      </c>
      <c r="BN37" s="5"/>
      <c r="BO37" s="5"/>
      <c r="BP37" s="5"/>
      <c r="BQ37" s="5"/>
      <c r="BR37" s="5"/>
      <c r="BS37" s="5"/>
      <c r="BT37" s="5"/>
      <c r="BU37" s="5"/>
      <c r="BV37" s="5"/>
    </row>
    <row r="38" customHeight="1" spans="13:74">
      <c r="M38" s="24"/>
      <c r="N38" s="24"/>
      <c r="O38" s="24"/>
      <c r="P38" s="24"/>
      <c r="Q38" s="24"/>
      <c r="R38" s="24"/>
      <c r="S38" s="24"/>
      <c r="T38" s="24"/>
      <c r="U38" s="24"/>
      <c r="V38" s="24"/>
      <c r="W38" s="24"/>
      <c r="AB38" s="40"/>
      <c r="AC38" s="4" t="s">
        <v>5555</v>
      </c>
      <c r="AD38" s="4"/>
      <c r="AE38" s="4"/>
      <c r="AF38" s="4"/>
      <c r="AG38" s="4"/>
      <c r="AH38" s="4"/>
      <c r="AI38" s="4"/>
      <c r="AJ38" s="4"/>
      <c r="AK38" s="4"/>
      <c r="AL38" s="4"/>
      <c r="AN38" s="44" t="s">
        <v>5413</v>
      </c>
      <c r="AO38" s="4" t="s">
        <v>5556</v>
      </c>
      <c r="AP38" s="5"/>
      <c r="AQ38" s="5"/>
      <c r="AR38" s="5"/>
      <c r="AS38" s="5"/>
      <c r="AT38" s="5"/>
      <c r="AU38" s="5"/>
      <c r="AV38" s="5"/>
      <c r="AW38" s="5"/>
      <c r="AX38" s="5"/>
      <c r="AY38" s="46"/>
      <c r="AZ38" s="2" t="s">
        <v>5557</v>
      </c>
      <c r="BA38" s="2"/>
      <c r="BB38" s="2"/>
      <c r="BC38" s="2"/>
      <c r="BD38" s="2"/>
      <c r="BE38" s="2"/>
      <c r="BF38" s="2"/>
      <c r="BG38" s="2"/>
      <c r="BH38" s="2"/>
      <c r="BI38" s="2"/>
      <c r="BJ38" s="2"/>
      <c r="BK38" s="46"/>
      <c r="BL38" s="39"/>
      <c r="BM38" s="4" t="s">
        <v>5558</v>
      </c>
      <c r="BN38" s="4"/>
      <c r="BO38" s="4"/>
      <c r="BP38" s="4"/>
      <c r="BQ38" s="4"/>
      <c r="BR38" s="4"/>
      <c r="BS38" s="4"/>
      <c r="BT38" s="4"/>
      <c r="BU38" s="4"/>
      <c r="BV38" s="4"/>
    </row>
    <row r="39" customHeight="1" spans="13:74">
      <c r="M39" s="24"/>
      <c r="N39" s="24"/>
      <c r="O39" s="24"/>
      <c r="P39" s="24"/>
      <c r="Q39" s="24"/>
      <c r="R39" s="24"/>
      <c r="S39" s="24"/>
      <c r="T39" s="24"/>
      <c r="U39" s="24"/>
      <c r="V39" s="24"/>
      <c r="W39" s="24"/>
      <c r="AB39" s="8" t="s">
        <v>5466</v>
      </c>
      <c r="AC39" s="5" t="s">
        <v>5559</v>
      </c>
      <c r="AD39" s="5"/>
      <c r="AE39" s="5"/>
      <c r="AF39" s="5"/>
      <c r="AG39" s="5"/>
      <c r="AH39" s="5"/>
      <c r="AI39" s="5"/>
      <c r="AJ39" s="5"/>
      <c r="AK39" s="5"/>
      <c r="AL39" s="5"/>
      <c r="AN39" s="44"/>
      <c r="AO39" s="5"/>
      <c r="AP39" s="5"/>
      <c r="AQ39" s="5"/>
      <c r="AR39" s="5"/>
      <c r="AS39" s="5"/>
      <c r="AT39" s="5"/>
      <c r="AU39" s="5"/>
      <c r="AV39" s="5"/>
      <c r="AW39" s="5"/>
      <c r="AX39" s="5"/>
      <c r="AY39" s="46"/>
      <c r="AZ39" s="49" t="s">
        <v>5413</v>
      </c>
      <c r="BA39" s="5" t="s">
        <v>5560</v>
      </c>
      <c r="BB39" s="5"/>
      <c r="BC39" s="5"/>
      <c r="BD39" s="5"/>
      <c r="BE39" s="5"/>
      <c r="BF39" s="5"/>
      <c r="BG39" s="5"/>
      <c r="BH39" s="5"/>
      <c r="BI39" s="5"/>
      <c r="BJ39" s="5"/>
      <c r="BK39" s="46"/>
      <c r="BL39" s="39"/>
      <c r="BM39" s="4"/>
      <c r="BN39" s="4"/>
      <c r="BO39" s="4"/>
      <c r="BP39" s="4"/>
      <c r="BQ39" s="4"/>
      <c r="BR39" s="4"/>
      <c r="BS39" s="4"/>
      <c r="BT39" s="4"/>
      <c r="BU39" s="4"/>
      <c r="BV39" s="4"/>
    </row>
    <row r="40" customHeight="1" spans="13:74">
      <c r="M40" s="24"/>
      <c r="N40" s="24"/>
      <c r="O40" s="24"/>
      <c r="P40" s="24"/>
      <c r="Q40" s="24"/>
      <c r="R40" s="24"/>
      <c r="S40" s="24"/>
      <c r="T40" s="24"/>
      <c r="U40" s="24"/>
      <c r="V40" s="24"/>
      <c r="W40" s="24"/>
      <c r="AB40" s="8"/>
      <c r="AC40" s="4" t="s">
        <v>5561</v>
      </c>
      <c r="AD40" s="4"/>
      <c r="AE40" s="4"/>
      <c r="AF40" s="4"/>
      <c r="AG40" s="4"/>
      <c r="AH40" s="4"/>
      <c r="AI40" s="4"/>
      <c r="AJ40" s="4"/>
      <c r="AK40" s="4"/>
      <c r="AL40" s="4"/>
      <c r="AN40" s="44"/>
      <c r="AO40" s="5"/>
      <c r="AP40" s="5"/>
      <c r="AQ40" s="5"/>
      <c r="AR40" s="5"/>
      <c r="AS40" s="5"/>
      <c r="AT40" s="5"/>
      <c r="AU40" s="5"/>
      <c r="AV40" s="5"/>
      <c r="AW40" s="5"/>
      <c r="AX40" s="5"/>
      <c r="AY40" s="46"/>
      <c r="AZ40" s="49"/>
      <c r="BA40" s="5" t="s">
        <v>5562</v>
      </c>
      <c r="BB40" s="5"/>
      <c r="BC40" s="5"/>
      <c r="BD40" s="5"/>
      <c r="BE40" s="5"/>
      <c r="BF40" s="5"/>
      <c r="BG40" s="5"/>
      <c r="BH40" s="5"/>
      <c r="BI40" s="5"/>
      <c r="BJ40" s="5"/>
      <c r="BK40" s="46"/>
      <c r="BL40" s="39"/>
      <c r="BM40" s="4"/>
      <c r="BN40" s="4"/>
      <c r="BO40" s="4"/>
      <c r="BP40" s="4"/>
      <c r="BQ40" s="4"/>
      <c r="BR40" s="4"/>
      <c r="BS40" s="4"/>
      <c r="BT40" s="4"/>
      <c r="BU40" s="4"/>
      <c r="BV40" s="4"/>
    </row>
    <row r="41" customHeight="1" spans="16:74">
      <c r="P41" s="21" t="s">
        <v>5563</v>
      </c>
      <c r="R41" s="21"/>
      <c r="AB41" s="8"/>
      <c r="AC41" s="4"/>
      <c r="AD41" s="4"/>
      <c r="AE41" s="4"/>
      <c r="AF41" s="4"/>
      <c r="AG41" s="4"/>
      <c r="AH41" s="4"/>
      <c r="AI41" s="4"/>
      <c r="AJ41" s="4"/>
      <c r="AK41" s="4"/>
      <c r="AL41" s="4"/>
      <c r="AN41" s="44"/>
      <c r="AO41" s="42" t="s">
        <v>5564</v>
      </c>
      <c r="AP41" s="42"/>
      <c r="AQ41" s="42"/>
      <c r="AR41" s="42"/>
      <c r="AS41" s="42"/>
      <c r="AT41" s="42"/>
      <c r="AU41" s="42"/>
      <c r="AV41" s="42"/>
      <c r="AW41" s="42"/>
      <c r="AX41" s="42"/>
      <c r="AY41" s="46"/>
      <c r="AZ41" s="49"/>
      <c r="BA41" s="5" t="s">
        <v>5565</v>
      </c>
      <c r="BB41" s="5"/>
      <c r="BC41" s="5"/>
      <c r="BD41" s="5"/>
      <c r="BE41" s="5"/>
      <c r="BF41" s="5"/>
      <c r="BG41" s="5"/>
      <c r="BH41" s="5"/>
      <c r="BI41" s="5"/>
      <c r="BJ41" s="5"/>
      <c r="BK41" s="46"/>
      <c r="BL41" s="39"/>
      <c r="BM41" s="4"/>
      <c r="BN41" s="4"/>
      <c r="BO41" s="4"/>
      <c r="BP41" s="4"/>
      <c r="BQ41" s="4"/>
      <c r="BR41" s="4"/>
      <c r="BS41" s="4"/>
      <c r="BT41" s="4"/>
      <c r="BU41" s="4"/>
      <c r="BV41" s="4"/>
    </row>
    <row r="42" customHeight="1" spans="13:74">
      <c r="M42" s="2" t="s">
        <v>5566</v>
      </c>
      <c r="N42" s="2"/>
      <c r="O42" s="2"/>
      <c r="P42" s="2"/>
      <c r="Q42" s="2"/>
      <c r="R42" s="2"/>
      <c r="S42" s="2"/>
      <c r="T42" s="2"/>
      <c r="U42" s="2"/>
      <c r="V42" s="2"/>
      <c r="W42" s="2"/>
      <c r="AB42" s="8"/>
      <c r="AC42" s="4"/>
      <c r="AD42" s="4"/>
      <c r="AE42" s="4"/>
      <c r="AF42" s="4"/>
      <c r="AG42" s="4"/>
      <c r="AH42" s="4"/>
      <c r="AI42" s="4"/>
      <c r="AJ42" s="4"/>
      <c r="AK42" s="4"/>
      <c r="AL42" s="4"/>
      <c r="AN42" s="44"/>
      <c r="AO42" s="42"/>
      <c r="AP42" s="42"/>
      <c r="AQ42" s="42"/>
      <c r="AR42" s="42"/>
      <c r="AS42" s="42"/>
      <c r="AT42" s="42"/>
      <c r="AU42" s="42"/>
      <c r="AV42" s="42"/>
      <c r="AW42" s="42"/>
      <c r="AX42" s="42"/>
      <c r="AY42" s="46"/>
      <c r="AZ42" s="49"/>
      <c r="BA42" s="4" t="s">
        <v>5567</v>
      </c>
      <c r="BB42" s="5"/>
      <c r="BC42" s="5"/>
      <c r="BD42" s="5"/>
      <c r="BE42" s="5"/>
      <c r="BF42" s="5"/>
      <c r="BG42" s="5"/>
      <c r="BH42" s="5"/>
      <c r="BI42" s="5"/>
      <c r="BJ42" s="5"/>
      <c r="BK42" s="46"/>
      <c r="BL42" s="39" t="s">
        <v>5568</v>
      </c>
      <c r="BM42" s="4" t="s">
        <v>5569</v>
      </c>
      <c r="BN42" s="4"/>
      <c r="BO42" s="4"/>
      <c r="BP42" s="4"/>
      <c r="BQ42" s="4"/>
      <c r="BR42" s="4"/>
      <c r="BS42" s="4"/>
      <c r="BT42" s="4"/>
      <c r="BU42" s="4"/>
      <c r="BV42" s="4"/>
    </row>
    <row r="43" customHeight="1" spans="13:74">
      <c r="M43" s="25" t="s">
        <v>5403</v>
      </c>
      <c r="N43" s="6" t="s">
        <v>5570</v>
      </c>
      <c r="O43" s="6"/>
      <c r="P43" s="6"/>
      <c r="Q43" s="6"/>
      <c r="R43" s="6"/>
      <c r="S43" s="6"/>
      <c r="T43" s="6"/>
      <c r="U43" s="6"/>
      <c r="V43" s="6"/>
      <c r="W43" s="6"/>
      <c r="AB43" s="8"/>
      <c r="AC43" s="4"/>
      <c r="AD43" s="4"/>
      <c r="AE43" s="4"/>
      <c r="AF43" s="4"/>
      <c r="AG43" s="4"/>
      <c r="AH43" s="4"/>
      <c r="AI43" s="4"/>
      <c r="AJ43" s="4"/>
      <c r="AK43" s="4"/>
      <c r="AL43" s="4"/>
      <c r="AN43" s="44"/>
      <c r="AO43" s="4" t="s">
        <v>5571</v>
      </c>
      <c r="AP43" s="4"/>
      <c r="AQ43" s="4"/>
      <c r="AR43" s="4"/>
      <c r="AS43" s="4"/>
      <c r="AT43" s="4"/>
      <c r="AU43" s="4"/>
      <c r="AV43" s="4"/>
      <c r="AW43" s="4"/>
      <c r="AX43" s="4"/>
      <c r="AY43" s="46"/>
      <c r="AZ43" s="49"/>
      <c r="BA43" s="5"/>
      <c r="BB43" s="5"/>
      <c r="BC43" s="5"/>
      <c r="BD43" s="5"/>
      <c r="BE43" s="5"/>
      <c r="BF43" s="5"/>
      <c r="BG43" s="5"/>
      <c r="BH43" s="5"/>
      <c r="BI43" s="5"/>
      <c r="BJ43" s="5"/>
      <c r="BK43" s="46"/>
      <c r="BL43" s="39"/>
      <c r="BM43" s="4"/>
      <c r="BN43" s="4"/>
      <c r="BO43" s="4"/>
      <c r="BP43" s="4"/>
      <c r="BQ43" s="4"/>
      <c r="BR43" s="4"/>
      <c r="BS43" s="4"/>
      <c r="BT43" s="4"/>
      <c r="BU43" s="4"/>
      <c r="BV43" s="4"/>
    </row>
    <row r="44" customHeight="1" spans="13:74">
      <c r="M44" s="25"/>
      <c r="N44" s="6" t="s">
        <v>5421</v>
      </c>
      <c r="O44" s="6"/>
      <c r="P44" s="6"/>
      <c r="Q44" s="6"/>
      <c r="R44" s="6"/>
      <c r="S44" s="6"/>
      <c r="T44" s="6"/>
      <c r="U44" s="6"/>
      <c r="V44" s="6"/>
      <c r="W44" s="6"/>
      <c r="AB44" s="12" t="s">
        <v>5540</v>
      </c>
      <c r="AC44" s="4" t="s">
        <v>5572</v>
      </c>
      <c r="AD44" s="4"/>
      <c r="AE44" s="4"/>
      <c r="AF44" s="4"/>
      <c r="AG44" s="4"/>
      <c r="AH44" s="4"/>
      <c r="AI44" s="4"/>
      <c r="AJ44" s="4"/>
      <c r="AK44" s="4"/>
      <c r="AL44" s="4"/>
      <c r="AN44" s="44"/>
      <c r="AO44" s="4"/>
      <c r="AP44" s="4"/>
      <c r="AQ44" s="4"/>
      <c r="AR44" s="4"/>
      <c r="AS44" s="4"/>
      <c r="AT44" s="4"/>
      <c r="AU44" s="4"/>
      <c r="AV44" s="4"/>
      <c r="AW44" s="4"/>
      <c r="AX44" s="4"/>
      <c r="AY44" s="46"/>
      <c r="AZ44" s="49"/>
      <c r="BA44" s="5" t="s">
        <v>5573</v>
      </c>
      <c r="BB44" s="5"/>
      <c r="BC44" s="5"/>
      <c r="BD44" s="5"/>
      <c r="BE44" s="5"/>
      <c r="BF44" s="5"/>
      <c r="BG44" s="5"/>
      <c r="BH44" s="5"/>
      <c r="BI44" s="5"/>
      <c r="BJ44" s="5"/>
      <c r="BK44" s="46"/>
      <c r="BL44" s="39"/>
      <c r="BM44" s="4"/>
      <c r="BN44" s="4"/>
      <c r="BO44" s="4"/>
      <c r="BP44" s="4"/>
      <c r="BQ44" s="4"/>
      <c r="BR44" s="4"/>
      <c r="BS44" s="4"/>
      <c r="BT44" s="4"/>
      <c r="BU44" s="4"/>
      <c r="BV44" s="4"/>
    </row>
    <row r="45" customHeight="1" spans="13:74">
      <c r="M45" s="25"/>
      <c r="N45" s="26" t="s">
        <v>5574</v>
      </c>
      <c r="O45" s="26"/>
      <c r="P45" s="26"/>
      <c r="Q45" s="26"/>
      <c r="R45" s="26"/>
      <c r="S45" s="26"/>
      <c r="T45" s="26"/>
      <c r="U45" s="26"/>
      <c r="V45" s="26"/>
      <c r="W45" s="26"/>
      <c r="AB45" s="7" t="s">
        <v>5531</v>
      </c>
      <c r="AC45" s="5" t="s">
        <v>5575</v>
      </c>
      <c r="AD45" s="5"/>
      <c r="AE45" s="5"/>
      <c r="AF45" s="5"/>
      <c r="AG45" s="5"/>
      <c r="AH45" s="5"/>
      <c r="AI45" s="5"/>
      <c r="AJ45" s="5"/>
      <c r="AK45" s="5"/>
      <c r="AL45" s="5"/>
      <c r="AN45" s="44"/>
      <c r="AO45" s="4"/>
      <c r="AP45" s="4"/>
      <c r="AQ45" s="4"/>
      <c r="AR45" s="4"/>
      <c r="AS45" s="4"/>
      <c r="AT45" s="4"/>
      <c r="AU45" s="4"/>
      <c r="AV45" s="4"/>
      <c r="AW45" s="4"/>
      <c r="AX45" s="4"/>
      <c r="AY45" s="46"/>
      <c r="AZ45" s="44" t="s">
        <v>5470</v>
      </c>
      <c r="BA45" s="5" t="s">
        <v>5576</v>
      </c>
      <c r="BB45" s="5"/>
      <c r="BC45" s="5"/>
      <c r="BD45" s="5"/>
      <c r="BE45" s="5"/>
      <c r="BF45" s="5"/>
      <c r="BG45" s="5"/>
      <c r="BH45" s="5"/>
      <c r="BI45" s="5"/>
      <c r="BJ45" s="5"/>
      <c r="BK45" s="46"/>
      <c r="BL45" s="39"/>
      <c r="BM45" s="4" t="s">
        <v>5577</v>
      </c>
      <c r="BN45" s="4"/>
      <c r="BO45" s="4"/>
      <c r="BP45" s="4"/>
      <c r="BQ45" s="4"/>
      <c r="BR45" s="4"/>
      <c r="BS45" s="4"/>
      <c r="BT45" s="4"/>
      <c r="BU45" s="4"/>
      <c r="BV45" s="4"/>
    </row>
    <row r="46" customHeight="1" spans="13:74">
      <c r="M46" s="2" t="s">
        <v>5578</v>
      </c>
      <c r="N46" s="2"/>
      <c r="O46" s="2"/>
      <c r="P46" s="2"/>
      <c r="Q46" s="2"/>
      <c r="R46" s="2"/>
      <c r="S46" s="2"/>
      <c r="T46" s="2"/>
      <c r="U46" s="2"/>
      <c r="V46" s="2"/>
      <c r="W46" s="2"/>
      <c r="AB46" s="7"/>
      <c r="AC46" s="5"/>
      <c r="AD46" s="5"/>
      <c r="AE46" s="5"/>
      <c r="AF46" s="5"/>
      <c r="AG46" s="5"/>
      <c r="AH46" s="5"/>
      <c r="AI46" s="5"/>
      <c r="AJ46" s="5"/>
      <c r="AK46" s="5"/>
      <c r="AL46" s="5"/>
      <c r="AN46" s="44"/>
      <c r="AO46" s="4"/>
      <c r="AP46" s="4"/>
      <c r="AQ46" s="4"/>
      <c r="AR46" s="4"/>
      <c r="AS46" s="4"/>
      <c r="AT46" s="4"/>
      <c r="AU46" s="4"/>
      <c r="AV46" s="4"/>
      <c r="AW46" s="4"/>
      <c r="AX46" s="4"/>
      <c r="AY46" s="46"/>
      <c r="AZ46" s="44"/>
      <c r="BA46" s="42" t="s">
        <v>5579</v>
      </c>
      <c r="BB46" s="43"/>
      <c r="BC46" s="43"/>
      <c r="BD46" s="43"/>
      <c r="BE46" s="43"/>
      <c r="BF46" s="43"/>
      <c r="BG46" s="43"/>
      <c r="BH46" s="43"/>
      <c r="BI46" s="43"/>
      <c r="BJ46" s="43"/>
      <c r="BK46" s="46"/>
      <c r="BL46" s="39"/>
      <c r="BM46" s="4"/>
      <c r="BN46" s="4"/>
      <c r="BO46" s="4"/>
      <c r="BP46" s="4"/>
      <c r="BQ46" s="4"/>
      <c r="BR46" s="4"/>
      <c r="BS46" s="4"/>
      <c r="BT46" s="4"/>
      <c r="BU46" s="4"/>
      <c r="BV46" s="4"/>
    </row>
    <row r="47" customHeight="1" spans="13:74">
      <c r="M47" s="27" t="s">
        <v>5466</v>
      </c>
      <c r="N47" s="6" t="s">
        <v>5580</v>
      </c>
      <c r="O47" s="6"/>
      <c r="P47" s="6"/>
      <c r="Q47" s="6"/>
      <c r="R47" s="6"/>
      <c r="S47" s="6"/>
      <c r="T47" s="6"/>
      <c r="U47" s="6"/>
      <c r="V47" s="6"/>
      <c r="W47" s="6"/>
      <c r="AB47" s="41" t="s">
        <v>5429</v>
      </c>
      <c r="AC47" s="4" t="s">
        <v>5581</v>
      </c>
      <c r="AD47" s="4"/>
      <c r="AE47" s="4"/>
      <c r="AF47" s="4"/>
      <c r="AG47" s="4"/>
      <c r="AH47" s="4"/>
      <c r="AI47" s="4"/>
      <c r="AJ47" s="4"/>
      <c r="AK47" s="4"/>
      <c r="AL47" s="4"/>
      <c r="AN47" s="44"/>
      <c r="AO47" s="4"/>
      <c r="AP47" s="4"/>
      <c r="AQ47" s="4"/>
      <c r="AR47" s="4"/>
      <c r="AS47" s="4"/>
      <c r="AT47" s="4"/>
      <c r="AU47" s="4"/>
      <c r="AV47" s="4"/>
      <c r="AW47" s="4"/>
      <c r="AX47" s="4"/>
      <c r="AY47" s="46"/>
      <c r="AZ47" s="44"/>
      <c r="BA47" s="43"/>
      <c r="BB47" s="43"/>
      <c r="BC47" s="43"/>
      <c r="BD47" s="43"/>
      <c r="BE47" s="43"/>
      <c r="BF47" s="43"/>
      <c r="BG47" s="43"/>
      <c r="BH47" s="43"/>
      <c r="BI47" s="43"/>
      <c r="BJ47" s="43"/>
      <c r="BK47" s="46"/>
      <c r="BL47" s="39"/>
      <c r="BM47" s="4"/>
      <c r="BN47" s="4"/>
      <c r="BO47" s="4"/>
      <c r="BP47" s="4"/>
      <c r="BQ47" s="4"/>
      <c r="BR47" s="4"/>
      <c r="BS47" s="4"/>
      <c r="BT47" s="4"/>
      <c r="BU47" s="4"/>
      <c r="BV47" s="4"/>
    </row>
    <row r="48" customHeight="1" spans="13:74">
      <c r="M48" s="25" t="s">
        <v>5582</v>
      </c>
      <c r="N48" s="28" t="s">
        <v>5583</v>
      </c>
      <c r="O48" s="28"/>
      <c r="P48" s="28"/>
      <c r="Q48" s="28"/>
      <c r="R48" s="28"/>
      <c r="S48" s="28"/>
      <c r="T48" s="28"/>
      <c r="U48" s="28"/>
      <c r="V48" s="28"/>
      <c r="W48" s="28"/>
      <c r="AN48" s="44"/>
      <c r="AO48" s="4"/>
      <c r="AP48" s="4"/>
      <c r="AQ48" s="4"/>
      <c r="AR48" s="4"/>
      <c r="AS48" s="4"/>
      <c r="AT48" s="4"/>
      <c r="AU48" s="4"/>
      <c r="AV48" s="4"/>
      <c r="AW48" s="4"/>
      <c r="AX48" s="4"/>
      <c r="AY48" s="46"/>
      <c r="AZ48" s="44"/>
      <c r="BA48" s="43"/>
      <c r="BB48" s="43"/>
      <c r="BC48" s="43"/>
      <c r="BD48" s="43"/>
      <c r="BE48" s="43"/>
      <c r="BF48" s="43"/>
      <c r="BG48" s="43"/>
      <c r="BH48" s="43"/>
      <c r="BI48" s="43"/>
      <c r="BJ48" s="43"/>
      <c r="BK48" s="46"/>
      <c r="BL48" s="39"/>
      <c r="BM48" s="4"/>
      <c r="BN48" s="4"/>
      <c r="BO48" s="4"/>
      <c r="BP48" s="4"/>
      <c r="BQ48" s="4"/>
      <c r="BR48" s="4"/>
      <c r="BS48" s="4"/>
      <c r="BT48" s="4"/>
      <c r="BU48" s="4"/>
      <c r="BV48" s="4"/>
    </row>
    <row r="49" customHeight="1" spans="13:74">
      <c r="M49" s="25"/>
      <c r="N49" s="28"/>
      <c r="O49" s="28"/>
      <c r="P49" s="28"/>
      <c r="Q49" s="28"/>
      <c r="R49" s="28"/>
      <c r="S49" s="28"/>
      <c r="T49" s="28"/>
      <c r="U49" s="28"/>
      <c r="V49" s="28"/>
      <c r="W49" s="28"/>
      <c r="AN49" s="44"/>
      <c r="AO49" s="5" t="s">
        <v>5584</v>
      </c>
      <c r="AP49" s="5"/>
      <c r="AQ49" s="5"/>
      <c r="AR49" s="5"/>
      <c r="AS49" s="5"/>
      <c r="AT49" s="5"/>
      <c r="AU49" s="5"/>
      <c r="AV49" s="5"/>
      <c r="AW49" s="5"/>
      <c r="AX49" s="5"/>
      <c r="AY49" s="46"/>
      <c r="AZ49" s="44"/>
      <c r="BA49" s="5" t="s">
        <v>5585</v>
      </c>
      <c r="BB49" s="5"/>
      <c r="BC49" s="5"/>
      <c r="BD49" s="5"/>
      <c r="BE49" s="5"/>
      <c r="BF49" s="5"/>
      <c r="BG49" s="5"/>
      <c r="BH49" s="5"/>
      <c r="BI49" s="5"/>
      <c r="BJ49" s="5"/>
      <c r="BK49" s="46"/>
      <c r="BL49" s="39"/>
      <c r="BM49" s="4"/>
      <c r="BN49" s="4"/>
      <c r="BO49" s="4"/>
      <c r="BP49" s="4"/>
      <c r="BQ49" s="4"/>
      <c r="BR49" s="4"/>
      <c r="BS49" s="4"/>
      <c r="BT49" s="4"/>
      <c r="BU49" s="4"/>
      <c r="BV49" s="4"/>
    </row>
    <row r="50" customHeight="1" spans="13:74">
      <c r="M50" s="27" t="s">
        <v>5586</v>
      </c>
      <c r="N50" s="5" t="s">
        <v>5587</v>
      </c>
      <c r="O50" s="5"/>
      <c r="P50" s="5"/>
      <c r="Q50" s="5"/>
      <c r="R50" s="5"/>
      <c r="S50" s="5"/>
      <c r="T50" s="5"/>
      <c r="U50" s="5"/>
      <c r="V50" s="5"/>
      <c r="W50" s="5"/>
      <c r="AN50" s="7" t="s">
        <v>5470</v>
      </c>
      <c r="AO50" s="4" t="s">
        <v>5588</v>
      </c>
      <c r="AP50" s="4"/>
      <c r="AQ50" s="4"/>
      <c r="AR50" s="4"/>
      <c r="AS50" s="4"/>
      <c r="AT50" s="4"/>
      <c r="AU50" s="4"/>
      <c r="AV50" s="4"/>
      <c r="AW50" s="4"/>
      <c r="AX50" s="4"/>
      <c r="AY50" s="46"/>
      <c r="AZ50" s="44"/>
      <c r="BA50" s="4" t="s">
        <v>5589</v>
      </c>
      <c r="BB50" s="4"/>
      <c r="BC50" s="4"/>
      <c r="BD50" s="4"/>
      <c r="BE50" s="4"/>
      <c r="BF50" s="4"/>
      <c r="BG50" s="4"/>
      <c r="BH50" s="4"/>
      <c r="BI50" s="4"/>
      <c r="BJ50" s="4"/>
      <c r="BK50" s="46"/>
      <c r="BL50" s="39" t="s">
        <v>5590</v>
      </c>
      <c r="BM50" s="5" t="s">
        <v>5591</v>
      </c>
      <c r="BN50" s="5"/>
      <c r="BO50" s="5"/>
      <c r="BP50" s="5"/>
      <c r="BQ50" s="5"/>
      <c r="BR50" s="5"/>
      <c r="BS50" s="5"/>
      <c r="BT50" s="5"/>
      <c r="BU50" s="5"/>
      <c r="BV50" s="5"/>
    </row>
    <row r="51" customHeight="1" spans="13:74">
      <c r="M51" s="12" t="s">
        <v>5531</v>
      </c>
      <c r="N51" s="5" t="s">
        <v>5592</v>
      </c>
      <c r="O51" s="5"/>
      <c r="P51" s="5"/>
      <c r="Q51" s="5"/>
      <c r="R51" s="5"/>
      <c r="S51" s="5"/>
      <c r="T51" s="5"/>
      <c r="U51" s="5"/>
      <c r="V51" s="5"/>
      <c r="W51" s="5"/>
      <c r="AN51" s="39" t="s">
        <v>5487</v>
      </c>
      <c r="AO51" s="4" t="s">
        <v>5593</v>
      </c>
      <c r="AP51" s="4"/>
      <c r="AQ51" s="4"/>
      <c r="AR51" s="4"/>
      <c r="AS51" s="4"/>
      <c r="AT51" s="4"/>
      <c r="AU51" s="4"/>
      <c r="AV51" s="4"/>
      <c r="AW51" s="4"/>
      <c r="AX51" s="4"/>
      <c r="AY51" s="46"/>
      <c r="AZ51" s="44"/>
      <c r="BA51" s="4"/>
      <c r="BB51" s="4"/>
      <c r="BC51" s="4"/>
      <c r="BD51" s="4"/>
      <c r="BE51" s="4"/>
      <c r="BF51" s="4"/>
      <c r="BG51" s="4"/>
      <c r="BH51" s="4"/>
      <c r="BI51" s="4"/>
      <c r="BJ51" s="4"/>
      <c r="BK51" s="46"/>
      <c r="BL51" s="39"/>
      <c r="BM51" s="4" t="s">
        <v>5594</v>
      </c>
      <c r="BN51" s="4"/>
      <c r="BO51" s="4"/>
      <c r="BP51" s="4"/>
      <c r="BQ51" s="4"/>
      <c r="BR51" s="4"/>
      <c r="BS51" s="4"/>
      <c r="BT51" s="4"/>
      <c r="BU51" s="4"/>
      <c r="BV51" s="4"/>
    </row>
    <row r="52" customHeight="1" spans="13:74">
      <c r="M52" s="2" t="s">
        <v>5595</v>
      </c>
      <c r="N52" s="2"/>
      <c r="O52" s="2"/>
      <c r="P52" s="2"/>
      <c r="Q52" s="2"/>
      <c r="R52" s="2"/>
      <c r="S52" s="2"/>
      <c r="T52" s="2"/>
      <c r="U52" s="2"/>
      <c r="V52" s="2"/>
      <c r="W52" s="2"/>
      <c r="AN52" s="39"/>
      <c r="AO52" s="4" t="s">
        <v>5596</v>
      </c>
      <c r="AP52" s="4"/>
      <c r="AQ52" s="4"/>
      <c r="AR52" s="4"/>
      <c r="AS52" s="4"/>
      <c r="AT52" s="4"/>
      <c r="AU52" s="4"/>
      <c r="AV52" s="4"/>
      <c r="AW52" s="4"/>
      <c r="AX52" s="4"/>
      <c r="AY52" s="46"/>
      <c r="AZ52" s="44"/>
      <c r="BA52" s="4"/>
      <c r="BB52" s="4"/>
      <c r="BC52" s="4"/>
      <c r="BD52" s="4"/>
      <c r="BE52" s="4"/>
      <c r="BF52" s="4"/>
      <c r="BG52" s="4"/>
      <c r="BH52" s="4"/>
      <c r="BI52" s="4"/>
      <c r="BJ52" s="4"/>
      <c r="BK52" s="46"/>
      <c r="BL52" s="39"/>
      <c r="BM52" s="4"/>
      <c r="BN52" s="4"/>
      <c r="BO52" s="4"/>
      <c r="BP52" s="4"/>
      <c r="BQ52" s="4"/>
      <c r="BR52" s="4"/>
      <c r="BS52" s="4"/>
      <c r="BT52" s="4"/>
      <c r="BU52" s="4"/>
      <c r="BV52" s="4"/>
    </row>
    <row r="53" customHeight="1" spans="13:74">
      <c r="M53" s="25" t="s">
        <v>5466</v>
      </c>
      <c r="N53" s="6" t="s">
        <v>5597</v>
      </c>
      <c r="O53" s="29"/>
      <c r="P53" s="29"/>
      <c r="Q53" s="29"/>
      <c r="R53" s="29"/>
      <c r="S53" s="29"/>
      <c r="T53" s="29"/>
      <c r="U53" s="29"/>
      <c r="V53" s="29"/>
      <c r="W53" s="29"/>
      <c r="AN53" s="39"/>
      <c r="AO53" s="5" t="s">
        <v>5598</v>
      </c>
      <c r="AP53" s="5"/>
      <c r="AQ53" s="5"/>
      <c r="AR53" s="5"/>
      <c r="AS53" s="5"/>
      <c r="AT53" s="5"/>
      <c r="AU53" s="5"/>
      <c r="AV53" s="5"/>
      <c r="AW53" s="5"/>
      <c r="AX53" s="5"/>
      <c r="AY53" s="46"/>
      <c r="AZ53" s="44"/>
      <c r="BA53" s="4"/>
      <c r="BB53" s="4"/>
      <c r="BC53" s="4"/>
      <c r="BD53" s="4"/>
      <c r="BE53" s="4"/>
      <c r="BF53" s="4"/>
      <c r="BG53" s="4"/>
      <c r="BH53" s="4"/>
      <c r="BI53" s="4"/>
      <c r="BJ53" s="4"/>
      <c r="BK53" s="46"/>
      <c r="BL53" s="39"/>
      <c r="BM53" s="4"/>
      <c r="BN53" s="4"/>
      <c r="BO53" s="4"/>
      <c r="BP53" s="4"/>
      <c r="BQ53" s="4"/>
      <c r="BR53" s="4"/>
      <c r="BS53" s="4"/>
      <c r="BT53" s="4"/>
      <c r="BU53" s="4"/>
      <c r="BV53" s="4"/>
    </row>
    <row r="54" customHeight="1" spans="13:74">
      <c r="M54" s="25"/>
      <c r="N54" s="29"/>
      <c r="O54" s="29"/>
      <c r="P54" s="29"/>
      <c r="Q54" s="29"/>
      <c r="R54" s="29"/>
      <c r="S54" s="29"/>
      <c r="T54" s="29"/>
      <c r="U54" s="29"/>
      <c r="V54" s="29"/>
      <c r="W54" s="29"/>
      <c r="AN54" s="39" t="s">
        <v>124</v>
      </c>
      <c r="AO54" s="11" t="s">
        <v>5599</v>
      </c>
      <c r="AP54" s="11"/>
      <c r="AQ54" s="11"/>
      <c r="AR54" s="11"/>
      <c r="AS54" s="11"/>
      <c r="AT54" s="11"/>
      <c r="AU54" s="11"/>
      <c r="AV54" s="11"/>
      <c r="AW54" s="11"/>
      <c r="AX54" s="11"/>
      <c r="AY54" s="46"/>
      <c r="AZ54" s="44"/>
      <c r="BA54" s="4"/>
      <c r="BB54" s="4"/>
      <c r="BC54" s="4"/>
      <c r="BD54" s="4"/>
      <c r="BE54" s="4"/>
      <c r="BF54" s="4"/>
      <c r="BG54" s="4"/>
      <c r="BH54" s="4"/>
      <c r="BI54" s="4"/>
      <c r="BJ54" s="4"/>
      <c r="BK54" s="46"/>
      <c r="BL54" s="39"/>
      <c r="BM54" s="4"/>
      <c r="BN54" s="4"/>
      <c r="BO54" s="4"/>
      <c r="BP54" s="4"/>
      <c r="BQ54" s="4"/>
      <c r="BR54" s="4"/>
      <c r="BS54" s="4"/>
      <c r="BT54" s="4"/>
      <c r="BU54" s="4"/>
      <c r="BV54" s="4"/>
    </row>
    <row r="55" customHeight="1" spans="13:74">
      <c r="M55" s="30" t="s">
        <v>124</v>
      </c>
      <c r="N55" s="31" t="s">
        <v>5600</v>
      </c>
      <c r="O55" s="31"/>
      <c r="P55" s="31"/>
      <c r="Q55" s="31"/>
      <c r="R55" s="31"/>
      <c r="S55" s="31"/>
      <c r="T55" s="31"/>
      <c r="U55" s="31"/>
      <c r="V55" s="31"/>
      <c r="W55" s="31"/>
      <c r="AN55" s="2" t="s">
        <v>5601</v>
      </c>
      <c r="AO55" s="2"/>
      <c r="AP55" s="2"/>
      <c r="AQ55" s="2"/>
      <c r="AR55" s="2"/>
      <c r="AS55" s="2"/>
      <c r="AT55" s="2"/>
      <c r="AU55" s="2"/>
      <c r="AV55" s="2"/>
      <c r="AW55" s="2"/>
      <c r="AX55" s="2"/>
      <c r="AY55" s="46"/>
      <c r="AZ55" s="44"/>
      <c r="BA55" s="5" t="s">
        <v>5602</v>
      </c>
      <c r="BB55" s="5"/>
      <c r="BC55" s="5"/>
      <c r="BD55" s="5"/>
      <c r="BE55" s="5"/>
      <c r="BF55" s="5"/>
      <c r="BG55" s="5"/>
      <c r="BH55" s="5"/>
      <c r="BI55" s="5"/>
      <c r="BJ55" s="5"/>
      <c r="BK55" s="46"/>
      <c r="BL55" s="39"/>
      <c r="BM55" s="4"/>
      <c r="BN55" s="4"/>
      <c r="BO55" s="4"/>
      <c r="BP55" s="4"/>
      <c r="BQ55" s="4"/>
      <c r="BR55" s="4"/>
      <c r="BS55" s="4"/>
      <c r="BT55" s="4"/>
      <c r="BU55" s="4"/>
      <c r="BV55" s="4"/>
    </row>
    <row r="56" customHeight="1" spans="13:74">
      <c r="M56" s="2" t="s">
        <v>5603</v>
      </c>
      <c r="N56" s="2"/>
      <c r="O56" s="2"/>
      <c r="P56" s="2"/>
      <c r="Q56" s="2"/>
      <c r="R56" s="2"/>
      <c r="S56" s="2"/>
      <c r="T56" s="2"/>
      <c r="U56" s="2"/>
      <c r="V56" s="2"/>
      <c r="W56" s="2"/>
      <c r="AN56" s="44" t="s">
        <v>5413</v>
      </c>
      <c r="AO56" s="5" t="s">
        <v>5604</v>
      </c>
      <c r="AP56" s="5"/>
      <c r="AQ56" s="5"/>
      <c r="AR56" s="5"/>
      <c r="AS56" s="5"/>
      <c r="AT56" s="5"/>
      <c r="AU56" s="5"/>
      <c r="AV56" s="5"/>
      <c r="AW56" s="5"/>
      <c r="AX56" s="5"/>
      <c r="AY56" s="46"/>
      <c r="AZ56" s="44"/>
      <c r="BA56" s="5" t="s">
        <v>5605</v>
      </c>
      <c r="BB56" s="5"/>
      <c r="BC56" s="5"/>
      <c r="BD56" s="5"/>
      <c r="BE56" s="5"/>
      <c r="BF56" s="5"/>
      <c r="BG56" s="5"/>
      <c r="BH56" s="5"/>
      <c r="BI56" s="5"/>
      <c r="BJ56" s="5"/>
      <c r="BK56" s="46"/>
      <c r="BL56" s="39"/>
      <c r="BM56" s="4"/>
      <c r="BN56" s="4"/>
      <c r="BO56" s="4"/>
      <c r="BP56" s="4"/>
      <c r="BQ56" s="4"/>
      <c r="BR56" s="4"/>
      <c r="BS56" s="4"/>
      <c r="BT56" s="4"/>
      <c r="BU56" s="4"/>
      <c r="BV56" s="4"/>
    </row>
    <row r="57" customHeight="1" spans="13:74">
      <c r="M57" s="3" t="s">
        <v>5413</v>
      </c>
      <c r="N57" s="5" t="s">
        <v>5606</v>
      </c>
      <c r="O57" s="5"/>
      <c r="P57" s="5"/>
      <c r="Q57" s="5"/>
      <c r="R57" s="5"/>
      <c r="S57" s="5"/>
      <c r="T57" s="5"/>
      <c r="U57" s="5"/>
      <c r="V57" s="5"/>
      <c r="W57" s="5"/>
      <c r="AN57" s="44"/>
      <c r="AO57" s="5" t="s">
        <v>5607</v>
      </c>
      <c r="AP57" s="5"/>
      <c r="AQ57" s="5"/>
      <c r="AR57" s="5"/>
      <c r="AS57" s="5"/>
      <c r="AT57" s="5"/>
      <c r="AU57" s="5"/>
      <c r="AV57" s="5"/>
      <c r="AW57" s="5"/>
      <c r="AX57" s="5"/>
      <c r="AY57" s="46"/>
      <c r="AZ57" s="50" t="s">
        <v>5466</v>
      </c>
      <c r="BA57" s="5" t="s">
        <v>5608</v>
      </c>
      <c r="BB57" s="5"/>
      <c r="BC57" s="5"/>
      <c r="BD57" s="5"/>
      <c r="BE57" s="5"/>
      <c r="BF57" s="5"/>
      <c r="BG57" s="5"/>
      <c r="BH57" s="5"/>
      <c r="BI57" s="5"/>
      <c r="BJ57" s="5"/>
      <c r="BK57" s="46"/>
      <c r="BL57" s="39"/>
      <c r="BM57" s="4"/>
      <c r="BN57" s="4"/>
      <c r="BO57" s="4"/>
      <c r="BP57" s="4"/>
      <c r="BQ57" s="4"/>
      <c r="BR57" s="4"/>
      <c r="BS57" s="4"/>
      <c r="BT57" s="4"/>
      <c r="BU57" s="4"/>
      <c r="BV57" s="4"/>
    </row>
    <row r="58" customHeight="1" spans="13:74">
      <c r="M58" s="3"/>
      <c r="N58" s="6" t="s">
        <v>5609</v>
      </c>
      <c r="O58" s="6"/>
      <c r="P58" s="6"/>
      <c r="Q58" s="6"/>
      <c r="R58" s="6"/>
      <c r="S58" s="6"/>
      <c r="T58" s="6"/>
      <c r="U58" s="6"/>
      <c r="V58" s="6"/>
      <c r="W58" s="6"/>
      <c r="AN58" s="44"/>
      <c r="AO58" s="42" t="s">
        <v>5610</v>
      </c>
      <c r="AP58" s="43"/>
      <c r="AQ58" s="43"/>
      <c r="AR58" s="43"/>
      <c r="AS58" s="43"/>
      <c r="AT58" s="43"/>
      <c r="AU58" s="43"/>
      <c r="AV58" s="43"/>
      <c r="AW58" s="43"/>
      <c r="AX58" s="43"/>
      <c r="AY58" s="46"/>
      <c r="AZ58" s="50"/>
      <c r="BA58" s="4" t="s">
        <v>5611</v>
      </c>
      <c r="BB58" s="5"/>
      <c r="BC58" s="5"/>
      <c r="BD58" s="5"/>
      <c r="BE58" s="5"/>
      <c r="BF58" s="5"/>
      <c r="BG58" s="5"/>
      <c r="BH58" s="5"/>
      <c r="BI58" s="5"/>
      <c r="BJ58" s="5"/>
      <c r="BK58" s="46"/>
      <c r="BL58" s="39"/>
      <c r="BM58" s="4"/>
      <c r="BN58" s="4"/>
      <c r="BO58" s="4"/>
      <c r="BP58" s="4"/>
      <c r="BQ58" s="4"/>
      <c r="BR58" s="4"/>
      <c r="BS58" s="4"/>
      <c r="BT58" s="4"/>
      <c r="BU58" s="4"/>
      <c r="BV58" s="4"/>
    </row>
    <row r="59" customHeight="1" spans="13:74">
      <c r="M59" s="3"/>
      <c r="N59" s="6"/>
      <c r="O59" s="6"/>
      <c r="P59" s="6"/>
      <c r="Q59" s="6"/>
      <c r="R59" s="6"/>
      <c r="S59" s="6"/>
      <c r="T59" s="6"/>
      <c r="U59" s="6"/>
      <c r="V59" s="6"/>
      <c r="W59" s="6"/>
      <c r="AN59" s="44"/>
      <c r="AO59" s="43"/>
      <c r="AP59" s="43"/>
      <c r="AQ59" s="43"/>
      <c r="AR59" s="43"/>
      <c r="AS59" s="43"/>
      <c r="AT59" s="43"/>
      <c r="AU59" s="43"/>
      <c r="AV59" s="43"/>
      <c r="AW59" s="43"/>
      <c r="AX59" s="43"/>
      <c r="AY59" s="46"/>
      <c r="AZ59" s="50"/>
      <c r="BA59" s="5"/>
      <c r="BB59" s="5"/>
      <c r="BC59" s="5"/>
      <c r="BD59" s="5"/>
      <c r="BE59" s="5"/>
      <c r="BF59" s="5"/>
      <c r="BG59" s="5"/>
      <c r="BH59" s="5"/>
      <c r="BI59" s="5"/>
      <c r="BJ59" s="5"/>
      <c r="BK59" s="46"/>
      <c r="BL59" s="39"/>
      <c r="BM59" s="4"/>
      <c r="BN59" s="4"/>
      <c r="BO59" s="4"/>
      <c r="BP59" s="4"/>
      <c r="BQ59" s="4"/>
      <c r="BR59" s="4"/>
      <c r="BS59" s="4"/>
      <c r="BT59" s="4"/>
      <c r="BU59" s="4"/>
      <c r="BV59" s="4"/>
    </row>
    <row r="60" customHeight="1" spans="13:74">
      <c r="M60" s="3"/>
      <c r="N60" s="6"/>
      <c r="O60" s="6"/>
      <c r="P60" s="6"/>
      <c r="Q60" s="6"/>
      <c r="R60" s="6"/>
      <c r="S60" s="6"/>
      <c r="T60" s="6"/>
      <c r="U60" s="6"/>
      <c r="V60" s="6"/>
      <c r="W60" s="6"/>
      <c r="AN60" s="44"/>
      <c r="AO60" s="43"/>
      <c r="AP60" s="43"/>
      <c r="AQ60" s="43"/>
      <c r="AR60" s="43"/>
      <c r="AS60" s="43"/>
      <c r="AT60" s="43"/>
      <c r="AU60" s="43"/>
      <c r="AV60" s="43"/>
      <c r="AW60" s="43"/>
      <c r="AX60" s="43"/>
      <c r="AY60" s="46"/>
      <c r="AZ60" s="27" t="s">
        <v>5437</v>
      </c>
      <c r="BA60" s="4" t="s">
        <v>5612</v>
      </c>
      <c r="BB60" s="4"/>
      <c r="BC60" s="4"/>
      <c r="BD60" s="4"/>
      <c r="BE60" s="4"/>
      <c r="BF60" s="4"/>
      <c r="BG60" s="4"/>
      <c r="BH60" s="4"/>
      <c r="BI60" s="4"/>
      <c r="BJ60" s="4"/>
      <c r="BK60" s="46"/>
      <c r="BL60" s="39"/>
      <c r="BM60" s="4"/>
      <c r="BN60" s="4"/>
      <c r="BO60" s="4"/>
      <c r="BP60" s="4"/>
      <c r="BQ60" s="4"/>
      <c r="BR60" s="4"/>
      <c r="BS60" s="4"/>
      <c r="BT60" s="4"/>
      <c r="BU60" s="4"/>
      <c r="BV60" s="4"/>
    </row>
    <row r="61" customHeight="1" spans="13:74">
      <c r="M61" s="3"/>
      <c r="N61" s="6"/>
      <c r="O61" s="6"/>
      <c r="P61" s="6"/>
      <c r="Q61" s="6"/>
      <c r="R61" s="6"/>
      <c r="S61" s="6"/>
      <c r="T61" s="6"/>
      <c r="U61" s="6"/>
      <c r="V61" s="6"/>
      <c r="W61" s="6"/>
      <c r="AN61" s="44"/>
      <c r="AO61" s="42" t="s">
        <v>5613</v>
      </c>
      <c r="AP61" s="43"/>
      <c r="AQ61" s="43"/>
      <c r="AR61" s="43"/>
      <c r="AS61" s="43"/>
      <c r="AT61" s="43"/>
      <c r="AU61" s="43"/>
      <c r="AV61" s="43"/>
      <c r="AW61" s="43"/>
      <c r="AX61" s="43"/>
      <c r="AY61" s="46"/>
      <c r="AZ61" s="39" t="s">
        <v>5586</v>
      </c>
      <c r="BA61" s="4" t="s">
        <v>5614</v>
      </c>
      <c r="BB61" s="5"/>
      <c r="BC61" s="5"/>
      <c r="BD61" s="5"/>
      <c r="BE61" s="5"/>
      <c r="BF61" s="5"/>
      <c r="BG61" s="5"/>
      <c r="BH61" s="5"/>
      <c r="BI61" s="5"/>
      <c r="BJ61" s="5"/>
      <c r="BK61" s="46"/>
      <c r="BL61" s="39" t="s">
        <v>5615</v>
      </c>
      <c r="BM61" s="4" t="s">
        <v>5616</v>
      </c>
      <c r="BN61" s="4"/>
      <c r="BO61" s="4"/>
      <c r="BP61" s="4"/>
      <c r="BQ61" s="4"/>
      <c r="BR61" s="4"/>
      <c r="BS61" s="4"/>
      <c r="BT61" s="4"/>
      <c r="BU61" s="4"/>
      <c r="BV61" s="4"/>
    </row>
    <row r="62" customHeight="1" spans="13:74">
      <c r="M62" s="3"/>
      <c r="N62" s="6"/>
      <c r="O62" s="6"/>
      <c r="P62" s="6"/>
      <c r="Q62" s="6"/>
      <c r="R62" s="6"/>
      <c r="S62" s="6"/>
      <c r="T62" s="6"/>
      <c r="U62" s="6"/>
      <c r="V62" s="6"/>
      <c r="W62" s="6"/>
      <c r="AN62" s="44"/>
      <c r="AO62" s="43"/>
      <c r="AP62" s="43"/>
      <c r="AQ62" s="43"/>
      <c r="AR62" s="43"/>
      <c r="AS62" s="43"/>
      <c r="AT62" s="43"/>
      <c r="AU62" s="43"/>
      <c r="AV62" s="43"/>
      <c r="AW62" s="43"/>
      <c r="AX62" s="43"/>
      <c r="AY62" s="46"/>
      <c r="AZ62" s="39"/>
      <c r="BA62" s="4" t="s">
        <v>5617</v>
      </c>
      <c r="BB62" s="4"/>
      <c r="BC62" s="4"/>
      <c r="BD62" s="4"/>
      <c r="BE62" s="4"/>
      <c r="BF62" s="4"/>
      <c r="BG62" s="4"/>
      <c r="BH62" s="4"/>
      <c r="BI62" s="4"/>
      <c r="BJ62" s="4"/>
      <c r="BK62" s="46"/>
      <c r="BL62" s="39"/>
      <c r="BM62" s="4" t="s">
        <v>5618</v>
      </c>
      <c r="BN62" s="4"/>
      <c r="BO62" s="4"/>
      <c r="BP62" s="4"/>
      <c r="BQ62" s="4"/>
      <c r="BR62" s="4"/>
      <c r="BS62" s="4"/>
      <c r="BT62" s="4"/>
      <c r="BU62" s="4"/>
      <c r="BV62" s="4"/>
    </row>
    <row r="63" customHeight="1" spans="13:74">
      <c r="M63" s="3"/>
      <c r="N63" s="6"/>
      <c r="O63" s="6"/>
      <c r="P63" s="6"/>
      <c r="Q63" s="6"/>
      <c r="R63" s="6"/>
      <c r="S63" s="6"/>
      <c r="T63" s="6"/>
      <c r="U63" s="6"/>
      <c r="V63" s="6"/>
      <c r="W63" s="6"/>
      <c r="AN63" s="44"/>
      <c r="AO63" s="43"/>
      <c r="AP63" s="43"/>
      <c r="AQ63" s="43"/>
      <c r="AR63" s="43"/>
      <c r="AS63" s="43"/>
      <c r="AT63" s="43"/>
      <c r="AU63" s="43"/>
      <c r="AV63" s="43"/>
      <c r="AW63" s="43"/>
      <c r="AX63" s="43"/>
      <c r="AY63" s="46"/>
      <c r="AZ63" s="39"/>
      <c r="BA63" s="4"/>
      <c r="BB63" s="4"/>
      <c r="BC63" s="4"/>
      <c r="BD63" s="4"/>
      <c r="BE63" s="4"/>
      <c r="BF63" s="4"/>
      <c r="BG63" s="4"/>
      <c r="BH63" s="4"/>
      <c r="BI63" s="4"/>
      <c r="BJ63" s="4"/>
      <c r="BK63" s="46"/>
      <c r="BL63" s="39"/>
      <c r="BM63" s="4"/>
      <c r="BN63" s="4"/>
      <c r="BO63" s="4"/>
      <c r="BP63" s="4"/>
      <c r="BQ63" s="4"/>
      <c r="BR63" s="4"/>
      <c r="BS63" s="4"/>
      <c r="BT63" s="4"/>
      <c r="BU63" s="4"/>
      <c r="BV63" s="4"/>
    </row>
    <row r="64" customHeight="1" spans="13:74">
      <c r="M64" s="3"/>
      <c r="N64" s="6"/>
      <c r="O64" s="6"/>
      <c r="P64" s="6"/>
      <c r="Q64" s="6"/>
      <c r="R64" s="6"/>
      <c r="S64" s="6"/>
      <c r="T64" s="6"/>
      <c r="U64" s="6"/>
      <c r="V64" s="6"/>
      <c r="W64" s="6"/>
      <c r="AN64" s="44"/>
      <c r="AO64" s="5" t="s">
        <v>5421</v>
      </c>
      <c r="AP64" s="5"/>
      <c r="AQ64" s="5"/>
      <c r="AR64" s="5"/>
      <c r="AS64" s="5"/>
      <c r="AT64" s="5"/>
      <c r="AU64" s="5"/>
      <c r="AV64" s="5"/>
      <c r="AW64" s="5"/>
      <c r="AX64" s="5"/>
      <c r="AY64" s="46"/>
      <c r="AZ64" s="39"/>
      <c r="BA64" s="4"/>
      <c r="BB64" s="4"/>
      <c r="BC64" s="4"/>
      <c r="BD64" s="4"/>
      <c r="BE64" s="4"/>
      <c r="BF64" s="4"/>
      <c r="BG64" s="4"/>
      <c r="BH64" s="4"/>
      <c r="BI64" s="4"/>
      <c r="BJ64" s="4"/>
      <c r="BK64" s="46"/>
      <c r="BL64" s="39"/>
      <c r="BM64" s="4" t="s">
        <v>5619</v>
      </c>
      <c r="BN64" s="4"/>
      <c r="BO64" s="4"/>
      <c r="BP64" s="4"/>
      <c r="BQ64" s="4"/>
      <c r="BR64" s="4"/>
      <c r="BS64" s="4"/>
      <c r="BT64" s="4"/>
      <c r="BU64" s="4"/>
      <c r="BV64" s="4"/>
    </row>
    <row r="65" customHeight="1" spans="13:74">
      <c r="M65" s="3"/>
      <c r="N65" s="6"/>
      <c r="O65" s="6"/>
      <c r="P65" s="6"/>
      <c r="Q65" s="6"/>
      <c r="R65" s="6"/>
      <c r="S65" s="6"/>
      <c r="T65" s="6"/>
      <c r="U65" s="6"/>
      <c r="V65" s="6"/>
      <c r="W65" s="6"/>
      <c r="AN65" s="44"/>
      <c r="AO65" s="42" t="s">
        <v>5620</v>
      </c>
      <c r="AP65" s="43"/>
      <c r="AQ65" s="43"/>
      <c r="AR65" s="43"/>
      <c r="AS65" s="43"/>
      <c r="AT65" s="43"/>
      <c r="AU65" s="43"/>
      <c r="AV65" s="43"/>
      <c r="AW65" s="43"/>
      <c r="AX65" s="43"/>
      <c r="AY65" s="46"/>
      <c r="AZ65" s="39"/>
      <c r="BA65" s="4" t="s">
        <v>5621</v>
      </c>
      <c r="BB65" s="4"/>
      <c r="BC65" s="4"/>
      <c r="BD65" s="4"/>
      <c r="BE65" s="4"/>
      <c r="BF65" s="4"/>
      <c r="BG65" s="4"/>
      <c r="BH65" s="4"/>
      <c r="BI65" s="4"/>
      <c r="BJ65" s="4"/>
      <c r="BK65" s="46"/>
      <c r="BL65" s="39"/>
      <c r="BM65" s="4"/>
      <c r="BN65" s="4"/>
      <c r="BO65" s="4"/>
      <c r="BP65" s="4"/>
      <c r="BQ65" s="4"/>
      <c r="BR65" s="4"/>
      <c r="BS65" s="4"/>
      <c r="BT65" s="4"/>
      <c r="BU65" s="4"/>
      <c r="BV65" s="4"/>
    </row>
    <row r="66" customHeight="1" spans="13:74">
      <c r="M66" s="3"/>
      <c r="N66" s="4" t="s">
        <v>5622</v>
      </c>
      <c r="O66" s="4"/>
      <c r="P66" s="4"/>
      <c r="Q66" s="4"/>
      <c r="R66" s="4"/>
      <c r="S66" s="4"/>
      <c r="T66" s="4"/>
      <c r="U66" s="4"/>
      <c r="V66" s="4"/>
      <c r="W66" s="4"/>
      <c r="AN66" s="44"/>
      <c r="AO66" s="43"/>
      <c r="AP66" s="43"/>
      <c r="AQ66" s="43"/>
      <c r="AR66" s="43"/>
      <c r="AS66" s="43"/>
      <c r="AT66" s="43"/>
      <c r="AU66" s="43"/>
      <c r="AV66" s="43"/>
      <c r="AW66" s="43"/>
      <c r="AX66" s="43"/>
      <c r="AY66" s="46"/>
      <c r="AZ66" s="2" t="s">
        <v>5623</v>
      </c>
      <c r="BA66" s="2"/>
      <c r="BB66" s="2"/>
      <c r="BC66" s="2"/>
      <c r="BD66" s="2"/>
      <c r="BE66" s="2"/>
      <c r="BF66" s="2"/>
      <c r="BG66" s="2"/>
      <c r="BH66" s="2"/>
      <c r="BI66" s="2"/>
      <c r="BJ66" s="2"/>
      <c r="BK66" s="46"/>
      <c r="BL66" s="39"/>
      <c r="BM66" s="4"/>
      <c r="BN66" s="4"/>
      <c r="BO66" s="4"/>
      <c r="BP66" s="4"/>
      <c r="BQ66" s="4"/>
      <c r="BR66" s="4"/>
      <c r="BS66" s="4"/>
      <c r="BT66" s="4"/>
      <c r="BU66" s="4"/>
      <c r="BV66" s="4"/>
    </row>
    <row r="67" customHeight="1" spans="13:74">
      <c r="M67" s="3"/>
      <c r="N67" s="4"/>
      <c r="O67" s="4"/>
      <c r="P67" s="4"/>
      <c r="Q67" s="4"/>
      <c r="R67" s="4"/>
      <c r="S67" s="4"/>
      <c r="T67" s="4"/>
      <c r="U67" s="4"/>
      <c r="V67" s="4"/>
      <c r="W67" s="4"/>
      <c r="AN67" s="44"/>
      <c r="AO67" s="43"/>
      <c r="AP67" s="43"/>
      <c r="AQ67" s="43"/>
      <c r="AR67" s="43"/>
      <c r="AS67" s="43"/>
      <c r="AT67" s="43"/>
      <c r="AU67" s="43"/>
      <c r="AV67" s="43"/>
      <c r="AW67" s="43"/>
      <c r="AX67" s="43"/>
      <c r="AY67" s="46"/>
      <c r="AZ67" s="49" t="s">
        <v>5413</v>
      </c>
      <c r="BA67" s="5" t="s">
        <v>5624</v>
      </c>
      <c r="BB67" s="5"/>
      <c r="BC67" s="5"/>
      <c r="BD67" s="5"/>
      <c r="BE67" s="5"/>
      <c r="BF67" s="5"/>
      <c r="BG67" s="5"/>
      <c r="BH67" s="5"/>
      <c r="BI67" s="5"/>
      <c r="BJ67" s="5"/>
      <c r="BK67" s="46"/>
      <c r="BL67" s="39"/>
      <c r="BM67" s="4" t="s">
        <v>5625</v>
      </c>
      <c r="BN67" s="4"/>
      <c r="BO67" s="4"/>
      <c r="BP67" s="4"/>
      <c r="BQ67" s="4"/>
      <c r="BR67" s="4"/>
      <c r="BS67" s="4"/>
      <c r="BT67" s="4"/>
      <c r="BU67" s="4"/>
      <c r="BV67" s="4"/>
    </row>
    <row r="68" customHeight="1" spans="13:74">
      <c r="M68" s="3"/>
      <c r="N68" s="4"/>
      <c r="O68" s="4"/>
      <c r="P68" s="4"/>
      <c r="Q68" s="4"/>
      <c r="R68" s="4"/>
      <c r="S68" s="4"/>
      <c r="T68" s="4"/>
      <c r="U68" s="4"/>
      <c r="V68" s="4"/>
      <c r="W68" s="4"/>
      <c r="AN68" s="44"/>
      <c r="AO68" s="43"/>
      <c r="AP68" s="43"/>
      <c r="AQ68" s="43"/>
      <c r="AR68" s="43"/>
      <c r="AS68" s="43"/>
      <c r="AT68" s="43"/>
      <c r="AU68" s="43"/>
      <c r="AV68" s="43"/>
      <c r="AW68" s="43"/>
      <c r="AX68" s="43"/>
      <c r="AY68" s="46"/>
      <c r="AZ68" s="49"/>
      <c r="BA68" s="4" t="s">
        <v>5626</v>
      </c>
      <c r="BB68" s="5"/>
      <c r="BC68" s="5"/>
      <c r="BD68" s="5"/>
      <c r="BE68" s="5"/>
      <c r="BF68" s="5"/>
      <c r="BG68" s="5"/>
      <c r="BH68" s="5"/>
      <c r="BI68" s="5"/>
      <c r="BJ68" s="5"/>
      <c r="BK68" s="46"/>
      <c r="BL68" s="39"/>
      <c r="BM68" s="4"/>
      <c r="BN68" s="4"/>
      <c r="BO68" s="4"/>
      <c r="BP68" s="4"/>
      <c r="BQ68" s="4"/>
      <c r="BR68" s="4"/>
      <c r="BS68" s="4"/>
      <c r="BT68" s="4"/>
      <c r="BU68" s="4"/>
      <c r="BV68" s="4"/>
    </row>
    <row r="69" customHeight="1" spans="13:74">
      <c r="M69" s="3"/>
      <c r="N69" s="54" t="s">
        <v>5627</v>
      </c>
      <c r="O69" s="54"/>
      <c r="P69" s="54"/>
      <c r="Q69" s="54"/>
      <c r="R69" s="54"/>
      <c r="S69" s="54"/>
      <c r="T69" s="54"/>
      <c r="U69" s="54"/>
      <c r="V69" s="54"/>
      <c r="W69" s="54"/>
      <c r="AN69" s="44"/>
      <c r="AO69" s="43"/>
      <c r="AP69" s="43"/>
      <c r="AQ69" s="43"/>
      <c r="AR69" s="43"/>
      <c r="AS69" s="43"/>
      <c r="AT69" s="43"/>
      <c r="AU69" s="43"/>
      <c r="AV69" s="43"/>
      <c r="AW69" s="43"/>
      <c r="AX69" s="43"/>
      <c r="AY69" s="46"/>
      <c r="AZ69" s="49"/>
      <c r="BA69" s="5"/>
      <c r="BB69" s="5"/>
      <c r="BC69" s="5"/>
      <c r="BD69" s="5"/>
      <c r="BE69" s="5"/>
      <c r="BF69" s="5"/>
      <c r="BG69" s="5"/>
      <c r="BH69" s="5"/>
      <c r="BI69" s="5"/>
      <c r="BJ69" s="5"/>
      <c r="BK69" s="46"/>
      <c r="BL69" s="39"/>
      <c r="BM69" s="4"/>
      <c r="BN69" s="4"/>
      <c r="BO69" s="4"/>
      <c r="BP69" s="4"/>
      <c r="BQ69" s="4"/>
      <c r="BR69" s="4"/>
      <c r="BS69" s="4"/>
      <c r="BT69" s="4"/>
      <c r="BU69" s="4"/>
      <c r="BV69" s="4"/>
    </row>
    <row r="70" customHeight="1" spans="13:74">
      <c r="M70" s="3"/>
      <c r="N70" s="4" t="s">
        <v>5628</v>
      </c>
      <c r="O70" s="4"/>
      <c r="P70" s="4"/>
      <c r="Q70" s="4"/>
      <c r="R70" s="4"/>
      <c r="S70" s="4"/>
      <c r="T70" s="4"/>
      <c r="U70" s="4"/>
      <c r="V70" s="4"/>
      <c r="W70" s="4"/>
      <c r="AN70" s="44"/>
      <c r="AO70" s="5" t="s">
        <v>5629</v>
      </c>
      <c r="AP70" s="5"/>
      <c r="AQ70" s="5"/>
      <c r="AR70" s="5"/>
      <c r="AS70" s="5"/>
      <c r="AT70" s="5"/>
      <c r="AU70" s="5"/>
      <c r="AV70" s="5"/>
      <c r="AW70" s="5"/>
      <c r="AX70" s="5"/>
      <c r="AY70" s="46"/>
      <c r="AZ70" s="49"/>
      <c r="BA70" s="5" t="s">
        <v>5630</v>
      </c>
      <c r="BB70" s="5"/>
      <c r="BC70" s="5"/>
      <c r="BD70" s="5"/>
      <c r="BE70" s="5"/>
      <c r="BF70" s="5"/>
      <c r="BG70" s="5"/>
      <c r="BH70" s="5"/>
      <c r="BI70" s="5"/>
      <c r="BJ70" s="5"/>
      <c r="BK70" s="46"/>
      <c r="BL70" s="39"/>
      <c r="BM70" s="4"/>
      <c r="BN70" s="4"/>
      <c r="BO70" s="4"/>
      <c r="BP70" s="4"/>
      <c r="BQ70" s="4"/>
      <c r="BR70" s="4"/>
      <c r="BS70" s="4"/>
      <c r="BT70" s="4"/>
      <c r="BU70" s="4"/>
      <c r="BV70" s="4"/>
    </row>
    <row r="71" customHeight="1" spans="13:74">
      <c r="M71" s="3"/>
      <c r="N71" s="4"/>
      <c r="O71" s="4"/>
      <c r="P71" s="4"/>
      <c r="Q71" s="4"/>
      <c r="R71" s="4"/>
      <c r="S71" s="4"/>
      <c r="T71" s="4"/>
      <c r="U71" s="4"/>
      <c r="V71" s="4"/>
      <c r="W71" s="4"/>
      <c r="AN71" s="44"/>
      <c r="AO71" s="5" t="s">
        <v>5631</v>
      </c>
      <c r="AP71" s="5"/>
      <c r="AQ71" s="5"/>
      <c r="AR71" s="5"/>
      <c r="AS71" s="5"/>
      <c r="AT71" s="5"/>
      <c r="AU71" s="5"/>
      <c r="AV71" s="5"/>
      <c r="AW71" s="5"/>
      <c r="AX71" s="5"/>
      <c r="AY71" s="46"/>
      <c r="AZ71" s="49"/>
      <c r="BA71" s="4" t="s">
        <v>5632</v>
      </c>
      <c r="BB71" s="5"/>
      <c r="BC71" s="5"/>
      <c r="BD71" s="5"/>
      <c r="BE71" s="5"/>
      <c r="BF71" s="5"/>
      <c r="BG71" s="5"/>
      <c r="BH71" s="5"/>
      <c r="BI71" s="5"/>
      <c r="BJ71" s="5"/>
      <c r="BK71" s="46"/>
      <c r="BL71" s="39"/>
      <c r="BM71" s="4"/>
      <c r="BN71" s="4"/>
      <c r="BO71" s="4"/>
      <c r="BP71" s="4"/>
      <c r="BQ71" s="4"/>
      <c r="BR71" s="4"/>
      <c r="BS71" s="4"/>
      <c r="BT71" s="4"/>
      <c r="BU71" s="4"/>
      <c r="BV71" s="4"/>
    </row>
    <row r="72" customHeight="1" spans="13:74">
      <c r="M72" s="3"/>
      <c r="N72" s="4"/>
      <c r="O72" s="4"/>
      <c r="P72" s="4"/>
      <c r="Q72" s="4"/>
      <c r="R72" s="4"/>
      <c r="S72" s="4"/>
      <c r="T72" s="4"/>
      <c r="U72" s="4"/>
      <c r="V72" s="4"/>
      <c r="W72" s="4"/>
      <c r="AN72" s="44"/>
      <c r="AO72" s="4" t="s">
        <v>5633</v>
      </c>
      <c r="AP72" s="4"/>
      <c r="AQ72" s="4"/>
      <c r="AR72" s="4"/>
      <c r="AS72" s="4"/>
      <c r="AT72" s="4"/>
      <c r="AU72" s="4"/>
      <c r="AV72" s="4"/>
      <c r="AW72" s="4"/>
      <c r="AX72" s="4"/>
      <c r="AY72" s="46"/>
      <c r="AZ72" s="49"/>
      <c r="BA72" s="5"/>
      <c r="BB72" s="5"/>
      <c r="BC72" s="5"/>
      <c r="BD72" s="5"/>
      <c r="BE72" s="5"/>
      <c r="BF72" s="5"/>
      <c r="BG72" s="5"/>
      <c r="BH72" s="5"/>
      <c r="BI72" s="5"/>
      <c r="BJ72" s="5"/>
      <c r="BK72" s="46"/>
      <c r="BL72" s="39"/>
      <c r="BM72" s="4"/>
      <c r="BN72" s="4"/>
      <c r="BO72" s="4"/>
      <c r="BP72" s="4"/>
      <c r="BQ72" s="4"/>
      <c r="BR72" s="4"/>
      <c r="BS72" s="4"/>
      <c r="BT72" s="4"/>
      <c r="BU72" s="4"/>
      <c r="BV72" s="4"/>
    </row>
    <row r="73" customHeight="1" spans="13:74">
      <c r="M73" s="3"/>
      <c r="N73" s="4" t="s">
        <v>5634</v>
      </c>
      <c r="O73" s="4"/>
      <c r="P73" s="4"/>
      <c r="Q73" s="4"/>
      <c r="R73" s="4"/>
      <c r="S73" s="4"/>
      <c r="T73" s="4"/>
      <c r="U73" s="4"/>
      <c r="V73" s="4"/>
      <c r="W73" s="4"/>
      <c r="AN73" s="44"/>
      <c r="AO73" s="4"/>
      <c r="AP73" s="4"/>
      <c r="AQ73" s="4"/>
      <c r="AR73" s="4"/>
      <c r="AS73" s="4"/>
      <c r="AT73" s="4"/>
      <c r="AU73" s="4"/>
      <c r="AV73" s="4"/>
      <c r="AW73" s="4"/>
      <c r="AX73" s="4"/>
      <c r="AY73" s="46"/>
      <c r="AZ73" s="49"/>
      <c r="BA73" s="5"/>
      <c r="BB73" s="5"/>
      <c r="BC73" s="5"/>
      <c r="BD73" s="5"/>
      <c r="BE73" s="5"/>
      <c r="BF73" s="5"/>
      <c r="BG73" s="5"/>
      <c r="BH73" s="5"/>
      <c r="BI73" s="5"/>
      <c r="BJ73" s="5"/>
      <c r="BK73" s="46"/>
      <c r="BL73" s="39"/>
      <c r="BM73" s="4"/>
      <c r="BN73" s="4"/>
      <c r="BO73" s="4"/>
      <c r="BP73" s="4"/>
      <c r="BQ73" s="4"/>
      <c r="BR73" s="4"/>
      <c r="BS73" s="4"/>
      <c r="BT73" s="4"/>
      <c r="BU73" s="4"/>
      <c r="BV73" s="4"/>
    </row>
    <row r="74" customHeight="1" spans="13:74">
      <c r="M74" s="3"/>
      <c r="N74" s="4"/>
      <c r="O74" s="4"/>
      <c r="P74" s="4"/>
      <c r="Q74" s="4"/>
      <c r="R74" s="4"/>
      <c r="S74" s="4"/>
      <c r="T74" s="4"/>
      <c r="U74" s="4"/>
      <c r="V74" s="4"/>
      <c r="W74" s="4"/>
      <c r="AN74" s="44"/>
      <c r="AO74" s="4"/>
      <c r="AP74" s="4"/>
      <c r="AQ74" s="4"/>
      <c r="AR74" s="4"/>
      <c r="AS74" s="4"/>
      <c r="AT74" s="4"/>
      <c r="AU74" s="4"/>
      <c r="AV74" s="4"/>
      <c r="AW74" s="4"/>
      <c r="AX74" s="4"/>
      <c r="AY74" s="46"/>
      <c r="AZ74" s="49"/>
      <c r="BA74" s="5"/>
      <c r="BB74" s="5"/>
      <c r="BC74" s="5"/>
      <c r="BD74" s="5"/>
      <c r="BE74" s="5"/>
      <c r="BF74" s="5"/>
      <c r="BG74" s="5"/>
      <c r="BH74" s="5"/>
      <c r="BI74" s="5"/>
      <c r="BJ74" s="5"/>
      <c r="BK74" s="46"/>
      <c r="BL74" s="39"/>
      <c r="BM74" s="4"/>
      <c r="BN74" s="4"/>
      <c r="BO74" s="4"/>
      <c r="BP74" s="4"/>
      <c r="BQ74" s="4"/>
      <c r="BR74" s="4"/>
      <c r="BS74" s="4"/>
      <c r="BT74" s="4"/>
      <c r="BU74" s="4"/>
      <c r="BV74" s="4"/>
    </row>
    <row r="75" customHeight="1" spans="13:74">
      <c r="M75" s="3"/>
      <c r="N75" s="4"/>
      <c r="O75" s="4"/>
      <c r="P75" s="4"/>
      <c r="Q75" s="4"/>
      <c r="R75" s="4"/>
      <c r="S75" s="4"/>
      <c r="T75" s="4"/>
      <c r="U75" s="4"/>
      <c r="V75" s="4"/>
      <c r="W75" s="4"/>
      <c r="AN75" s="25" t="s">
        <v>5487</v>
      </c>
      <c r="AO75" s="4" t="s">
        <v>5635</v>
      </c>
      <c r="AP75" s="4"/>
      <c r="AQ75" s="4"/>
      <c r="AR75" s="4"/>
      <c r="AS75" s="4"/>
      <c r="AT75" s="4"/>
      <c r="AU75" s="4"/>
      <c r="AV75" s="4"/>
      <c r="AW75" s="4"/>
      <c r="AX75" s="4"/>
      <c r="AY75" s="46"/>
      <c r="AZ75" s="49"/>
      <c r="BA75" s="5"/>
      <c r="BB75" s="5"/>
      <c r="BC75" s="5"/>
      <c r="BD75" s="5"/>
      <c r="BE75" s="5"/>
      <c r="BF75" s="5"/>
      <c r="BG75" s="5"/>
      <c r="BH75" s="5"/>
      <c r="BI75" s="5"/>
      <c r="BJ75" s="5"/>
      <c r="BK75" s="46"/>
      <c r="BL75" s="39"/>
      <c r="BM75" s="4"/>
      <c r="BN75" s="4"/>
      <c r="BO75" s="4"/>
      <c r="BP75" s="4"/>
      <c r="BQ75" s="4"/>
      <c r="BR75" s="4"/>
      <c r="BS75" s="4"/>
      <c r="BT75" s="4"/>
      <c r="BU75" s="4"/>
      <c r="BV75" s="4"/>
    </row>
    <row r="76" customHeight="1" spans="13:74">
      <c r="M76" s="3"/>
      <c r="N76" s="4" t="s">
        <v>5636</v>
      </c>
      <c r="O76" s="5"/>
      <c r="P76" s="5"/>
      <c r="Q76" s="5"/>
      <c r="R76" s="5"/>
      <c r="S76" s="5"/>
      <c r="T76" s="5"/>
      <c r="U76" s="5"/>
      <c r="V76" s="5"/>
      <c r="W76" s="5"/>
      <c r="AN76" s="25"/>
      <c r="AO76" s="4"/>
      <c r="AP76" s="4"/>
      <c r="AQ76" s="4"/>
      <c r="AR76" s="4"/>
      <c r="AS76" s="4"/>
      <c r="AT76" s="4"/>
      <c r="AU76" s="4"/>
      <c r="AV76" s="4"/>
      <c r="AW76" s="4"/>
      <c r="AX76" s="4"/>
      <c r="AY76" s="46"/>
      <c r="AZ76" s="49"/>
      <c r="BA76" s="5"/>
      <c r="BB76" s="5"/>
      <c r="BC76" s="5"/>
      <c r="BD76" s="5"/>
      <c r="BE76" s="5"/>
      <c r="BF76" s="5"/>
      <c r="BG76" s="5"/>
      <c r="BH76" s="5"/>
      <c r="BI76" s="5"/>
      <c r="BJ76" s="5"/>
      <c r="BK76" s="46"/>
      <c r="BL76" s="39"/>
      <c r="BM76" s="4"/>
      <c r="BN76" s="4"/>
      <c r="BO76" s="4"/>
      <c r="BP76" s="4"/>
      <c r="BQ76" s="4"/>
      <c r="BR76" s="4"/>
      <c r="BS76" s="4"/>
      <c r="BT76" s="4"/>
      <c r="BU76" s="4"/>
      <c r="BV76" s="4"/>
    </row>
    <row r="77" customHeight="1" spans="13:74">
      <c r="M77" s="3"/>
      <c r="N77" s="5"/>
      <c r="O77" s="5"/>
      <c r="P77" s="5"/>
      <c r="Q77" s="5"/>
      <c r="R77" s="5"/>
      <c r="S77" s="5"/>
      <c r="T77" s="5"/>
      <c r="U77" s="5"/>
      <c r="V77" s="5"/>
      <c r="W77" s="5"/>
      <c r="AN77" s="25"/>
      <c r="AO77" s="4"/>
      <c r="AP77" s="4"/>
      <c r="AQ77" s="4"/>
      <c r="AR77" s="4"/>
      <c r="AS77" s="4"/>
      <c r="AT77" s="4"/>
      <c r="AU77" s="4"/>
      <c r="AV77" s="4"/>
      <c r="AW77" s="4"/>
      <c r="AX77" s="4"/>
      <c r="AY77" s="46"/>
      <c r="AZ77" s="49" t="s">
        <v>5540</v>
      </c>
      <c r="BA77" s="5" t="s">
        <v>5637</v>
      </c>
      <c r="BB77" s="5"/>
      <c r="BC77" s="5"/>
      <c r="BD77" s="5"/>
      <c r="BE77" s="5"/>
      <c r="BF77" s="5"/>
      <c r="BG77" s="5"/>
      <c r="BH77" s="5"/>
      <c r="BI77" s="5"/>
      <c r="BJ77" s="5"/>
      <c r="BK77" s="46"/>
      <c r="BL77" s="39"/>
      <c r="BM77" s="4"/>
      <c r="BN77" s="4"/>
      <c r="BO77" s="4"/>
      <c r="BP77" s="4"/>
      <c r="BQ77" s="4"/>
      <c r="BR77" s="4"/>
      <c r="BS77" s="4"/>
      <c r="BT77" s="4"/>
      <c r="BU77" s="4"/>
      <c r="BV77" s="4"/>
    </row>
    <row r="78" customHeight="1" spans="13:74">
      <c r="M78" s="25" t="s">
        <v>5470</v>
      </c>
      <c r="N78" s="42" t="s">
        <v>5638</v>
      </c>
      <c r="O78" s="42"/>
      <c r="P78" s="42"/>
      <c r="Q78" s="42"/>
      <c r="R78" s="42"/>
      <c r="S78" s="42"/>
      <c r="T78" s="42"/>
      <c r="U78" s="42"/>
      <c r="V78" s="42"/>
      <c r="W78" s="42"/>
      <c r="AN78" s="45" t="s">
        <v>5429</v>
      </c>
      <c r="AO78" s="4" t="s">
        <v>5639</v>
      </c>
      <c r="AP78" s="4"/>
      <c r="AQ78" s="4"/>
      <c r="AR78" s="4"/>
      <c r="AS78" s="4"/>
      <c r="AT78" s="4"/>
      <c r="AU78" s="4"/>
      <c r="AV78" s="4"/>
      <c r="AW78" s="4"/>
      <c r="AX78" s="4"/>
      <c r="AY78" s="46"/>
      <c r="AZ78" s="49"/>
      <c r="BA78" s="4" t="s">
        <v>5640</v>
      </c>
      <c r="BB78" s="4"/>
      <c r="BC78" s="4"/>
      <c r="BD78" s="4"/>
      <c r="BE78" s="4"/>
      <c r="BF78" s="4"/>
      <c r="BG78" s="4"/>
      <c r="BH78" s="4"/>
      <c r="BI78" s="4"/>
      <c r="BJ78" s="4"/>
      <c r="BK78" s="46"/>
      <c r="BL78" s="39"/>
      <c r="BM78" s="4"/>
      <c r="BN78" s="4"/>
      <c r="BO78" s="4"/>
      <c r="BP78" s="4"/>
      <c r="BQ78" s="4"/>
      <c r="BR78" s="4"/>
      <c r="BS78" s="4"/>
      <c r="BT78" s="4"/>
      <c r="BU78" s="4"/>
      <c r="BV78" s="4"/>
    </row>
    <row r="79" customHeight="1" spans="13:74">
      <c r="M79" s="25"/>
      <c r="N79" s="42"/>
      <c r="O79" s="42"/>
      <c r="P79" s="42"/>
      <c r="Q79" s="42"/>
      <c r="R79" s="42"/>
      <c r="S79" s="42"/>
      <c r="T79" s="42"/>
      <c r="U79" s="42"/>
      <c r="V79" s="42"/>
      <c r="W79" s="42"/>
      <c r="AN79" s="2" t="s">
        <v>5641</v>
      </c>
      <c r="AO79" s="2"/>
      <c r="AP79" s="2"/>
      <c r="AQ79" s="2"/>
      <c r="AR79" s="2"/>
      <c r="AS79" s="2"/>
      <c r="AT79" s="2"/>
      <c r="AU79" s="2"/>
      <c r="AV79" s="2"/>
      <c r="AW79" s="2"/>
      <c r="AX79" s="2"/>
      <c r="AY79" s="46"/>
      <c r="AZ79" s="49"/>
      <c r="BA79" s="4"/>
      <c r="BB79" s="4"/>
      <c r="BC79" s="4"/>
      <c r="BD79" s="4"/>
      <c r="BE79" s="4"/>
      <c r="BF79" s="4"/>
      <c r="BG79" s="4"/>
      <c r="BH79" s="4"/>
      <c r="BI79" s="4"/>
      <c r="BJ79" s="4"/>
      <c r="BK79" s="46"/>
      <c r="BL79" s="39"/>
      <c r="BM79" s="4" t="s">
        <v>5642</v>
      </c>
      <c r="BN79" s="4"/>
      <c r="BO79" s="4"/>
      <c r="BP79" s="4"/>
      <c r="BQ79" s="4"/>
      <c r="BR79" s="4"/>
      <c r="BS79" s="4"/>
      <c r="BT79" s="4"/>
      <c r="BU79" s="4"/>
      <c r="BV79" s="4"/>
    </row>
    <row r="80" customHeight="1" spans="13:74">
      <c r="M80" s="25" t="s">
        <v>5643</v>
      </c>
      <c r="N80" s="42" t="s">
        <v>5644</v>
      </c>
      <c r="O80" s="43"/>
      <c r="P80" s="43"/>
      <c r="Q80" s="43"/>
      <c r="R80" s="43"/>
      <c r="S80" s="43"/>
      <c r="T80" s="43"/>
      <c r="U80" s="43"/>
      <c r="V80" s="43"/>
      <c r="W80" s="43"/>
      <c r="AN80" s="45" t="s">
        <v>5413</v>
      </c>
      <c r="AO80" s="5" t="s">
        <v>5645</v>
      </c>
      <c r="AP80" s="5"/>
      <c r="AQ80" s="5"/>
      <c r="AR80" s="5"/>
      <c r="AS80" s="5"/>
      <c r="AT80" s="5"/>
      <c r="AU80" s="5"/>
      <c r="AV80" s="5"/>
      <c r="AW80" s="5"/>
      <c r="AX80" s="5"/>
      <c r="AY80" s="46"/>
      <c r="AZ80" s="49"/>
      <c r="BA80" s="4"/>
      <c r="BB80" s="4"/>
      <c r="BC80" s="4"/>
      <c r="BD80" s="4"/>
      <c r="BE80" s="4"/>
      <c r="BF80" s="4"/>
      <c r="BG80" s="4"/>
      <c r="BH80" s="4"/>
      <c r="BI80" s="4"/>
      <c r="BJ80" s="4"/>
      <c r="BK80" s="46"/>
      <c r="BL80" s="39"/>
      <c r="BM80" s="4"/>
      <c r="BN80" s="4"/>
      <c r="BO80" s="4"/>
      <c r="BP80" s="4"/>
      <c r="BQ80" s="4"/>
      <c r="BR80" s="4"/>
      <c r="BS80" s="4"/>
      <c r="BT80" s="4"/>
      <c r="BU80" s="4"/>
      <c r="BV80" s="4"/>
    </row>
    <row r="81" customHeight="1" spans="13:74">
      <c r="M81" s="55"/>
      <c r="N81" s="43"/>
      <c r="O81" s="43"/>
      <c r="P81" s="43"/>
      <c r="Q81" s="43"/>
      <c r="R81" s="43"/>
      <c r="S81" s="43"/>
      <c r="T81" s="43"/>
      <c r="U81" s="43"/>
      <c r="V81" s="43"/>
      <c r="W81" s="43"/>
      <c r="AN81" s="45"/>
      <c r="AO81" s="5" t="s">
        <v>5646</v>
      </c>
      <c r="AP81" s="5"/>
      <c r="AQ81" s="5"/>
      <c r="AR81" s="5"/>
      <c r="AS81" s="5"/>
      <c r="AT81" s="5"/>
      <c r="AU81" s="5"/>
      <c r="AV81" s="5"/>
      <c r="AW81" s="5"/>
      <c r="AX81" s="5"/>
      <c r="AY81" s="46"/>
      <c r="AZ81" s="49"/>
      <c r="BA81" s="4"/>
      <c r="BB81" s="4"/>
      <c r="BC81" s="4"/>
      <c r="BD81" s="4"/>
      <c r="BE81" s="4"/>
      <c r="BF81" s="4"/>
      <c r="BG81" s="4"/>
      <c r="BH81" s="4"/>
      <c r="BI81" s="4"/>
      <c r="BJ81" s="4"/>
      <c r="BK81" s="46"/>
      <c r="BL81" s="39"/>
      <c r="BM81" s="4"/>
      <c r="BN81" s="4"/>
      <c r="BO81" s="4"/>
      <c r="BP81" s="4"/>
      <c r="BQ81" s="4"/>
      <c r="BR81" s="4"/>
      <c r="BS81" s="4"/>
      <c r="BT81" s="4"/>
      <c r="BU81" s="4"/>
      <c r="BV81" s="4"/>
    </row>
    <row r="82" customHeight="1" spans="13:74">
      <c r="M82" s="55"/>
      <c r="N82" s="43"/>
      <c r="O82" s="43"/>
      <c r="P82" s="43"/>
      <c r="Q82" s="43"/>
      <c r="R82" s="43"/>
      <c r="S82" s="43"/>
      <c r="T82" s="43"/>
      <c r="U82" s="43"/>
      <c r="V82" s="43"/>
      <c r="W82" s="43"/>
      <c r="AN82" s="45"/>
      <c r="AO82" s="5" t="s">
        <v>5647</v>
      </c>
      <c r="AP82" s="5"/>
      <c r="AQ82" s="5"/>
      <c r="AR82" s="5"/>
      <c r="AS82" s="5"/>
      <c r="AT82" s="5"/>
      <c r="AU82" s="5"/>
      <c r="AV82" s="5"/>
      <c r="AW82" s="5"/>
      <c r="AX82" s="5"/>
      <c r="AY82" s="46"/>
      <c r="AZ82" s="49"/>
      <c r="BA82" s="4"/>
      <c r="BB82" s="4"/>
      <c r="BC82" s="4"/>
      <c r="BD82" s="4"/>
      <c r="BE82" s="4"/>
      <c r="BF82" s="4"/>
      <c r="BG82" s="4"/>
      <c r="BH82" s="4"/>
      <c r="BI82" s="4"/>
      <c r="BJ82" s="4"/>
      <c r="BK82" s="46"/>
      <c r="BL82" s="39"/>
      <c r="BM82" s="4"/>
      <c r="BN82" s="4"/>
      <c r="BO82" s="4"/>
      <c r="BP82" s="4"/>
      <c r="BQ82" s="4"/>
      <c r="BR82" s="4"/>
      <c r="BS82" s="4"/>
      <c r="BT82" s="4"/>
      <c r="BU82" s="4"/>
      <c r="BV82" s="4"/>
    </row>
    <row r="83" customHeight="1" spans="13:74">
      <c r="M83" s="30" t="s">
        <v>5429</v>
      </c>
      <c r="N83" s="4" t="s">
        <v>5648</v>
      </c>
      <c r="O83" s="4"/>
      <c r="P83" s="4"/>
      <c r="Q83" s="4"/>
      <c r="R83" s="4"/>
      <c r="S83" s="4"/>
      <c r="T83" s="4"/>
      <c r="U83" s="4"/>
      <c r="V83" s="4"/>
      <c r="W83" s="4"/>
      <c r="AN83" s="56" t="s">
        <v>5429</v>
      </c>
      <c r="AO83" s="5" t="s">
        <v>5649</v>
      </c>
      <c r="AP83" s="5"/>
      <c r="AQ83" s="5"/>
      <c r="AR83" s="5"/>
      <c r="AS83" s="5"/>
      <c r="AT83" s="5"/>
      <c r="AU83" s="5"/>
      <c r="AV83" s="5"/>
      <c r="AW83" s="5"/>
      <c r="AX83" s="5"/>
      <c r="AY83" s="46"/>
      <c r="AZ83" s="60" t="s">
        <v>5545</v>
      </c>
      <c r="BA83" s="5" t="s">
        <v>5650</v>
      </c>
      <c r="BB83" s="5"/>
      <c r="BC83" s="5"/>
      <c r="BD83" s="5"/>
      <c r="BE83" s="5"/>
      <c r="BF83" s="5"/>
      <c r="BG83" s="5"/>
      <c r="BH83" s="5"/>
      <c r="BI83" s="5"/>
      <c r="BJ83" s="5"/>
      <c r="BK83" s="46"/>
      <c r="BL83" s="39"/>
      <c r="BM83" s="4"/>
      <c r="BN83" s="4"/>
      <c r="BO83" s="4"/>
      <c r="BP83" s="4"/>
      <c r="BQ83" s="4"/>
      <c r="BR83" s="4"/>
      <c r="BS83" s="4"/>
      <c r="BT83" s="4"/>
      <c r="BU83" s="4"/>
      <c r="BV83" s="4"/>
    </row>
    <row r="84" customHeight="1" spans="13:63">
      <c r="M84" s="30" t="s">
        <v>124</v>
      </c>
      <c r="N84" s="31" t="s">
        <v>5651</v>
      </c>
      <c r="O84" s="31"/>
      <c r="P84" s="31"/>
      <c r="Q84" s="31"/>
      <c r="R84" s="31"/>
      <c r="S84" s="31"/>
      <c r="T84" s="31"/>
      <c r="U84" s="31"/>
      <c r="V84" s="31"/>
      <c r="W84" s="31"/>
      <c r="AN84" s="39" t="s">
        <v>124</v>
      </c>
      <c r="AO84" s="11" t="s">
        <v>5652</v>
      </c>
      <c r="AP84" s="11"/>
      <c r="AQ84" s="11"/>
      <c r="AR84" s="11"/>
      <c r="AS84" s="11"/>
      <c r="AT84" s="11"/>
      <c r="AU84" s="11"/>
      <c r="AV84" s="11"/>
      <c r="AW84" s="11"/>
      <c r="AX84" s="11"/>
      <c r="AY84" s="46"/>
      <c r="AZ84" s="60"/>
      <c r="BA84" s="4" t="s">
        <v>5653</v>
      </c>
      <c r="BB84" s="4"/>
      <c r="BC84" s="4"/>
      <c r="BD84" s="4"/>
      <c r="BE84" s="4"/>
      <c r="BF84" s="4"/>
      <c r="BG84" s="4"/>
      <c r="BH84" s="4"/>
      <c r="BI84" s="4"/>
      <c r="BJ84" s="4"/>
      <c r="BK84" s="46"/>
    </row>
    <row r="85" customHeight="1" spans="13:63">
      <c r="M85" s="2" t="s">
        <v>5654</v>
      </c>
      <c r="N85" s="2"/>
      <c r="O85" s="2"/>
      <c r="P85" s="2"/>
      <c r="Q85" s="2"/>
      <c r="R85" s="2"/>
      <c r="S85" s="2"/>
      <c r="T85" s="2"/>
      <c r="U85" s="2"/>
      <c r="V85" s="2"/>
      <c r="W85" s="2"/>
      <c r="AN85" s="39"/>
      <c r="AO85" s="11"/>
      <c r="AP85" s="11"/>
      <c r="AQ85" s="11"/>
      <c r="AR85" s="11"/>
      <c r="AS85" s="11"/>
      <c r="AT85" s="11"/>
      <c r="AU85" s="11"/>
      <c r="AV85" s="11"/>
      <c r="AW85" s="11"/>
      <c r="AX85" s="11"/>
      <c r="AY85" s="46"/>
      <c r="AZ85" s="60"/>
      <c r="BA85" s="4"/>
      <c r="BB85" s="4"/>
      <c r="BC85" s="4"/>
      <c r="BD85" s="4"/>
      <c r="BE85" s="4"/>
      <c r="BF85" s="4"/>
      <c r="BG85" s="4"/>
      <c r="BH85" s="4"/>
      <c r="BI85" s="4"/>
      <c r="BJ85" s="4"/>
      <c r="BK85" s="46"/>
    </row>
    <row r="86" customHeight="1" spans="13:63">
      <c r="M86" s="25" t="s">
        <v>5413</v>
      </c>
      <c r="N86" s="5" t="s">
        <v>5655</v>
      </c>
      <c r="O86" s="5"/>
      <c r="P86" s="5"/>
      <c r="Q86" s="5"/>
      <c r="R86" s="5"/>
      <c r="S86" s="5"/>
      <c r="T86" s="5"/>
      <c r="U86" s="5"/>
      <c r="V86" s="5"/>
      <c r="W86" s="5"/>
      <c r="AN86" s="2" t="s">
        <v>5656</v>
      </c>
      <c r="AO86" s="2"/>
      <c r="AP86" s="2"/>
      <c r="AQ86" s="2"/>
      <c r="AR86" s="2"/>
      <c r="AS86" s="2"/>
      <c r="AT86" s="2"/>
      <c r="AU86" s="2"/>
      <c r="AV86" s="2"/>
      <c r="AW86" s="2"/>
      <c r="AX86" s="2"/>
      <c r="AY86" s="46"/>
      <c r="AZ86" s="60"/>
      <c r="BA86" s="4"/>
      <c r="BB86" s="4"/>
      <c r="BC86" s="4"/>
      <c r="BD86" s="4"/>
      <c r="BE86" s="4"/>
      <c r="BF86" s="4"/>
      <c r="BG86" s="4"/>
      <c r="BH86" s="4"/>
      <c r="BI86" s="4"/>
      <c r="BJ86" s="4"/>
      <c r="BK86" s="46"/>
    </row>
    <row r="87" customHeight="1" spans="13:63">
      <c r="M87" s="25"/>
      <c r="N87" s="42" t="s">
        <v>5657</v>
      </c>
      <c r="O87" s="43"/>
      <c r="P87" s="43"/>
      <c r="Q87" s="43"/>
      <c r="R87" s="43"/>
      <c r="S87" s="43"/>
      <c r="T87" s="43"/>
      <c r="U87" s="43"/>
      <c r="V87" s="43"/>
      <c r="W87" s="43"/>
      <c r="AN87" s="57" t="s">
        <v>5413</v>
      </c>
      <c r="AO87" s="42" t="s">
        <v>5658</v>
      </c>
      <c r="AP87" s="43"/>
      <c r="AQ87" s="43"/>
      <c r="AR87" s="43"/>
      <c r="AS87" s="43"/>
      <c r="AT87" s="43"/>
      <c r="AU87" s="43"/>
      <c r="AV87" s="43"/>
      <c r="AW87" s="43"/>
      <c r="AX87" s="43"/>
      <c r="AY87" s="46"/>
      <c r="AZ87" s="60"/>
      <c r="BA87" s="5" t="s">
        <v>5630</v>
      </c>
      <c r="BB87" s="5"/>
      <c r="BC87" s="5"/>
      <c r="BD87" s="5"/>
      <c r="BE87" s="5"/>
      <c r="BF87" s="5"/>
      <c r="BG87" s="5"/>
      <c r="BH87" s="5"/>
      <c r="BI87" s="5"/>
      <c r="BJ87" s="5"/>
      <c r="BK87" s="46"/>
    </row>
    <row r="88" customHeight="1" spans="13:63">
      <c r="M88" s="25"/>
      <c r="N88" s="43"/>
      <c r="O88" s="43"/>
      <c r="P88" s="43"/>
      <c r="Q88" s="43"/>
      <c r="R88" s="43"/>
      <c r="S88" s="43"/>
      <c r="T88" s="43"/>
      <c r="U88" s="43"/>
      <c r="V88" s="43"/>
      <c r="W88" s="43"/>
      <c r="AN88" s="57"/>
      <c r="AO88" s="43"/>
      <c r="AP88" s="43"/>
      <c r="AQ88" s="43"/>
      <c r="AR88" s="43"/>
      <c r="AS88" s="43"/>
      <c r="AT88" s="43"/>
      <c r="AU88" s="43"/>
      <c r="AV88" s="43"/>
      <c r="AW88" s="43"/>
      <c r="AX88" s="43"/>
      <c r="AY88" s="46"/>
      <c r="AZ88" s="60"/>
      <c r="BA88" s="4" t="s">
        <v>5659</v>
      </c>
      <c r="BB88" s="5"/>
      <c r="BC88" s="5"/>
      <c r="BD88" s="5"/>
      <c r="BE88" s="5"/>
      <c r="BF88" s="5"/>
      <c r="BG88" s="5"/>
      <c r="BH88" s="5"/>
      <c r="BI88" s="5"/>
      <c r="BJ88" s="5"/>
      <c r="BK88" s="46"/>
    </row>
    <row r="89" customHeight="1" spans="13:63">
      <c r="M89" s="25"/>
      <c r="N89" s="5" t="s">
        <v>5660</v>
      </c>
      <c r="O89" s="5"/>
      <c r="P89" s="5"/>
      <c r="Q89" s="5"/>
      <c r="R89" s="5"/>
      <c r="S89" s="5"/>
      <c r="T89" s="5"/>
      <c r="U89" s="5"/>
      <c r="V89" s="5"/>
      <c r="W89" s="5"/>
      <c r="AN89" s="57"/>
      <c r="AO89" s="43"/>
      <c r="AP89" s="43"/>
      <c r="AQ89" s="43"/>
      <c r="AR89" s="43"/>
      <c r="AS89" s="43"/>
      <c r="AT89" s="43"/>
      <c r="AU89" s="43"/>
      <c r="AV89" s="43"/>
      <c r="AW89" s="43"/>
      <c r="AX89" s="43"/>
      <c r="AY89" s="46"/>
      <c r="AZ89" s="60"/>
      <c r="BA89" s="5"/>
      <c r="BB89" s="5"/>
      <c r="BC89" s="5"/>
      <c r="BD89" s="5"/>
      <c r="BE89" s="5"/>
      <c r="BF89" s="5"/>
      <c r="BG89" s="5"/>
      <c r="BH89" s="5"/>
      <c r="BI89" s="5"/>
      <c r="BJ89" s="5"/>
      <c r="BK89" s="46"/>
    </row>
    <row r="90" customHeight="1" spans="13:63">
      <c r="M90" s="25"/>
      <c r="N90" s="31" t="s">
        <v>5661</v>
      </c>
      <c r="O90" s="31"/>
      <c r="P90" s="31"/>
      <c r="Q90" s="31"/>
      <c r="R90" s="31"/>
      <c r="S90" s="31"/>
      <c r="T90" s="31"/>
      <c r="U90" s="31"/>
      <c r="V90" s="31"/>
      <c r="W90" s="31"/>
      <c r="AN90" s="57"/>
      <c r="AO90" s="43"/>
      <c r="AP90" s="43"/>
      <c r="AQ90" s="43"/>
      <c r="AR90" s="43"/>
      <c r="AS90" s="43"/>
      <c r="AT90" s="43"/>
      <c r="AU90" s="43"/>
      <c r="AV90" s="43"/>
      <c r="AW90" s="43"/>
      <c r="AX90" s="43"/>
      <c r="AY90" s="46"/>
      <c r="AZ90" s="60"/>
      <c r="BA90" s="4" t="s">
        <v>5662</v>
      </c>
      <c r="BB90" s="5"/>
      <c r="BC90" s="5"/>
      <c r="BD90" s="5"/>
      <c r="BE90" s="5"/>
      <c r="BF90" s="5"/>
      <c r="BG90" s="5"/>
      <c r="BH90" s="5"/>
      <c r="BI90" s="5"/>
      <c r="BJ90" s="5"/>
      <c r="BK90" s="46"/>
    </row>
    <row r="91" customHeight="1" spans="13:63">
      <c r="M91" s="30" t="s">
        <v>5663</v>
      </c>
      <c r="N91" s="5" t="s">
        <v>5664</v>
      </c>
      <c r="O91" s="5"/>
      <c r="P91" s="5"/>
      <c r="Q91" s="5"/>
      <c r="R91" s="5"/>
      <c r="S91" s="5"/>
      <c r="T91" s="5"/>
      <c r="U91" s="5"/>
      <c r="V91" s="5"/>
      <c r="W91" s="5"/>
      <c r="AN91" s="57"/>
      <c r="AO91" s="43"/>
      <c r="AP91" s="43"/>
      <c r="AQ91" s="43"/>
      <c r="AR91" s="43"/>
      <c r="AS91" s="43"/>
      <c r="AT91" s="43"/>
      <c r="AU91" s="43"/>
      <c r="AV91" s="43"/>
      <c r="AW91" s="43"/>
      <c r="AX91" s="43"/>
      <c r="AY91" s="46"/>
      <c r="AZ91" s="60"/>
      <c r="BA91" s="5"/>
      <c r="BB91" s="5"/>
      <c r="BC91" s="5"/>
      <c r="BD91" s="5"/>
      <c r="BE91" s="5"/>
      <c r="BF91" s="5"/>
      <c r="BG91" s="5"/>
      <c r="BH91" s="5"/>
      <c r="BI91" s="5"/>
      <c r="BJ91" s="5"/>
      <c r="BK91" s="46"/>
    </row>
    <row r="92" customHeight="1" spans="13:63">
      <c r="M92" s="25" t="s">
        <v>5429</v>
      </c>
      <c r="N92" s="4" t="s">
        <v>5665</v>
      </c>
      <c r="O92" s="5"/>
      <c r="P92" s="5"/>
      <c r="Q92" s="5"/>
      <c r="R92" s="5"/>
      <c r="S92" s="5"/>
      <c r="T92" s="5"/>
      <c r="U92" s="5"/>
      <c r="V92" s="5"/>
      <c r="W92" s="5"/>
      <c r="AN92" s="57"/>
      <c r="AO92" s="42" t="s">
        <v>5666</v>
      </c>
      <c r="AP92" s="43"/>
      <c r="AQ92" s="43"/>
      <c r="AR92" s="43"/>
      <c r="AS92" s="43"/>
      <c r="AT92" s="43"/>
      <c r="AU92" s="43"/>
      <c r="AV92" s="43"/>
      <c r="AW92" s="43"/>
      <c r="AX92" s="43"/>
      <c r="AY92" s="46"/>
      <c r="AZ92" s="60"/>
      <c r="BA92" s="5"/>
      <c r="BB92" s="5"/>
      <c r="BC92" s="5"/>
      <c r="BD92" s="5"/>
      <c r="BE92" s="5"/>
      <c r="BF92" s="5"/>
      <c r="BG92" s="5"/>
      <c r="BH92" s="5"/>
      <c r="BI92" s="5"/>
      <c r="BJ92" s="5"/>
      <c r="BK92" s="46"/>
    </row>
    <row r="93" customHeight="1" spans="13:63">
      <c r="M93" s="25"/>
      <c r="N93" s="5"/>
      <c r="O93" s="5"/>
      <c r="P93" s="5"/>
      <c r="Q93" s="5"/>
      <c r="R93" s="5"/>
      <c r="S93" s="5"/>
      <c r="T93" s="5"/>
      <c r="U93" s="5"/>
      <c r="V93" s="5"/>
      <c r="W93" s="5"/>
      <c r="AN93" s="57"/>
      <c r="AO93" s="43"/>
      <c r="AP93" s="43"/>
      <c r="AQ93" s="43"/>
      <c r="AR93" s="43"/>
      <c r="AS93" s="43"/>
      <c r="AT93" s="43"/>
      <c r="AU93" s="43"/>
      <c r="AV93" s="43"/>
      <c r="AW93" s="43"/>
      <c r="AX93" s="43"/>
      <c r="AY93" s="46"/>
      <c r="AZ93" s="60"/>
      <c r="BA93" s="5"/>
      <c r="BB93" s="5"/>
      <c r="BC93" s="5"/>
      <c r="BD93" s="5"/>
      <c r="BE93" s="5"/>
      <c r="BF93" s="5"/>
      <c r="BG93" s="5"/>
      <c r="BH93" s="5"/>
      <c r="BI93" s="5"/>
      <c r="BJ93" s="5"/>
      <c r="BK93" s="46"/>
    </row>
    <row r="94" customHeight="1" spans="40:63">
      <c r="AN94" s="57"/>
      <c r="AO94" s="5" t="s">
        <v>5667</v>
      </c>
      <c r="AP94" s="5"/>
      <c r="AQ94" s="5"/>
      <c r="AR94" s="5"/>
      <c r="AS94" s="5"/>
      <c r="AT94" s="5"/>
      <c r="AU94" s="5"/>
      <c r="AV94" s="5"/>
      <c r="AW94" s="5"/>
      <c r="AX94" s="5"/>
      <c r="AY94" s="46"/>
      <c r="AZ94" s="60"/>
      <c r="BA94" s="5"/>
      <c r="BB94" s="5"/>
      <c r="BC94" s="5"/>
      <c r="BD94" s="5"/>
      <c r="BE94" s="5"/>
      <c r="BF94" s="5"/>
      <c r="BG94" s="5"/>
      <c r="BH94" s="5"/>
      <c r="BI94" s="5"/>
      <c r="BJ94" s="5"/>
      <c r="BK94" s="46"/>
    </row>
    <row r="95" customHeight="1" spans="40:63">
      <c r="AN95" s="57"/>
      <c r="AO95" s="5" t="s">
        <v>5421</v>
      </c>
      <c r="AP95" s="5"/>
      <c r="AQ95" s="5"/>
      <c r="AR95" s="5"/>
      <c r="AS95" s="5"/>
      <c r="AT95" s="5"/>
      <c r="AU95" s="5"/>
      <c r="AV95" s="5"/>
      <c r="AW95" s="5"/>
      <c r="AX95" s="5"/>
      <c r="AY95" s="46"/>
      <c r="AZ95" s="61" t="s">
        <v>5668</v>
      </c>
      <c r="BA95" s="5" t="s">
        <v>5669</v>
      </c>
      <c r="BB95" s="5"/>
      <c r="BC95" s="5"/>
      <c r="BD95" s="5"/>
      <c r="BE95" s="5"/>
      <c r="BF95" s="5"/>
      <c r="BG95" s="5"/>
      <c r="BH95" s="5"/>
      <c r="BI95" s="5"/>
      <c r="BJ95" s="5"/>
      <c r="BK95" s="46"/>
    </row>
    <row r="96" customHeight="1" spans="40:63">
      <c r="AN96" s="57"/>
      <c r="AO96" s="5" t="s">
        <v>5670</v>
      </c>
      <c r="AP96" s="5"/>
      <c r="AQ96" s="5"/>
      <c r="AR96" s="5"/>
      <c r="AS96" s="5"/>
      <c r="AT96" s="5"/>
      <c r="AU96" s="5"/>
      <c r="AV96" s="5"/>
      <c r="AW96" s="5"/>
      <c r="AX96" s="5"/>
      <c r="AY96" s="46"/>
      <c r="AZ96" s="61"/>
      <c r="BA96" s="5" t="s">
        <v>5671</v>
      </c>
      <c r="BB96" s="5"/>
      <c r="BC96" s="5"/>
      <c r="BD96" s="5"/>
      <c r="BE96" s="5"/>
      <c r="BF96" s="5"/>
      <c r="BG96" s="5"/>
      <c r="BH96" s="5"/>
      <c r="BI96" s="5"/>
      <c r="BJ96" s="5"/>
      <c r="BK96" s="46"/>
    </row>
    <row r="97" customHeight="1" spans="40:63">
      <c r="AN97" s="57"/>
      <c r="AO97" s="5" t="s">
        <v>5672</v>
      </c>
      <c r="AP97" s="5"/>
      <c r="AQ97" s="5"/>
      <c r="AR97" s="5"/>
      <c r="AS97" s="5"/>
      <c r="AT97" s="5"/>
      <c r="AU97" s="5"/>
      <c r="AV97" s="5"/>
      <c r="AW97" s="5"/>
      <c r="AX97" s="5"/>
      <c r="AY97" s="46"/>
      <c r="AZ97" s="2" t="s">
        <v>5673</v>
      </c>
      <c r="BA97" s="2"/>
      <c r="BB97" s="2"/>
      <c r="BC97" s="2"/>
      <c r="BD97" s="2"/>
      <c r="BE97" s="2"/>
      <c r="BF97" s="2"/>
      <c r="BG97" s="2"/>
      <c r="BH97" s="2"/>
      <c r="BI97" s="2"/>
      <c r="BJ97" s="2"/>
      <c r="BK97" s="46"/>
    </row>
    <row r="98" customHeight="1" spans="40:63">
      <c r="AN98" s="57"/>
      <c r="AO98" s="5" t="s">
        <v>5674</v>
      </c>
      <c r="AP98" s="5"/>
      <c r="AQ98" s="5"/>
      <c r="AR98" s="5"/>
      <c r="AS98" s="5"/>
      <c r="AT98" s="5"/>
      <c r="AU98" s="5"/>
      <c r="AV98" s="5"/>
      <c r="AW98" s="5"/>
      <c r="AX98" s="5"/>
      <c r="AY98" s="46"/>
      <c r="AZ98" s="7" t="s">
        <v>5413</v>
      </c>
      <c r="BA98" s="5" t="s">
        <v>5675</v>
      </c>
      <c r="BB98" s="5"/>
      <c r="BC98" s="5"/>
      <c r="BD98" s="5"/>
      <c r="BE98" s="5"/>
      <c r="BF98" s="5"/>
      <c r="BG98" s="5"/>
      <c r="BH98" s="5"/>
      <c r="BI98" s="5"/>
      <c r="BJ98" s="5"/>
      <c r="BK98" s="46"/>
    </row>
    <row r="99" customHeight="1" spans="40:63">
      <c r="AN99" s="57"/>
      <c r="AO99" s="5" t="s">
        <v>5670</v>
      </c>
      <c r="AP99" s="5"/>
      <c r="AQ99" s="5"/>
      <c r="AR99" s="5"/>
      <c r="AS99" s="5"/>
      <c r="AT99" s="5"/>
      <c r="AU99" s="5"/>
      <c r="AV99" s="5"/>
      <c r="AW99" s="5"/>
      <c r="AX99" s="5"/>
      <c r="AY99" s="46"/>
      <c r="AZ99" s="7"/>
      <c r="BA99" s="5" t="s">
        <v>5676</v>
      </c>
      <c r="BB99" s="5"/>
      <c r="BC99" s="5"/>
      <c r="BD99" s="5"/>
      <c r="BE99" s="5"/>
      <c r="BF99" s="5"/>
      <c r="BG99" s="5"/>
      <c r="BH99" s="5"/>
      <c r="BI99" s="5"/>
      <c r="BJ99" s="5"/>
      <c r="BK99" s="46"/>
    </row>
    <row r="100" customHeight="1" spans="40:63">
      <c r="AN100" s="57"/>
      <c r="AO100" s="5" t="s">
        <v>5677</v>
      </c>
      <c r="AP100" s="5"/>
      <c r="AQ100" s="5"/>
      <c r="AR100" s="5"/>
      <c r="AS100" s="5"/>
      <c r="AT100" s="5"/>
      <c r="AU100" s="5"/>
      <c r="AV100" s="5"/>
      <c r="AW100" s="5"/>
      <c r="AX100" s="5"/>
      <c r="AY100" s="46"/>
      <c r="AZ100" s="7"/>
      <c r="BA100" s="5" t="s">
        <v>5678</v>
      </c>
      <c r="BB100" s="5"/>
      <c r="BC100" s="5"/>
      <c r="BD100" s="5"/>
      <c r="BE100" s="5"/>
      <c r="BF100" s="5"/>
      <c r="BG100" s="5"/>
      <c r="BH100" s="5"/>
      <c r="BI100" s="5"/>
      <c r="BJ100" s="5"/>
      <c r="BK100" s="46"/>
    </row>
    <row r="101" customHeight="1" spans="40:63">
      <c r="AN101" s="57"/>
      <c r="AO101" s="5" t="s">
        <v>5679</v>
      </c>
      <c r="AP101" s="5"/>
      <c r="AQ101" s="5"/>
      <c r="AR101" s="5"/>
      <c r="AS101" s="5"/>
      <c r="AT101" s="5"/>
      <c r="AU101" s="5"/>
      <c r="AV101" s="5"/>
      <c r="AW101" s="5"/>
      <c r="AX101" s="5"/>
      <c r="AY101" s="46"/>
      <c r="AZ101" s="48" t="s">
        <v>5545</v>
      </c>
      <c r="BA101" s="5" t="s">
        <v>5680</v>
      </c>
      <c r="BB101" s="5"/>
      <c r="BC101" s="5"/>
      <c r="BD101" s="5"/>
      <c r="BE101" s="5"/>
      <c r="BF101" s="5"/>
      <c r="BG101" s="5"/>
      <c r="BH101" s="5"/>
      <c r="BI101" s="5"/>
      <c r="BJ101" s="5"/>
      <c r="BK101" s="46"/>
    </row>
    <row r="102" customHeight="1" spans="40:63">
      <c r="AN102" s="57"/>
      <c r="AO102" s="5" t="s">
        <v>5681</v>
      </c>
      <c r="AP102" s="5"/>
      <c r="AQ102" s="5"/>
      <c r="AR102" s="5"/>
      <c r="AS102" s="5"/>
      <c r="AT102" s="5"/>
      <c r="AU102" s="5"/>
      <c r="AV102" s="5"/>
      <c r="AW102" s="5"/>
      <c r="AX102" s="5"/>
      <c r="AY102" s="46"/>
      <c r="AZ102" s="7" t="s">
        <v>5682</v>
      </c>
      <c r="BA102" s="4" t="s">
        <v>5683</v>
      </c>
      <c r="BB102" s="5"/>
      <c r="BC102" s="5"/>
      <c r="BD102" s="5"/>
      <c r="BE102" s="5"/>
      <c r="BF102" s="5"/>
      <c r="BG102" s="5"/>
      <c r="BH102" s="5"/>
      <c r="BI102" s="5"/>
      <c r="BJ102" s="5"/>
      <c r="BK102" s="46"/>
    </row>
    <row r="103" customHeight="1" spans="40:63">
      <c r="AN103" s="57"/>
      <c r="AO103" s="5" t="s">
        <v>5684</v>
      </c>
      <c r="AP103" s="5"/>
      <c r="AQ103" s="5"/>
      <c r="AR103" s="5"/>
      <c r="AS103" s="5"/>
      <c r="AT103" s="5"/>
      <c r="AU103" s="5"/>
      <c r="AV103" s="5"/>
      <c r="AW103" s="5"/>
      <c r="AX103" s="5"/>
      <c r="AY103" s="46"/>
      <c r="AZ103" s="7"/>
      <c r="BA103" s="5"/>
      <c r="BB103" s="5"/>
      <c r="BC103" s="5"/>
      <c r="BD103" s="5"/>
      <c r="BE103" s="5"/>
      <c r="BF103" s="5"/>
      <c r="BG103" s="5"/>
      <c r="BH103" s="5"/>
      <c r="BI103" s="5"/>
      <c r="BJ103" s="5"/>
      <c r="BK103" s="46"/>
    </row>
    <row r="104" customHeight="1" spans="40:63">
      <c r="AN104" s="57"/>
      <c r="AO104" s="5" t="s">
        <v>5685</v>
      </c>
      <c r="AP104" s="5"/>
      <c r="AQ104" s="5"/>
      <c r="AR104" s="5"/>
      <c r="AS104" s="5"/>
      <c r="AT104" s="5"/>
      <c r="AU104" s="5"/>
      <c r="AV104" s="5"/>
      <c r="AW104" s="5"/>
      <c r="AX104" s="5"/>
      <c r="AY104" s="46"/>
      <c r="AZ104" s="2" t="s">
        <v>5686</v>
      </c>
      <c r="BA104" s="2"/>
      <c r="BB104" s="2"/>
      <c r="BC104" s="2"/>
      <c r="BD104" s="2"/>
      <c r="BE104" s="2"/>
      <c r="BF104" s="2"/>
      <c r="BG104" s="2"/>
      <c r="BH104" s="2"/>
      <c r="BI104" s="2"/>
      <c r="BJ104" s="2"/>
      <c r="BK104" s="46"/>
    </row>
    <row r="105" customHeight="1" spans="40:63">
      <c r="AN105" s="39" t="s">
        <v>5582</v>
      </c>
      <c r="AO105" s="4" t="s">
        <v>5687</v>
      </c>
      <c r="AP105" s="4"/>
      <c r="AQ105" s="4"/>
      <c r="AR105" s="4"/>
      <c r="AS105" s="4"/>
      <c r="AT105" s="4"/>
      <c r="AU105" s="4"/>
      <c r="AV105" s="4"/>
      <c r="AW105" s="4"/>
      <c r="AX105" s="4"/>
      <c r="AY105" s="46"/>
      <c r="AZ105" s="7" t="s">
        <v>5413</v>
      </c>
      <c r="BA105" s="4" t="s">
        <v>5688</v>
      </c>
      <c r="BB105" s="4"/>
      <c r="BC105" s="4"/>
      <c r="BD105" s="4"/>
      <c r="BE105" s="4"/>
      <c r="BF105" s="4"/>
      <c r="BG105" s="4"/>
      <c r="BH105" s="4"/>
      <c r="BI105" s="4"/>
      <c r="BJ105" s="4"/>
      <c r="BK105" s="46"/>
    </row>
    <row r="106" customHeight="1" spans="40:63">
      <c r="AN106" s="39"/>
      <c r="AO106" s="4" t="s">
        <v>5689</v>
      </c>
      <c r="AP106" s="4"/>
      <c r="AQ106" s="4"/>
      <c r="AR106" s="4"/>
      <c r="AS106" s="4"/>
      <c r="AT106" s="4"/>
      <c r="AU106" s="4"/>
      <c r="AV106" s="4"/>
      <c r="AW106" s="4"/>
      <c r="AX106" s="4"/>
      <c r="AY106" s="46"/>
      <c r="AZ106" s="7"/>
      <c r="BA106" s="4" t="s">
        <v>5690</v>
      </c>
      <c r="BB106" s="5"/>
      <c r="BC106" s="5"/>
      <c r="BD106" s="5"/>
      <c r="BE106" s="5"/>
      <c r="BF106" s="5"/>
      <c r="BG106" s="5"/>
      <c r="BH106" s="5"/>
      <c r="BI106" s="5"/>
      <c r="BJ106" s="5"/>
      <c r="BK106" s="46"/>
    </row>
    <row r="107" customHeight="1" spans="40:63">
      <c r="AN107" s="39"/>
      <c r="AO107" s="5" t="s">
        <v>5691</v>
      </c>
      <c r="AP107" s="5"/>
      <c r="AQ107" s="5"/>
      <c r="AR107" s="5"/>
      <c r="AS107" s="5"/>
      <c r="AT107" s="5"/>
      <c r="AU107" s="5"/>
      <c r="AV107" s="5"/>
      <c r="AW107" s="5"/>
      <c r="AX107" s="5"/>
      <c r="AY107" s="46"/>
      <c r="AZ107" s="7"/>
      <c r="BA107" s="5"/>
      <c r="BB107" s="5"/>
      <c r="BC107" s="5"/>
      <c r="BD107" s="5"/>
      <c r="BE107" s="5"/>
      <c r="BF107" s="5"/>
      <c r="BG107" s="5"/>
      <c r="BH107" s="5"/>
      <c r="BI107" s="5"/>
      <c r="BJ107" s="5"/>
      <c r="BK107" s="46"/>
    </row>
    <row r="108" customHeight="1" spans="40:63">
      <c r="AN108" s="39" t="s">
        <v>5466</v>
      </c>
      <c r="AO108" s="59" t="s">
        <v>5692</v>
      </c>
      <c r="AP108" s="59"/>
      <c r="AQ108" s="59"/>
      <c r="AR108" s="59"/>
      <c r="AS108" s="59"/>
      <c r="AT108" s="59"/>
      <c r="AU108" s="59"/>
      <c r="AV108" s="59"/>
      <c r="AW108" s="59"/>
      <c r="AX108" s="59"/>
      <c r="AY108" s="46"/>
      <c r="AZ108" s="7"/>
      <c r="BA108" s="5" t="s">
        <v>5693</v>
      </c>
      <c r="BB108" s="5"/>
      <c r="BC108" s="5"/>
      <c r="BD108" s="5"/>
      <c r="BE108" s="5"/>
      <c r="BF108" s="5"/>
      <c r="BG108" s="5"/>
      <c r="BH108" s="5"/>
      <c r="BI108" s="5"/>
      <c r="BJ108" s="5"/>
      <c r="BK108" s="46"/>
    </row>
    <row r="109" customHeight="1" spans="40:63">
      <c r="AN109" s="39"/>
      <c r="AO109" s="5" t="s">
        <v>5694</v>
      </c>
      <c r="AP109" s="5"/>
      <c r="AQ109" s="5"/>
      <c r="AR109" s="5"/>
      <c r="AS109" s="5"/>
      <c r="AT109" s="5"/>
      <c r="AU109" s="5"/>
      <c r="AV109" s="5"/>
      <c r="AW109" s="5"/>
      <c r="AX109" s="5"/>
      <c r="AY109" s="46"/>
      <c r="AZ109" s="7"/>
      <c r="BA109" s="4" t="s">
        <v>5695</v>
      </c>
      <c r="BB109" s="5"/>
      <c r="BC109" s="5"/>
      <c r="BD109" s="5"/>
      <c r="BE109" s="5"/>
      <c r="BF109" s="5"/>
      <c r="BG109" s="5"/>
      <c r="BH109" s="5"/>
      <c r="BI109" s="5"/>
      <c r="BJ109" s="5"/>
      <c r="BK109" s="46"/>
    </row>
    <row r="110" customHeight="1" spans="40:63">
      <c r="AN110" s="39" t="s">
        <v>5424</v>
      </c>
      <c r="AO110" s="5" t="s">
        <v>5696</v>
      </c>
      <c r="AP110" s="5"/>
      <c r="AQ110" s="5"/>
      <c r="AR110" s="5"/>
      <c r="AS110" s="5"/>
      <c r="AT110" s="5"/>
      <c r="AU110" s="5"/>
      <c r="AV110" s="5"/>
      <c r="AW110" s="5"/>
      <c r="AX110" s="5"/>
      <c r="AY110" s="46"/>
      <c r="AZ110" s="7"/>
      <c r="BA110" s="5"/>
      <c r="BB110" s="5"/>
      <c r="BC110" s="5"/>
      <c r="BD110" s="5"/>
      <c r="BE110" s="5"/>
      <c r="BF110" s="5"/>
      <c r="BG110" s="5"/>
      <c r="BH110" s="5"/>
      <c r="BI110" s="5"/>
      <c r="BJ110" s="5"/>
      <c r="BK110" s="46"/>
    </row>
    <row r="111" customHeight="1" spans="40:63">
      <c r="AN111" s="39"/>
      <c r="AO111" s="5" t="s">
        <v>5697</v>
      </c>
      <c r="AP111" s="5"/>
      <c r="AQ111" s="5"/>
      <c r="AR111" s="5"/>
      <c r="AS111" s="5"/>
      <c r="AT111" s="5"/>
      <c r="AU111" s="5"/>
      <c r="AV111" s="5"/>
      <c r="AW111" s="5"/>
      <c r="AX111" s="5"/>
      <c r="AY111" s="46"/>
      <c r="AZ111" s="7"/>
      <c r="BA111" s="42" t="s">
        <v>5698</v>
      </c>
      <c r="BB111" s="43"/>
      <c r="BC111" s="43"/>
      <c r="BD111" s="43"/>
      <c r="BE111" s="43"/>
      <c r="BF111" s="43"/>
      <c r="BG111" s="43"/>
      <c r="BH111" s="43"/>
      <c r="BI111" s="43"/>
      <c r="BJ111" s="43"/>
      <c r="BK111" s="46"/>
    </row>
    <row r="112" customHeight="1" spans="40:63">
      <c r="AN112" s="39"/>
      <c r="AO112" s="5" t="s">
        <v>5699</v>
      </c>
      <c r="AP112" s="5"/>
      <c r="AQ112" s="5"/>
      <c r="AR112" s="5"/>
      <c r="AS112" s="5"/>
      <c r="AT112" s="5"/>
      <c r="AU112" s="5"/>
      <c r="AV112" s="5"/>
      <c r="AW112" s="5"/>
      <c r="AX112" s="5"/>
      <c r="AY112" s="46"/>
      <c r="AZ112" s="7"/>
      <c r="BA112" s="43"/>
      <c r="BB112" s="43"/>
      <c r="BC112" s="43"/>
      <c r="BD112" s="43"/>
      <c r="BE112" s="43"/>
      <c r="BF112" s="43"/>
      <c r="BG112" s="43"/>
      <c r="BH112" s="43"/>
      <c r="BI112" s="43"/>
      <c r="BJ112" s="43"/>
      <c r="BK112" s="46"/>
    </row>
    <row r="113" customHeight="1" spans="40:63">
      <c r="AN113" s="39" t="s">
        <v>5437</v>
      </c>
      <c r="AO113" s="5" t="s">
        <v>5700</v>
      </c>
      <c r="AP113" s="5"/>
      <c r="AQ113" s="5"/>
      <c r="AR113" s="5"/>
      <c r="AS113" s="5"/>
      <c r="AT113" s="5"/>
      <c r="AU113" s="5"/>
      <c r="AV113" s="5"/>
      <c r="AW113" s="5"/>
      <c r="AX113" s="5"/>
      <c r="AY113" s="46"/>
      <c r="AZ113" s="7"/>
      <c r="BA113" s="43"/>
      <c r="BB113" s="43"/>
      <c r="BC113" s="43"/>
      <c r="BD113" s="43"/>
      <c r="BE113" s="43"/>
      <c r="BF113" s="43"/>
      <c r="BG113" s="43"/>
      <c r="BH113" s="43"/>
      <c r="BI113" s="43"/>
      <c r="BJ113" s="43"/>
      <c r="BK113" s="46"/>
    </row>
    <row r="114" customHeight="1" spans="40:63">
      <c r="AN114" s="39"/>
      <c r="AO114" s="4" t="s">
        <v>5701</v>
      </c>
      <c r="AP114" s="4"/>
      <c r="AQ114" s="4"/>
      <c r="AR114" s="4"/>
      <c r="AS114" s="4"/>
      <c r="AT114" s="4"/>
      <c r="AU114" s="4"/>
      <c r="AV114" s="4"/>
      <c r="AW114" s="4"/>
      <c r="AX114" s="4"/>
      <c r="AY114" s="46"/>
      <c r="AZ114" s="7"/>
      <c r="BA114" s="43"/>
      <c r="BB114" s="43"/>
      <c r="BC114" s="43"/>
      <c r="BD114" s="43"/>
      <c r="BE114" s="43"/>
      <c r="BF114" s="43"/>
      <c r="BG114" s="43"/>
      <c r="BH114" s="43"/>
      <c r="BI114" s="43"/>
      <c r="BJ114" s="43"/>
      <c r="BK114" s="46"/>
    </row>
    <row r="115" customHeight="1" spans="40:63">
      <c r="AN115" s="39"/>
      <c r="AO115" s="4"/>
      <c r="AP115" s="4"/>
      <c r="AQ115" s="4"/>
      <c r="AR115" s="4"/>
      <c r="AS115" s="4"/>
      <c r="AT115" s="4"/>
      <c r="AU115" s="4"/>
      <c r="AV115" s="4"/>
      <c r="AW115" s="4"/>
      <c r="AX115" s="4"/>
      <c r="AY115" s="46"/>
      <c r="AZ115" s="27" t="s">
        <v>5470</v>
      </c>
      <c r="BA115" s="4" t="s">
        <v>5702</v>
      </c>
      <c r="BB115" s="4"/>
      <c r="BC115" s="4"/>
      <c r="BD115" s="4"/>
      <c r="BE115" s="4"/>
      <c r="BF115" s="4"/>
      <c r="BG115" s="4"/>
      <c r="BH115" s="4"/>
      <c r="BI115" s="4"/>
      <c r="BJ115" s="4"/>
      <c r="BK115" s="46"/>
    </row>
    <row r="116" customHeight="1" spans="40:63">
      <c r="AN116" s="39"/>
      <c r="AO116" s="5" t="s">
        <v>5703</v>
      </c>
      <c r="AP116" s="5"/>
      <c r="AQ116" s="5"/>
      <c r="AR116" s="5"/>
      <c r="AS116" s="5"/>
      <c r="AT116" s="5"/>
      <c r="AU116" s="5"/>
      <c r="AV116" s="5"/>
      <c r="AW116" s="5"/>
      <c r="AX116" s="5"/>
      <c r="AY116" s="46"/>
      <c r="AZ116" s="62" t="s">
        <v>5668</v>
      </c>
      <c r="BA116" s="5" t="s">
        <v>5704</v>
      </c>
      <c r="BB116" s="5"/>
      <c r="BC116" s="5"/>
      <c r="BD116" s="5"/>
      <c r="BE116" s="5"/>
      <c r="BF116" s="5"/>
      <c r="BG116" s="5"/>
      <c r="BH116" s="5"/>
      <c r="BI116" s="5"/>
      <c r="BJ116" s="5"/>
      <c r="BK116" s="46"/>
    </row>
    <row r="117" customHeight="1" spans="40:63">
      <c r="AN117" s="39" t="s">
        <v>5586</v>
      </c>
      <c r="AO117" s="5" t="s">
        <v>5705</v>
      </c>
      <c r="AP117" s="5"/>
      <c r="AQ117" s="5"/>
      <c r="AR117" s="5"/>
      <c r="AS117" s="5"/>
      <c r="AT117" s="5"/>
      <c r="AU117" s="5"/>
      <c r="AV117" s="5"/>
      <c r="AW117" s="5"/>
      <c r="AX117" s="5"/>
      <c r="AY117" s="46"/>
      <c r="AZ117" s="48" t="s">
        <v>5545</v>
      </c>
      <c r="BA117" s="5" t="s">
        <v>5706</v>
      </c>
      <c r="BB117" s="5"/>
      <c r="BC117" s="5"/>
      <c r="BD117" s="5"/>
      <c r="BE117" s="5"/>
      <c r="BF117" s="5"/>
      <c r="BG117" s="5"/>
      <c r="BH117" s="5"/>
      <c r="BI117" s="5"/>
      <c r="BJ117" s="5"/>
      <c r="BK117" s="46"/>
    </row>
    <row r="118" customHeight="1" spans="40:63">
      <c r="AN118" s="39"/>
      <c r="AO118" s="5" t="s">
        <v>5707</v>
      </c>
      <c r="AP118" s="5"/>
      <c r="AQ118" s="5"/>
      <c r="AR118" s="5"/>
      <c r="AS118" s="5"/>
      <c r="AT118" s="5"/>
      <c r="AU118" s="5"/>
      <c r="AV118" s="5"/>
      <c r="AW118" s="5"/>
      <c r="AX118" s="5"/>
      <c r="AY118" s="46"/>
      <c r="AZ118" s="2" t="s">
        <v>5708</v>
      </c>
      <c r="BA118" s="2"/>
      <c r="BB118" s="2"/>
      <c r="BC118" s="2"/>
      <c r="BD118" s="2"/>
      <c r="BE118" s="2"/>
      <c r="BF118" s="2"/>
      <c r="BG118" s="2"/>
      <c r="BH118" s="2"/>
      <c r="BI118" s="2"/>
      <c r="BJ118" s="2"/>
      <c r="BK118" s="46"/>
    </row>
    <row r="119" customHeight="1" spans="40:63">
      <c r="AN119" s="39"/>
      <c r="AO119" s="5" t="s">
        <v>5709</v>
      </c>
      <c r="AP119" s="5"/>
      <c r="AQ119" s="5"/>
      <c r="AR119" s="5"/>
      <c r="AS119" s="5"/>
      <c r="AT119" s="5"/>
      <c r="AU119" s="5"/>
      <c r="AV119" s="5"/>
      <c r="AW119" s="5"/>
      <c r="AX119" s="5"/>
      <c r="AY119" s="46"/>
      <c r="AZ119" s="41" t="s">
        <v>5429</v>
      </c>
      <c r="BA119" s="5" t="s">
        <v>5710</v>
      </c>
      <c r="BB119" s="5"/>
      <c r="BC119" s="5"/>
      <c r="BD119" s="5"/>
      <c r="BE119" s="5"/>
      <c r="BF119" s="5"/>
      <c r="BG119" s="5"/>
      <c r="BH119" s="5"/>
      <c r="BI119" s="5"/>
      <c r="BJ119" s="5"/>
      <c r="BK119" s="46"/>
    </row>
    <row r="120" customHeight="1" spans="40:63">
      <c r="AN120" s="39"/>
      <c r="AO120" s="5" t="s">
        <v>5711</v>
      </c>
      <c r="AP120" s="5"/>
      <c r="AQ120" s="5"/>
      <c r="AR120" s="5"/>
      <c r="AS120" s="5"/>
      <c r="AT120" s="5"/>
      <c r="AU120" s="5"/>
      <c r="AV120" s="5"/>
      <c r="AW120" s="5"/>
      <c r="AX120" s="5"/>
      <c r="AY120" s="46"/>
      <c r="AZ120" s="7" t="s">
        <v>5413</v>
      </c>
      <c r="BA120" s="4" t="s">
        <v>5712</v>
      </c>
      <c r="BB120" s="4"/>
      <c r="BC120" s="4"/>
      <c r="BD120" s="4"/>
      <c r="BE120" s="4"/>
      <c r="BF120" s="4"/>
      <c r="BG120" s="4"/>
      <c r="BH120" s="4"/>
      <c r="BI120" s="4"/>
      <c r="BJ120" s="4"/>
      <c r="BK120" s="46"/>
    </row>
    <row r="121" customHeight="1" spans="40:63">
      <c r="AN121" s="50" t="s">
        <v>5429</v>
      </c>
      <c r="AO121" s="9" t="s">
        <v>5713</v>
      </c>
      <c r="AP121" s="31"/>
      <c r="AQ121" s="31"/>
      <c r="AR121" s="31"/>
      <c r="AS121" s="31"/>
      <c r="AT121" s="31"/>
      <c r="AU121" s="31"/>
      <c r="AV121" s="31"/>
      <c r="AW121" s="31"/>
      <c r="AX121" s="31"/>
      <c r="AY121" s="46"/>
      <c r="AZ121" s="7"/>
      <c r="BA121" s="5" t="s">
        <v>5714</v>
      </c>
      <c r="BB121" s="5"/>
      <c r="BC121" s="5"/>
      <c r="BD121" s="5"/>
      <c r="BE121" s="5"/>
      <c r="BF121" s="5"/>
      <c r="BG121" s="5"/>
      <c r="BH121" s="5"/>
      <c r="BI121" s="5"/>
      <c r="BJ121" s="5"/>
      <c r="BK121" s="46"/>
    </row>
    <row r="122" customHeight="1" spans="40:63">
      <c r="AN122" s="50"/>
      <c r="AO122" s="5" t="s">
        <v>5715</v>
      </c>
      <c r="AP122" s="5"/>
      <c r="AQ122" s="5"/>
      <c r="AR122" s="5"/>
      <c r="AS122" s="5"/>
      <c r="AT122" s="5"/>
      <c r="AU122" s="5"/>
      <c r="AV122" s="5"/>
      <c r="AW122" s="5"/>
      <c r="AX122" s="5"/>
      <c r="AY122" s="46"/>
      <c r="AZ122" s="7"/>
      <c r="BA122" s="5" t="s">
        <v>5716</v>
      </c>
      <c r="BB122" s="5"/>
      <c r="BC122" s="5"/>
      <c r="BD122" s="5"/>
      <c r="BE122" s="5"/>
      <c r="BF122" s="5"/>
      <c r="BG122" s="5"/>
      <c r="BH122" s="5"/>
      <c r="BI122" s="5"/>
      <c r="BJ122" s="5"/>
      <c r="BK122" s="46"/>
    </row>
    <row r="123" customHeight="1" spans="40:63">
      <c r="AN123" s="50"/>
      <c r="AO123" s="5" t="s">
        <v>5717</v>
      </c>
      <c r="AP123" s="5"/>
      <c r="AQ123" s="5"/>
      <c r="AR123" s="5"/>
      <c r="AS123" s="5"/>
      <c r="AT123" s="5"/>
      <c r="AU123" s="5"/>
      <c r="AV123" s="5"/>
      <c r="AW123" s="5"/>
      <c r="AX123" s="5"/>
      <c r="AY123" s="46"/>
      <c r="AZ123" s="7"/>
      <c r="BA123" s="5" t="s">
        <v>5718</v>
      </c>
      <c r="BB123" s="5"/>
      <c r="BC123" s="5"/>
      <c r="BD123" s="5"/>
      <c r="BE123" s="5"/>
      <c r="BF123" s="5"/>
      <c r="BG123" s="5"/>
      <c r="BH123" s="5"/>
      <c r="BI123" s="5"/>
      <c r="BJ123" s="5"/>
      <c r="BK123" s="46"/>
    </row>
    <row r="124" customHeight="1" spans="40:63">
      <c r="AN124" s="50"/>
      <c r="AO124" s="5" t="s">
        <v>5719</v>
      </c>
      <c r="AP124" s="5"/>
      <c r="AQ124" s="5"/>
      <c r="AR124" s="5"/>
      <c r="AS124" s="5"/>
      <c r="AT124" s="5"/>
      <c r="AU124" s="5"/>
      <c r="AV124" s="5"/>
      <c r="AW124" s="5"/>
      <c r="AX124" s="5"/>
      <c r="AY124" s="46"/>
      <c r="AZ124" s="39" t="s">
        <v>5437</v>
      </c>
      <c r="BA124" s="4" t="s">
        <v>5720</v>
      </c>
      <c r="BB124" s="4"/>
      <c r="BC124" s="4"/>
      <c r="BD124" s="4"/>
      <c r="BE124" s="4"/>
      <c r="BF124" s="4"/>
      <c r="BG124" s="4"/>
      <c r="BH124" s="4"/>
      <c r="BI124" s="4"/>
      <c r="BJ124" s="4"/>
      <c r="BK124" s="46"/>
    </row>
    <row r="125" customHeight="1" spans="40:63">
      <c r="AN125" s="2" t="s">
        <v>5721</v>
      </c>
      <c r="AO125" s="2"/>
      <c r="AP125" s="2"/>
      <c r="AQ125" s="2"/>
      <c r="AR125" s="2"/>
      <c r="AS125" s="2"/>
      <c r="AT125" s="2"/>
      <c r="AU125" s="2"/>
      <c r="AV125" s="2"/>
      <c r="AW125" s="2"/>
      <c r="AX125" s="2"/>
      <c r="AY125" s="46"/>
      <c r="AZ125" s="39"/>
      <c r="BA125" s="4"/>
      <c r="BB125" s="4"/>
      <c r="BC125" s="4"/>
      <c r="BD125" s="4"/>
      <c r="BE125" s="4"/>
      <c r="BF125" s="4"/>
      <c r="BG125" s="4"/>
      <c r="BH125" s="4"/>
      <c r="BI125" s="4"/>
      <c r="BJ125" s="4"/>
      <c r="BK125" s="46"/>
    </row>
    <row r="126" customHeight="1" spans="40:63">
      <c r="AN126" s="45" t="s">
        <v>5413</v>
      </c>
      <c r="AO126" s="4" t="s">
        <v>5722</v>
      </c>
      <c r="AP126" s="4"/>
      <c r="AQ126" s="4"/>
      <c r="AR126" s="4"/>
      <c r="AS126" s="4"/>
      <c r="AT126" s="4"/>
      <c r="AU126" s="4"/>
      <c r="AV126" s="4"/>
      <c r="AW126" s="4"/>
      <c r="AX126" s="4"/>
      <c r="AY126" s="46"/>
      <c r="AZ126" s="39"/>
      <c r="BA126" s="4"/>
      <c r="BB126" s="4"/>
      <c r="BC126" s="4"/>
      <c r="BD126" s="4"/>
      <c r="BE126" s="4"/>
      <c r="BF126" s="4"/>
      <c r="BG126" s="4"/>
      <c r="BH126" s="4"/>
      <c r="BI126" s="4"/>
      <c r="BJ126" s="4"/>
      <c r="BK126" s="46"/>
    </row>
    <row r="127" customHeight="1" spans="40:63">
      <c r="AN127" s="45"/>
      <c r="AO127" s="4" t="s">
        <v>5723</v>
      </c>
      <c r="AP127" s="4"/>
      <c r="AQ127" s="4"/>
      <c r="AR127" s="4"/>
      <c r="AS127" s="4"/>
      <c r="AT127" s="4"/>
      <c r="AU127" s="4"/>
      <c r="AV127" s="4"/>
      <c r="AW127" s="4"/>
      <c r="AX127" s="4"/>
      <c r="AY127" s="46"/>
      <c r="AZ127" s="39"/>
      <c r="BA127" s="4"/>
      <c r="BB127" s="4"/>
      <c r="BC127" s="4"/>
      <c r="BD127" s="4"/>
      <c r="BE127" s="4"/>
      <c r="BF127" s="4"/>
      <c r="BG127" s="4"/>
      <c r="BH127" s="4"/>
      <c r="BI127" s="4"/>
      <c r="BJ127" s="4"/>
      <c r="BK127" s="46"/>
    </row>
    <row r="128" customHeight="1" spans="40:63">
      <c r="AN128" s="58" t="s">
        <v>5540</v>
      </c>
      <c r="AO128" s="5" t="s">
        <v>423</v>
      </c>
      <c r="AP128" s="5"/>
      <c r="AQ128" s="5"/>
      <c r="AR128" s="5"/>
      <c r="AS128" s="5"/>
      <c r="AT128" s="5"/>
      <c r="AU128" s="5"/>
      <c r="AV128" s="5"/>
      <c r="AW128" s="5"/>
      <c r="AX128" s="5"/>
      <c r="AY128" s="46"/>
      <c r="AZ128" s="39"/>
      <c r="BA128" s="4"/>
      <c r="BB128" s="4"/>
      <c r="BC128" s="4"/>
      <c r="BD128" s="4"/>
      <c r="BE128" s="4"/>
      <c r="BF128" s="4"/>
      <c r="BG128" s="4"/>
      <c r="BH128" s="4"/>
      <c r="BI128" s="4"/>
      <c r="BJ128" s="4"/>
      <c r="BK128" s="46"/>
    </row>
    <row r="129" customHeight="1" spans="40:63">
      <c r="AN129" s="63" t="s">
        <v>5724</v>
      </c>
      <c r="AO129" s="4" t="s">
        <v>5725</v>
      </c>
      <c r="AP129" s="5"/>
      <c r="AQ129" s="5"/>
      <c r="AR129" s="5"/>
      <c r="AS129" s="5"/>
      <c r="AT129" s="5"/>
      <c r="AU129" s="5"/>
      <c r="AV129" s="5"/>
      <c r="AW129" s="5"/>
      <c r="AX129" s="5"/>
      <c r="AY129" s="46"/>
      <c r="AZ129" s="39"/>
      <c r="BA129" s="4"/>
      <c r="BB129" s="4"/>
      <c r="BC129" s="4"/>
      <c r="BD129" s="4"/>
      <c r="BE129" s="4"/>
      <c r="BF129" s="4"/>
      <c r="BG129" s="4"/>
      <c r="BH129" s="4"/>
      <c r="BI129" s="4"/>
      <c r="BJ129" s="4"/>
      <c r="BK129" s="46"/>
    </row>
    <row r="130" customHeight="1" spans="40:63">
      <c r="AN130" s="63"/>
      <c r="AO130" s="5"/>
      <c r="AP130" s="5"/>
      <c r="AQ130" s="5"/>
      <c r="AR130" s="5"/>
      <c r="AS130" s="5"/>
      <c r="AT130" s="5"/>
      <c r="AU130" s="5"/>
      <c r="AV130" s="5"/>
      <c r="AW130" s="5"/>
      <c r="AX130" s="5"/>
      <c r="AY130" s="46"/>
      <c r="AZ130" s="39"/>
      <c r="BA130" s="4"/>
      <c r="BB130" s="4"/>
      <c r="BC130" s="4"/>
      <c r="BD130" s="4"/>
      <c r="BE130" s="4"/>
      <c r="BF130" s="4"/>
      <c r="BG130" s="4"/>
      <c r="BH130" s="4"/>
      <c r="BI130" s="4"/>
      <c r="BJ130" s="4"/>
      <c r="BK130" s="46"/>
    </row>
    <row r="131" customHeight="1" spans="40:63">
      <c r="AN131" s="63"/>
      <c r="AO131" s="5"/>
      <c r="AP131" s="5"/>
      <c r="AQ131" s="5"/>
      <c r="AR131" s="5"/>
      <c r="AS131" s="5"/>
      <c r="AT131" s="5"/>
      <c r="AU131" s="5"/>
      <c r="AV131" s="5"/>
      <c r="AW131" s="5"/>
      <c r="AX131" s="5"/>
      <c r="AY131" s="46"/>
      <c r="AZ131" s="27" t="s">
        <v>5724</v>
      </c>
      <c r="BA131" s="5" t="s">
        <v>5726</v>
      </c>
      <c r="BB131" s="5"/>
      <c r="BC131" s="5"/>
      <c r="BD131" s="5"/>
      <c r="BE131" s="5"/>
      <c r="BF131" s="5"/>
      <c r="BG131" s="5"/>
      <c r="BH131" s="5"/>
      <c r="BI131" s="5"/>
      <c r="BJ131" s="5"/>
      <c r="BK131" s="46"/>
    </row>
    <row r="132" customHeight="1" spans="40:63">
      <c r="AN132" s="63"/>
      <c r="AO132" s="5"/>
      <c r="AP132" s="5"/>
      <c r="AQ132" s="5"/>
      <c r="AR132" s="5"/>
      <c r="AS132" s="5"/>
      <c r="AT132" s="5"/>
      <c r="AU132" s="5"/>
      <c r="AV132" s="5"/>
      <c r="AW132" s="5"/>
      <c r="AX132" s="5"/>
      <c r="AY132" s="46"/>
      <c r="AZ132" s="2" t="s">
        <v>5727</v>
      </c>
      <c r="BA132" s="2"/>
      <c r="BB132" s="2"/>
      <c r="BC132" s="2"/>
      <c r="BD132" s="2"/>
      <c r="BE132" s="2"/>
      <c r="BF132" s="2"/>
      <c r="BG132" s="2"/>
      <c r="BH132" s="2"/>
      <c r="BI132" s="2"/>
      <c r="BJ132" s="2"/>
      <c r="BK132" s="46"/>
    </row>
    <row r="133" customHeight="1" spans="40:63">
      <c r="AN133" s="63"/>
      <c r="AO133" s="5" t="s">
        <v>5728</v>
      </c>
      <c r="AP133" s="5"/>
      <c r="AQ133" s="5"/>
      <c r="AR133" s="5"/>
      <c r="AS133" s="5"/>
      <c r="AT133" s="5"/>
      <c r="AU133" s="5"/>
      <c r="AV133" s="5"/>
      <c r="AW133" s="5"/>
      <c r="AX133" s="5"/>
      <c r="AY133" s="46"/>
      <c r="AZ133" s="39" t="s">
        <v>5729</v>
      </c>
      <c r="BA133" s="4" t="s">
        <v>5730</v>
      </c>
      <c r="BB133" s="4"/>
      <c r="BC133" s="4"/>
      <c r="BD133" s="4"/>
      <c r="BE133" s="4"/>
      <c r="BF133" s="4"/>
      <c r="BG133" s="4"/>
      <c r="BH133" s="4"/>
      <c r="BI133" s="4"/>
      <c r="BJ133" s="4"/>
      <c r="BK133" s="46"/>
    </row>
    <row r="134" customHeight="1" spans="40:63">
      <c r="AN134" s="63"/>
      <c r="AO134" s="4" t="s">
        <v>5731</v>
      </c>
      <c r="AP134" s="4"/>
      <c r="AQ134" s="4"/>
      <c r="AR134" s="4"/>
      <c r="AS134" s="4"/>
      <c r="AT134" s="4"/>
      <c r="AU134" s="4"/>
      <c r="AV134" s="4"/>
      <c r="AW134" s="4"/>
      <c r="AX134" s="4"/>
      <c r="AY134" s="46"/>
      <c r="AZ134" s="39"/>
      <c r="BA134" s="4" t="s">
        <v>5732</v>
      </c>
      <c r="BB134" s="4"/>
      <c r="BC134" s="4"/>
      <c r="BD134" s="4"/>
      <c r="BE134" s="4"/>
      <c r="BF134" s="4"/>
      <c r="BG134" s="4"/>
      <c r="BH134" s="4"/>
      <c r="BI134" s="4"/>
      <c r="BJ134" s="4"/>
      <c r="BK134" s="46"/>
    </row>
    <row r="135" customHeight="1" spans="40:63">
      <c r="AN135" s="63"/>
      <c r="AO135" s="4"/>
      <c r="AP135" s="4"/>
      <c r="AQ135" s="4"/>
      <c r="AR135" s="4"/>
      <c r="AS135" s="4"/>
      <c r="AT135" s="4"/>
      <c r="AU135" s="4"/>
      <c r="AV135" s="4"/>
      <c r="AW135" s="4"/>
      <c r="AX135" s="4"/>
      <c r="AY135" s="46"/>
      <c r="AZ135" s="39"/>
      <c r="BA135" s="4"/>
      <c r="BB135" s="4"/>
      <c r="BC135" s="4"/>
      <c r="BD135" s="4"/>
      <c r="BE135" s="4"/>
      <c r="BF135" s="4"/>
      <c r="BG135" s="4"/>
      <c r="BH135" s="4"/>
      <c r="BI135" s="4"/>
      <c r="BJ135" s="4"/>
      <c r="BK135" s="46"/>
    </row>
    <row r="136" customHeight="1" spans="40:63">
      <c r="AN136" s="63"/>
      <c r="AO136" s="4"/>
      <c r="AP136" s="4"/>
      <c r="AQ136" s="4"/>
      <c r="AR136" s="4"/>
      <c r="AS136" s="4"/>
      <c r="AT136" s="4"/>
      <c r="AU136" s="4"/>
      <c r="AV136" s="4"/>
      <c r="AW136" s="4"/>
      <c r="AX136" s="4"/>
      <c r="AY136" s="46"/>
      <c r="AZ136" s="39"/>
      <c r="BA136" s="4"/>
      <c r="BB136" s="4"/>
      <c r="BC136" s="4"/>
      <c r="BD136" s="4"/>
      <c r="BE136" s="4"/>
      <c r="BF136" s="4"/>
      <c r="BG136" s="4"/>
      <c r="BH136" s="4"/>
      <c r="BI136" s="4"/>
      <c r="BJ136" s="4"/>
      <c r="BK136" s="46"/>
    </row>
    <row r="137" customHeight="1" spans="40:63">
      <c r="AN137" s="39" t="s">
        <v>5531</v>
      </c>
      <c r="AO137" s="5" t="s">
        <v>5733</v>
      </c>
      <c r="AP137" s="5"/>
      <c r="AQ137" s="5"/>
      <c r="AR137" s="5"/>
      <c r="AS137" s="5"/>
      <c r="AT137" s="5"/>
      <c r="AU137" s="5"/>
      <c r="AV137" s="5"/>
      <c r="AW137" s="5"/>
      <c r="AX137" s="5"/>
      <c r="AY137" s="46"/>
      <c r="AZ137" s="39"/>
      <c r="BA137" s="4"/>
      <c r="BB137" s="4"/>
      <c r="BC137" s="4"/>
      <c r="BD137" s="4"/>
      <c r="BE137" s="4"/>
      <c r="BF137" s="4"/>
      <c r="BG137" s="4"/>
      <c r="BH137" s="4"/>
      <c r="BI137" s="4"/>
      <c r="BJ137" s="4"/>
      <c r="BK137" s="46"/>
    </row>
    <row r="138" customHeight="1" spans="40:63">
      <c r="AN138" s="39"/>
      <c r="AO138" s="5" t="s">
        <v>5734</v>
      </c>
      <c r="AP138" s="5"/>
      <c r="AQ138" s="5"/>
      <c r="AR138" s="5"/>
      <c r="AS138" s="5"/>
      <c r="AT138" s="5"/>
      <c r="AU138" s="5"/>
      <c r="AV138" s="5"/>
      <c r="AW138" s="5"/>
      <c r="AX138" s="5"/>
      <c r="AY138" s="46"/>
      <c r="AZ138" s="39"/>
      <c r="BA138" s="4" t="s">
        <v>5735</v>
      </c>
      <c r="BB138" s="4"/>
      <c r="BC138" s="4"/>
      <c r="BD138" s="4"/>
      <c r="BE138" s="4"/>
      <c r="BF138" s="4"/>
      <c r="BG138" s="4"/>
      <c r="BH138" s="4"/>
      <c r="BI138" s="4"/>
      <c r="BJ138" s="4"/>
      <c r="BK138" s="46"/>
    </row>
    <row r="139" customHeight="1" spans="40:63">
      <c r="AN139" s="39"/>
      <c r="AO139" s="5" t="s">
        <v>5736</v>
      </c>
      <c r="AP139" s="5"/>
      <c r="AQ139" s="5"/>
      <c r="AR139" s="5"/>
      <c r="AS139" s="5"/>
      <c r="AT139" s="5"/>
      <c r="AU139" s="5"/>
      <c r="AV139" s="5"/>
      <c r="AW139" s="5"/>
      <c r="AX139" s="5"/>
      <c r="AY139" s="46"/>
      <c r="AZ139" s="39"/>
      <c r="BA139" s="5" t="s">
        <v>5737</v>
      </c>
      <c r="BB139" s="5"/>
      <c r="BC139" s="5"/>
      <c r="BD139" s="5"/>
      <c r="BE139" s="5"/>
      <c r="BF139" s="5"/>
      <c r="BG139" s="5"/>
      <c r="BH139" s="5"/>
      <c r="BI139" s="5"/>
      <c r="BJ139" s="5"/>
      <c r="BK139" s="46"/>
    </row>
    <row r="140" customHeight="1" spans="40:63">
      <c r="AN140" s="39"/>
      <c r="AO140" s="5" t="s">
        <v>5738</v>
      </c>
      <c r="AP140" s="5"/>
      <c r="AQ140" s="5"/>
      <c r="AR140" s="5"/>
      <c r="AS140" s="5"/>
      <c r="AT140" s="5"/>
      <c r="AU140" s="5"/>
      <c r="AV140" s="5"/>
      <c r="AW140" s="5"/>
      <c r="AX140" s="5"/>
      <c r="AY140" s="46"/>
      <c r="AZ140" s="39"/>
      <c r="BA140" s="5" t="s">
        <v>5739</v>
      </c>
      <c r="BB140" s="5"/>
      <c r="BC140" s="5"/>
      <c r="BD140" s="5"/>
      <c r="BE140" s="5"/>
      <c r="BF140" s="5"/>
      <c r="BG140" s="5"/>
      <c r="BH140" s="5"/>
      <c r="BI140" s="5"/>
      <c r="BJ140" s="5"/>
      <c r="BK140" s="46"/>
    </row>
    <row r="141" customHeight="1" spans="40:63">
      <c r="AN141" s="47" t="s">
        <v>5437</v>
      </c>
      <c r="AO141" s="4" t="s">
        <v>5740</v>
      </c>
      <c r="AP141" s="5"/>
      <c r="AQ141" s="5"/>
      <c r="AR141" s="5"/>
      <c r="AS141" s="5"/>
      <c r="AT141" s="5"/>
      <c r="AU141" s="5"/>
      <c r="AV141" s="5"/>
      <c r="AW141" s="5"/>
      <c r="AX141" s="5"/>
      <c r="AY141" s="46"/>
      <c r="AZ141" s="39"/>
      <c r="BA141" s="5" t="s">
        <v>5741</v>
      </c>
      <c r="BB141" s="5"/>
      <c r="BC141" s="5"/>
      <c r="BD141" s="5"/>
      <c r="BE141" s="5"/>
      <c r="BF141" s="5"/>
      <c r="BG141" s="5"/>
      <c r="BH141" s="5"/>
      <c r="BI141" s="5"/>
      <c r="BJ141" s="5"/>
      <c r="BK141" s="46"/>
    </row>
    <row r="142" customHeight="1" spans="40:63">
      <c r="AN142" s="47"/>
      <c r="AO142" s="5"/>
      <c r="AP142" s="5"/>
      <c r="AQ142" s="5"/>
      <c r="AR142" s="5"/>
      <c r="AS142" s="5"/>
      <c r="AT142" s="5"/>
      <c r="AU142" s="5"/>
      <c r="AV142" s="5"/>
      <c r="AW142" s="5"/>
      <c r="AX142" s="5"/>
      <c r="AY142" s="46"/>
      <c r="AZ142" s="39"/>
      <c r="BA142" s="4" t="s">
        <v>5742</v>
      </c>
      <c r="BB142" s="4"/>
      <c r="BC142" s="4"/>
      <c r="BD142" s="4"/>
      <c r="BE142" s="4"/>
      <c r="BF142" s="4"/>
      <c r="BG142" s="4"/>
      <c r="BH142" s="4"/>
      <c r="BI142" s="4"/>
      <c r="BJ142" s="4"/>
      <c r="BK142" s="46"/>
    </row>
    <row r="143" customHeight="1" spans="40:63">
      <c r="AN143" s="47"/>
      <c r="AO143" s="5"/>
      <c r="AP143" s="5"/>
      <c r="AQ143" s="5"/>
      <c r="AR143" s="5"/>
      <c r="AS143" s="5"/>
      <c r="AT143" s="5"/>
      <c r="AU143" s="5"/>
      <c r="AV143" s="5"/>
      <c r="AW143" s="5"/>
      <c r="AX143" s="5"/>
      <c r="AY143" s="46"/>
      <c r="AZ143" s="39"/>
      <c r="BA143" s="4"/>
      <c r="BB143" s="4"/>
      <c r="BC143" s="4"/>
      <c r="BD143" s="4"/>
      <c r="BE143" s="4"/>
      <c r="BF143" s="4"/>
      <c r="BG143" s="4"/>
      <c r="BH143" s="4"/>
      <c r="BI143" s="4"/>
      <c r="BJ143" s="4"/>
      <c r="BK143" s="46"/>
    </row>
    <row r="144" customHeight="1" spans="40:63">
      <c r="AN144" s="47"/>
      <c r="AO144" s="5"/>
      <c r="AP144" s="5"/>
      <c r="AQ144" s="5"/>
      <c r="AR144" s="5"/>
      <c r="AS144" s="5"/>
      <c r="AT144" s="5"/>
      <c r="AU144" s="5"/>
      <c r="AV144" s="5"/>
      <c r="AW144" s="5"/>
      <c r="AX144" s="5"/>
      <c r="AY144" s="46"/>
      <c r="AZ144" s="39"/>
      <c r="BA144" s="4" t="s">
        <v>5743</v>
      </c>
      <c r="BB144" s="4"/>
      <c r="BC144" s="4"/>
      <c r="BD144" s="4"/>
      <c r="BE144" s="4"/>
      <c r="BF144" s="4"/>
      <c r="BG144" s="4"/>
      <c r="BH144" s="4"/>
      <c r="BI144" s="4"/>
      <c r="BJ144" s="4"/>
      <c r="BK144" s="46"/>
    </row>
    <row r="145" customHeight="1" spans="40:63">
      <c r="AN145" s="47"/>
      <c r="AO145" s="4" t="s">
        <v>5744</v>
      </c>
      <c r="AP145" s="4"/>
      <c r="AQ145" s="4"/>
      <c r="AR145" s="4"/>
      <c r="AS145" s="4"/>
      <c r="AT145" s="4"/>
      <c r="AU145" s="4"/>
      <c r="AV145" s="4"/>
      <c r="AW145" s="4"/>
      <c r="AX145" s="4"/>
      <c r="AY145" s="46"/>
      <c r="AZ145" s="39"/>
      <c r="BA145" s="4" t="s">
        <v>5745</v>
      </c>
      <c r="BB145" s="4"/>
      <c r="BC145" s="4"/>
      <c r="BD145" s="4"/>
      <c r="BE145" s="4"/>
      <c r="BF145" s="4"/>
      <c r="BG145" s="4"/>
      <c r="BH145" s="4"/>
      <c r="BI145" s="4"/>
      <c r="BJ145" s="4"/>
      <c r="BK145" s="46"/>
    </row>
    <row r="146" customHeight="1" spans="40:63">
      <c r="AN146" s="47"/>
      <c r="AO146" s="4"/>
      <c r="AP146" s="4"/>
      <c r="AQ146" s="4"/>
      <c r="AR146" s="4"/>
      <c r="AS146" s="4"/>
      <c r="AT146" s="4"/>
      <c r="AU146" s="4"/>
      <c r="AV146" s="4"/>
      <c r="AW146" s="4"/>
      <c r="AX146" s="4"/>
      <c r="AY146" s="46"/>
      <c r="AZ146" s="39"/>
      <c r="BA146" s="5" t="s">
        <v>5746</v>
      </c>
      <c r="BB146" s="5"/>
      <c r="BC146" s="5"/>
      <c r="BD146" s="5"/>
      <c r="BE146" s="5"/>
      <c r="BF146" s="5"/>
      <c r="BG146" s="5"/>
      <c r="BH146" s="5"/>
      <c r="BI146" s="5"/>
      <c r="BJ146" s="5"/>
      <c r="BK146" s="46"/>
    </row>
    <row r="147" customHeight="1" spans="40:63">
      <c r="AN147" s="47"/>
      <c r="AO147" s="4"/>
      <c r="AP147" s="4"/>
      <c r="AQ147" s="4"/>
      <c r="AR147" s="4"/>
      <c r="AS147" s="4"/>
      <c r="AT147" s="4"/>
      <c r="AU147" s="4"/>
      <c r="AV147" s="4"/>
      <c r="AW147" s="4"/>
      <c r="AX147" s="4"/>
      <c r="AY147" s="46"/>
      <c r="AZ147" s="39"/>
      <c r="BA147" s="4" t="s">
        <v>5747</v>
      </c>
      <c r="BB147" s="5"/>
      <c r="BC147" s="5"/>
      <c r="BD147" s="5"/>
      <c r="BE147" s="5"/>
      <c r="BF147" s="5"/>
      <c r="BG147" s="5"/>
      <c r="BH147" s="5"/>
      <c r="BI147" s="5"/>
      <c r="BJ147" s="5"/>
      <c r="BK147" s="46"/>
    </row>
    <row r="148" customHeight="1" spans="40:63">
      <c r="AN148" s="47"/>
      <c r="AO148" s="4" t="s">
        <v>5748</v>
      </c>
      <c r="AP148" s="4"/>
      <c r="AQ148" s="4"/>
      <c r="AR148" s="4"/>
      <c r="AS148" s="4"/>
      <c r="AT148" s="4"/>
      <c r="AU148" s="4"/>
      <c r="AV148" s="4"/>
      <c r="AW148" s="4"/>
      <c r="AX148" s="4"/>
      <c r="AY148" s="46"/>
      <c r="AZ148" s="39"/>
      <c r="BA148" s="5"/>
      <c r="BB148" s="5"/>
      <c r="BC148" s="5"/>
      <c r="BD148" s="5"/>
      <c r="BE148" s="5"/>
      <c r="BF148" s="5"/>
      <c r="BG148" s="5"/>
      <c r="BH148" s="5"/>
      <c r="BI148" s="5"/>
      <c r="BJ148" s="5"/>
      <c r="BK148" s="46"/>
    </row>
    <row r="149" customHeight="1" spans="40:63">
      <c r="AN149" s="47"/>
      <c r="AO149" s="4" t="s">
        <v>5749</v>
      </c>
      <c r="AP149" s="4"/>
      <c r="AQ149" s="4"/>
      <c r="AR149" s="4"/>
      <c r="AS149" s="4"/>
      <c r="AT149" s="4"/>
      <c r="AU149" s="4"/>
      <c r="AV149" s="4"/>
      <c r="AW149" s="4"/>
      <c r="AX149" s="4"/>
      <c r="AY149" s="46"/>
      <c r="AZ149" s="39" t="s">
        <v>5437</v>
      </c>
      <c r="BA149" s="5" t="s">
        <v>5750</v>
      </c>
      <c r="BB149" s="5"/>
      <c r="BC149" s="5"/>
      <c r="BD149" s="5"/>
      <c r="BE149" s="5"/>
      <c r="BF149" s="5"/>
      <c r="BG149" s="5"/>
      <c r="BH149" s="5"/>
      <c r="BI149" s="5"/>
      <c r="BJ149" s="5"/>
      <c r="BK149" s="46"/>
    </row>
    <row r="150" customHeight="1" spans="40:63">
      <c r="AN150" s="47" t="s">
        <v>5586</v>
      </c>
      <c r="AO150" s="4" t="s">
        <v>5751</v>
      </c>
      <c r="AP150" s="4"/>
      <c r="AQ150" s="4"/>
      <c r="AR150" s="4"/>
      <c r="AS150" s="4"/>
      <c r="AT150" s="4"/>
      <c r="AU150" s="4"/>
      <c r="AV150" s="4"/>
      <c r="AW150" s="4"/>
      <c r="AX150" s="4"/>
      <c r="AY150" s="46"/>
      <c r="AZ150" s="39"/>
      <c r="BA150" s="4" t="s">
        <v>5752</v>
      </c>
      <c r="BB150" s="5"/>
      <c r="BC150" s="5"/>
      <c r="BD150" s="5"/>
      <c r="BE150" s="5"/>
      <c r="BF150" s="5"/>
      <c r="BG150" s="5"/>
      <c r="BH150" s="5"/>
      <c r="BI150" s="5"/>
      <c r="BJ150" s="5"/>
      <c r="BK150" s="46"/>
    </row>
    <row r="151" customHeight="1" spans="40:63">
      <c r="AN151" s="47"/>
      <c r="AO151" s="4"/>
      <c r="AP151" s="4"/>
      <c r="AQ151" s="4"/>
      <c r="AR151" s="4"/>
      <c r="AS151" s="4"/>
      <c r="AT151" s="4"/>
      <c r="AU151" s="4"/>
      <c r="AV151" s="4"/>
      <c r="AW151" s="4"/>
      <c r="AX151" s="4"/>
      <c r="AY151" s="46"/>
      <c r="AZ151" s="39"/>
      <c r="BA151" s="5"/>
      <c r="BB151" s="5"/>
      <c r="BC151" s="5"/>
      <c r="BD151" s="5"/>
      <c r="BE151" s="5"/>
      <c r="BF151" s="5"/>
      <c r="BG151" s="5"/>
      <c r="BH151" s="5"/>
      <c r="BI151" s="5"/>
      <c r="BJ151" s="5"/>
      <c r="BK151" s="46"/>
    </row>
    <row r="152" customHeight="1" spans="40:63">
      <c r="AN152" s="47"/>
      <c r="AO152" s="4"/>
      <c r="AP152" s="4"/>
      <c r="AQ152" s="4"/>
      <c r="AR152" s="4"/>
      <c r="AS152" s="4"/>
      <c r="AT152" s="4"/>
      <c r="AU152" s="4"/>
      <c r="AV152" s="4"/>
      <c r="AW152" s="4"/>
      <c r="AX152" s="4"/>
      <c r="AY152" s="46"/>
      <c r="AZ152" s="39"/>
      <c r="BA152" s="5" t="s">
        <v>5753</v>
      </c>
      <c r="BB152" s="5"/>
      <c r="BC152" s="5"/>
      <c r="BD152" s="5"/>
      <c r="BE152" s="5"/>
      <c r="BF152" s="5"/>
      <c r="BG152" s="5"/>
      <c r="BH152" s="5"/>
      <c r="BI152" s="5"/>
      <c r="BJ152" s="5"/>
      <c r="BK152" s="46"/>
    </row>
    <row r="153" customHeight="1" spans="40:63">
      <c r="AN153" s="47"/>
      <c r="AO153" s="4"/>
      <c r="AP153" s="4"/>
      <c r="AQ153" s="4"/>
      <c r="AR153" s="4"/>
      <c r="AS153" s="4"/>
      <c r="AT153" s="4"/>
      <c r="AU153" s="4"/>
      <c r="AV153" s="4"/>
      <c r="AW153" s="4"/>
      <c r="AX153" s="4"/>
      <c r="AY153" s="46"/>
      <c r="AZ153" s="61" t="s">
        <v>5586</v>
      </c>
      <c r="BA153" s="5" t="s">
        <v>5754</v>
      </c>
      <c r="BB153" s="5"/>
      <c r="BC153" s="5"/>
      <c r="BD153" s="5"/>
      <c r="BE153" s="5"/>
      <c r="BF153" s="5"/>
      <c r="BG153" s="5"/>
      <c r="BH153" s="5"/>
      <c r="BI153" s="5"/>
      <c r="BJ153" s="5"/>
      <c r="BK153" s="46"/>
    </row>
    <row r="154" customHeight="1" spans="40:63">
      <c r="AN154" s="47"/>
      <c r="AO154" s="4"/>
      <c r="AP154" s="4"/>
      <c r="AQ154" s="4"/>
      <c r="AR154" s="4"/>
      <c r="AS154" s="4"/>
      <c r="AT154" s="4"/>
      <c r="AU154" s="4"/>
      <c r="AV154" s="4"/>
      <c r="AW154" s="4"/>
      <c r="AX154" s="4"/>
      <c r="AY154" s="46"/>
      <c r="AZ154" s="61"/>
      <c r="BA154" s="5" t="s">
        <v>5755</v>
      </c>
      <c r="BB154" s="5"/>
      <c r="BC154" s="5"/>
      <c r="BD154" s="5"/>
      <c r="BE154" s="5"/>
      <c r="BF154" s="5"/>
      <c r="BG154" s="5"/>
      <c r="BH154" s="5"/>
      <c r="BI154" s="5"/>
      <c r="BJ154" s="5"/>
      <c r="BK154" s="46"/>
    </row>
    <row r="155" customHeight="1" spans="40:63">
      <c r="AN155" s="47"/>
      <c r="AO155" s="4"/>
      <c r="AP155" s="4"/>
      <c r="AQ155" s="4"/>
      <c r="AR155" s="4"/>
      <c r="AS155" s="4"/>
      <c r="AT155" s="4"/>
      <c r="AU155" s="4"/>
      <c r="AV155" s="4"/>
      <c r="AW155" s="4"/>
      <c r="AX155" s="4"/>
      <c r="AY155" s="46"/>
      <c r="AZ155" s="62" t="s">
        <v>5668</v>
      </c>
      <c r="BA155" s="5" t="s">
        <v>5756</v>
      </c>
      <c r="BB155" s="5"/>
      <c r="BC155" s="5"/>
      <c r="BD155" s="5"/>
      <c r="BE155" s="5"/>
      <c r="BF155" s="5"/>
      <c r="BG155" s="5"/>
      <c r="BH155" s="5"/>
      <c r="BI155" s="5"/>
      <c r="BJ155" s="5"/>
      <c r="BK155" s="46"/>
    </row>
    <row r="156" customHeight="1" spans="40:63">
      <c r="AN156" s="47"/>
      <c r="AO156" s="4"/>
      <c r="AP156" s="4"/>
      <c r="AQ156" s="4"/>
      <c r="AR156" s="4"/>
      <c r="AS156" s="4"/>
      <c r="AT156" s="4"/>
      <c r="AU156" s="4"/>
      <c r="AV156" s="4"/>
      <c r="AW156" s="4"/>
      <c r="AX156" s="4"/>
      <c r="AY156" s="46"/>
      <c r="AZ156" s="39" t="s">
        <v>5757</v>
      </c>
      <c r="BA156" s="4" t="s">
        <v>5758</v>
      </c>
      <c r="BB156" s="5"/>
      <c r="BC156" s="5"/>
      <c r="BD156" s="5"/>
      <c r="BE156" s="5"/>
      <c r="BF156" s="5"/>
      <c r="BG156" s="5"/>
      <c r="BH156" s="5"/>
      <c r="BI156" s="5"/>
      <c r="BJ156" s="5"/>
      <c r="BK156" s="46"/>
    </row>
    <row r="157" customHeight="1" spans="40:63">
      <c r="AN157" s="47"/>
      <c r="AO157" s="4"/>
      <c r="AP157" s="4"/>
      <c r="AQ157" s="4"/>
      <c r="AR157" s="4"/>
      <c r="AS157" s="4"/>
      <c r="AT157" s="4"/>
      <c r="AU157" s="4"/>
      <c r="AV157" s="4"/>
      <c r="AW157" s="4"/>
      <c r="AX157" s="4"/>
      <c r="AY157" s="46"/>
      <c r="AZ157" s="39"/>
      <c r="BA157" s="5"/>
      <c r="BB157" s="5"/>
      <c r="BC157" s="5"/>
      <c r="BD157" s="5"/>
      <c r="BE157" s="5"/>
      <c r="BF157" s="5"/>
      <c r="BG157" s="5"/>
      <c r="BH157" s="5"/>
      <c r="BI157" s="5"/>
      <c r="BJ157" s="5"/>
      <c r="BK157" s="46"/>
    </row>
    <row r="158" customHeight="1" spans="40:63">
      <c r="AN158" s="47"/>
      <c r="AO158" s="4"/>
      <c r="AP158" s="4"/>
      <c r="AQ158" s="4"/>
      <c r="AR158" s="4"/>
      <c r="AS158" s="4"/>
      <c r="AT158" s="4"/>
      <c r="AU158" s="4"/>
      <c r="AV158" s="4"/>
      <c r="AW158" s="4"/>
      <c r="AX158" s="4"/>
      <c r="AY158" s="46"/>
      <c r="AZ158" s="39"/>
      <c r="BA158" s="5"/>
      <c r="BB158" s="5"/>
      <c r="BC158" s="5"/>
      <c r="BD158" s="5"/>
      <c r="BE158" s="5"/>
      <c r="BF158" s="5"/>
      <c r="BG158" s="5"/>
      <c r="BH158" s="5"/>
      <c r="BI158" s="5"/>
      <c r="BJ158" s="5"/>
      <c r="BK158" s="46"/>
    </row>
    <row r="159" customHeight="1" spans="40:63">
      <c r="AN159" s="47"/>
      <c r="AO159" s="4"/>
      <c r="AP159" s="4"/>
      <c r="AQ159" s="4"/>
      <c r="AR159" s="4"/>
      <c r="AS159" s="4"/>
      <c r="AT159" s="4"/>
      <c r="AU159" s="4"/>
      <c r="AV159" s="4"/>
      <c r="AW159" s="4"/>
      <c r="AX159" s="4"/>
      <c r="AY159" s="46"/>
      <c r="AZ159" s="39"/>
      <c r="BA159" s="5"/>
      <c r="BB159" s="5"/>
      <c r="BC159" s="5"/>
      <c r="BD159" s="5"/>
      <c r="BE159" s="5"/>
      <c r="BF159" s="5"/>
      <c r="BG159" s="5"/>
      <c r="BH159" s="5"/>
      <c r="BI159" s="5"/>
      <c r="BJ159" s="5"/>
      <c r="BK159" s="46"/>
    </row>
    <row r="160" customHeight="1" spans="40:63">
      <c r="AN160" s="47"/>
      <c r="AO160" s="4" t="s">
        <v>5759</v>
      </c>
      <c r="AP160" s="4"/>
      <c r="AQ160" s="4"/>
      <c r="AR160" s="4"/>
      <c r="AS160" s="4"/>
      <c r="AT160" s="4"/>
      <c r="AU160" s="4"/>
      <c r="AV160" s="4"/>
      <c r="AW160" s="4"/>
      <c r="AX160" s="4"/>
      <c r="AY160" s="46"/>
      <c r="AZ160" s="39"/>
      <c r="BA160" s="5"/>
      <c r="BB160" s="5"/>
      <c r="BC160" s="5"/>
      <c r="BD160" s="5"/>
      <c r="BE160" s="5"/>
      <c r="BF160" s="5"/>
      <c r="BG160" s="5"/>
      <c r="BH160" s="5"/>
      <c r="BI160" s="5"/>
      <c r="BJ160" s="5"/>
      <c r="BK160" s="46"/>
    </row>
    <row r="161" customHeight="1" spans="40:63">
      <c r="AN161" s="47"/>
      <c r="AO161" s="4"/>
      <c r="AP161" s="4"/>
      <c r="AQ161" s="4"/>
      <c r="AR161" s="4"/>
      <c r="AS161" s="4"/>
      <c r="AT161" s="4"/>
      <c r="AU161" s="4"/>
      <c r="AV161" s="4"/>
      <c r="AW161" s="4"/>
      <c r="AX161" s="4"/>
      <c r="AY161" s="46"/>
      <c r="AZ161" s="39" t="s">
        <v>5760</v>
      </c>
      <c r="BA161" s="4" t="s">
        <v>5761</v>
      </c>
      <c r="BB161" s="4"/>
      <c r="BC161" s="4"/>
      <c r="BD161" s="4"/>
      <c r="BE161" s="4"/>
      <c r="BF161" s="4"/>
      <c r="BG161" s="4"/>
      <c r="BH161" s="4"/>
      <c r="BI161" s="4"/>
      <c r="BJ161" s="4"/>
      <c r="BK161" s="46"/>
    </row>
    <row r="162" customHeight="1" spans="40:63">
      <c r="AN162" s="47"/>
      <c r="AO162" s="4"/>
      <c r="AP162" s="4"/>
      <c r="AQ162" s="4"/>
      <c r="AR162" s="4"/>
      <c r="AS162" s="4"/>
      <c r="AT162" s="4"/>
      <c r="AU162" s="4"/>
      <c r="AV162" s="4"/>
      <c r="AW162" s="4"/>
      <c r="AX162" s="4"/>
      <c r="AY162" s="46"/>
      <c r="AZ162" s="39"/>
      <c r="BA162" s="4"/>
      <c r="BB162" s="4"/>
      <c r="BC162" s="4"/>
      <c r="BD162" s="4"/>
      <c r="BE162" s="4"/>
      <c r="BF162" s="4"/>
      <c r="BG162" s="4"/>
      <c r="BH162" s="4"/>
      <c r="BI162" s="4"/>
      <c r="BJ162" s="4"/>
      <c r="BK162" s="46"/>
    </row>
    <row r="163" customHeight="1" spans="40:63">
      <c r="AN163" s="47"/>
      <c r="AO163" s="4"/>
      <c r="AP163" s="4"/>
      <c r="AQ163" s="4"/>
      <c r="AR163" s="4"/>
      <c r="AS163" s="4"/>
      <c r="AT163" s="4"/>
      <c r="AU163" s="4"/>
      <c r="AV163" s="4"/>
      <c r="AW163" s="4"/>
      <c r="AX163" s="4"/>
      <c r="AY163" s="46"/>
      <c r="AZ163" s="39"/>
      <c r="BA163" s="4"/>
      <c r="BB163" s="4"/>
      <c r="BC163" s="4"/>
      <c r="BD163" s="4"/>
      <c r="BE163" s="4"/>
      <c r="BF163" s="4"/>
      <c r="BG163" s="4"/>
      <c r="BH163" s="4"/>
      <c r="BI163" s="4"/>
      <c r="BJ163" s="4"/>
      <c r="BK163" s="46"/>
    </row>
    <row r="164" customHeight="1" spans="40:63">
      <c r="AN164" s="47"/>
      <c r="AO164" s="4"/>
      <c r="AP164" s="4"/>
      <c r="AQ164" s="4"/>
      <c r="AR164" s="4"/>
      <c r="AS164" s="4"/>
      <c r="AT164" s="4"/>
      <c r="AU164" s="4"/>
      <c r="AV164" s="4"/>
      <c r="AW164" s="4"/>
      <c r="AX164" s="4"/>
      <c r="AY164" s="46"/>
      <c r="AZ164" s="39"/>
      <c r="BA164" s="4"/>
      <c r="BB164" s="4"/>
      <c r="BC164" s="4"/>
      <c r="BD164" s="4"/>
      <c r="BE164" s="4"/>
      <c r="BF164" s="4"/>
      <c r="BG164" s="4"/>
      <c r="BH164" s="4"/>
      <c r="BI164" s="4"/>
      <c r="BJ164" s="4"/>
      <c r="BK164" s="46"/>
    </row>
    <row r="165" customHeight="1" spans="40:63">
      <c r="AN165" s="47"/>
      <c r="AO165" s="5" t="s">
        <v>5762</v>
      </c>
      <c r="AP165" s="5"/>
      <c r="AQ165" s="5"/>
      <c r="AR165" s="5"/>
      <c r="AS165" s="5"/>
      <c r="AT165" s="5"/>
      <c r="AU165" s="5"/>
      <c r="AV165" s="5"/>
      <c r="AW165" s="5"/>
      <c r="AX165" s="5"/>
      <c r="AY165" s="46"/>
      <c r="AZ165" s="39"/>
      <c r="BA165" s="4"/>
      <c r="BB165" s="4"/>
      <c r="BC165" s="4"/>
      <c r="BD165" s="4"/>
      <c r="BE165" s="4"/>
      <c r="BF165" s="4"/>
      <c r="BG165" s="4"/>
      <c r="BH165" s="4"/>
      <c r="BI165" s="4"/>
      <c r="BJ165" s="4"/>
      <c r="BK165" s="46"/>
    </row>
    <row r="166" customHeight="1" spans="40:63">
      <c r="AN166" s="47"/>
      <c r="AO166" s="5" t="s">
        <v>5763</v>
      </c>
      <c r="AP166" s="5"/>
      <c r="AQ166" s="5"/>
      <c r="AR166" s="5"/>
      <c r="AS166" s="5"/>
      <c r="AT166" s="5"/>
      <c r="AU166" s="5"/>
      <c r="AV166" s="5"/>
      <c r="AW166" s="5"/>
      <c r="AX166" s="5"/>
      <c r="AY166" s="46"/>
      <c r="AZ166" s="39"/>
      <c r="BA166" s="4"/>
      <c r="BB166" s="4"/>
      <c r="BC166" s="4"/>
      <c r="BD166" s="4"/>
      <c r="BE166" s="4"/>
      <c r="BF166" s="4"/>
      <c r="BG166" s="4"/>
      <c r="BH166" s="4"/>
      <c r="BI166" s="4"/>
      <c r="BJ166" s="4"/>
      <c r="BK166" s="46"/>
    </row>
    <row r="167" customHeight="1" spans="40:63">
      <c r="AN167" s="61" t="s">
        <v>5487</v>
      </c>
      <c r="AO167" s="5" t="s">
        <v>5764</v>
      </c>
      <c r="AP167" s="5"/>
      <c r="AQ167" s="5"/>
      <c r="AR167" s="5"/>
      <c r="AS167" s="5"/>
      <c r="AT167" s="5"/>
      <c r="AU167" s="5"/>
      <c r="AV167" s="5"/>
      <c r="AW167" s="5"/>
      <c r="AX167" s="5"/>
      <c r="AY167" s="46"/>
      <c r="AZ167" s="2" t="s">
        <v>5765</v>
      </c>
      <c r="BA167" s="2"/>
      <c r="BB167" s="2"/>
      <c r="BC167" s="2"/>
      <c r="BD167" s="2"/>
      <c r="BE167" s="2"/>
      <c r="BF167" s="2"/>
      <c r="BG167" s="2"/>
      <c r="BH167" s="2"/>
      <c r="BI167" s="2"/>
      <c r="BJ167" s="2"/>
      <c r="BK167" s="46"/>
    </row>
    <row r="168" customHeight="1" spans="40:63">
      <c r="AN168" s="61"/>
      <c r="AO168" s="5" t="s">
        <v>5766</v>
      </c>
      <c r="AP168" s="5"/>
      <c r="AQ168" s="5"/>
      <c r="AR168" s="5"/>
      <c r="AS168" s="5"/>
      <c r="AT168" s="5"/>
      <c r="AU168" s="5"/>
      <c r="AV168" s="5"/>
      <c r="AW168" s="5"/>
      <c r="AX168" s="5"/>
      <c r="AY168" s="46"/>
      <c r="AZ168" s="64" t="s">
        <v>5429</v>
      </c>
      <c r="BA168" s="5" t="s">
        <v>5767</v>
      </c>
      <c r="BB168" s="5"/>
      <c r="BC168" s="5"/>
      <c r="BD168" s="5"/>
      <c r="BE168" s="5"/>
      <c r="BF168" s="5"/>
      <c r="BG168" s="5"/>
      <c r="BH168" s="5"/>
      <c r="BI168" s="5"/>
      <c r="BJ168" s="5"/>
      <c r="BK168" s="46"/>
    </row>
    <row r="169" customHeight="1" spans="40:63">
      <c r="AN169" s="2" t="s">
        <v>5768</v>
      </c>
      <c r="AO169" s="2"/>
      <c r="AP169" s="2"/>
      <c r="AQ169" s="2"/>
      <c r="AR169" s="2"/>
      <c r="AS169" s="2"/>
      <c r="AT169" s="2"/>
      <c r="AU169" s="2"/>
      <c r="AV169" s="2"/>
      <c r="AW169" s="2"/>
      <c r="AX169" s="2"/>
      <c r="AY169" s="46"/>
      <c r="AZ169" s="39" t="s">
        <v>5460</v>
      </c>
      <c r="BA169" s="5" t="s">
        <v>5769</v>
      </c>
      <c r="BB169" s="5"/>
      <c r="BC169" s="5"/>
      <c r="BD169" s="5"/>
      <c r="BE169" s="5"/>
      <c r="BF169" s="5"/>
      <c r="BG169" s="5"/>
      <c r="BH169" s="5"/>
      <c r="BI169" s="5"/>
      <c r="BJ169" s="5"/>
      <c r="BK169" s="46"/>
    </row>
    <row r="170" customHeight="1" spans="40:63">
      <c r="AN170" s="30" t="s">
        <v>5413</v>
      </c>
      <c r="AO170" s="5" t="s">
        <v>5770</v>
      </c>
      <c r="AP170" s="5"/>
      <c r="AQ170" s="5"/>
      <c r="AR170" s="5"/>
      <c r="AS170" s="5"/>
      <c r="AT170" s="5"/>
      <c r="AU170" s="5"/>
      <c r="AV170" s="5"/>
      <c r="AW170" s="5"/>
      <c r="AX170" s="5"/>
      <c r="AY170" s="46"/>
      <c r="AZ170" s="39"/>
      <c r="BA170" s="5" t="s">
        <v>5771</v>
      </c>
      <c r="BB170" s="5"/>
      <c r="BC170" s="5"/>
      <c r="BD170" s="5"/>
      <c r="BE170" s="5"/>
      <c r="BF170" s="5"/>
      <c r="BG170" s="5"/>
      <c r="BH170" s="5"/>
      <c r="BI170" s="5"/>
      <c r="BJ170" s="5"/>
      <c r="BK170" s="46"/>
    </row>
    <row r="171" customHeight="1" spans="40:63">
      <c r="AN171" s="27" t="s">
        <v>5437</v>
      </c>
      <c r="AO171" s="5" t="s">
        <v>5772</v>
      </c>
      <c r="AP171" s="5"/>
      <c r="AQ171" s="5"/>
      <c r="AR171" s="5"/>
      <c r="AS171" s="5"/>
      <c r="AT171" s="5"/>
      <c r="AU171" s="5"/>
      <c r="AV171" s="5"/>
      <c r="AW171" s="5"/>
      <c r="AX171" s="5"/>
      <c r="AY171" s="46"/>
      <c r="AZ171" s="39"/>
      <c r="BA171" s="5" t="s">
        <v>5773</v>
      </c>
      <c r="BB171" s="5"/>
      <c r="BC171" s="5"/>
      <c r="BD171" s="5"/>
      <c r="BE171" s="5"/>
      <c r="BF171" s="5"/>
      <c r="BG171" s="5"/>
      <c r="BH171" s="5"/>
      <c r="BI171" s="5"/>
      <c r="BJ171" s="5"/>
      <c r="BK171" s="46"/>
    </row>
    <row r="172" customHeight="1" spans="40:63">
      <c r="AN172" s="2" t="s">
        <v>5774</v>
      </c>
      <c r="AO172" s="2"/>
      <c r="AP172" s="2"/>
      <c r="AQ172" s="2"/>
      <c r="AR172" s="2"/>
      <c r="AS172" s="2"/>
      <c r="AT172" s="2"/>
      <c r="AU172" s="2"/>
      <c r="AV172" s="2"/>
      <c r="AW172" s="2"/>
      <c r="AX172" s="2"/>
      <c r="AY172" s="46"/>
      <c r="AZ172" s="39"/>
      <c r="BA172" s="4" t="s">
        <v>5775</v>
      </c>
      <c r="BB172" s="4"/>
      <c r="BC172" s="4"/>
      <c r="BD172" s="4"/>
      <c r="BE172" s="4"/>
      <c r="BF172" s="4"/>
      <c r="BG172" s="4"/>
      <c r="BH172" s="4"/>
      <c r="BI172" s="4"/>
      <c r="BJ172" s="4"/>
      <c r="BK172" s="46"/>
    </row>
    <row r="173" customHeight="1" spans="40:63">
      <c r="AN173" s="45" t="s">
        <v>5429</v>
      </c>
      <c r="AO173" s="31" t="s">
        <v>5776</v>
      </c>
      <c r="AP173" s="31"/>
      <c r="AQ173" s="31"/>
      <c r="AR173" s="31"/>
      <c r="AS173" s="31"/>
      <c r="AT173" s="31"/>
      <c r="AU173" s="31"/>
      <c r="AV173" s="31"/>
      <c r="AW173" s="31"/>
      <c r="AX173" s="31"/>
      <c r="AY173" s="46"/>
      <c r="AZ173" s="39"/>
      <c r="BA173" s="4"/>
      <c r="BB173" s="4"/>
      <c r="BC173" s="4"/>
      <c r="BD173" s="4"/>
      <c r="BE173" s="4"/>
      <c r="BF173" s="4"/>
      <c r="BG173" s="4"/>
      <c r="BH173" s="4"/>
      <c r="BI173" s="4"/>
      <c r="BJ173" s="4"/>
      <c r="BK173" s="46"/>
    </row>
    <row r="174" customHeight="1" spans="51:63">
      <c r="AY174" s="46"/>
      <c r="AZ174" s="39"/>
      <c r="BA174" s="4"/>
      <c r="BB174" s="4"/>
      <c r="BC174" s="4"/>
      <c r="BD174" s="4"/>
      <c r="BE174" s="4"/>
      <c r="BF174" s="4"/>
      <c r="BG174" s="4"/>
      <c r="BH174" s="4"/>
      <c r="BI174" s="4"/>
      <c r="BJ174" s="4"/>
      <c r="BK174" s="46"/>
    </row>
    <row r="175" customHeight="1" spans="51:63">
      <c r="AY175" s="46"/>
      <c r="AZ175" s="39"/>
      <c r="BA175" s="5" t="s">
        <v>5777</v>
      </c>
      <c r="BB175" s="5"/>
      <c r="BC175" s="5"/>
      <c r="BD175" s="5"/>
      <c r="BE175" s="5"/>
      <c r="BF175" s="5"/>
      <c r="BG175" s="5"/>
      <c r="BH175" s="5"/>
      <c r="BI175" s="5"/>
      <c r="BJ175" s="5"/>
      <c r="BK175" s="46"/>
    </row>
    <row r="176" customHeight="1" spans="51:63">
      <c r="AY176" s="46"/>
      <c r="AZ176" s="39"/>
      <c r="BA176" s="5" t="s">
        <v>5778</v>
      </c>
      <c r="BB176" s="5"/>
      <c r="BC176" s="5"/>
      <c r="BD176" s="5"/>
      <c r="BE176" s="5"/>
      <c r="BF176" s="5"/>
      <c r="BG176" s="5"/>
      <c r="BH176" s="5"/>
      <c r="BI176" s="5"/>
      <c r="BJ176" s="5"/>
      <c r="BK176" s="46"/>
    </row>
    <row r="177" customHeight="1" spans="51:63">
      <c r="AY177" s="46"/>
      <c r="AZ177" s="39"/>
      <c r="BA177" s="5" t="s">
        <v>5779</v>
      </c>
      <c r="BB177" s="5"/>
      <c r="BC177" s="5"/>
      <c r="BD177" s="5"/>
      <c r="BE177" s="5"/>
      <c r="BF177" s="5"/>
      <c r="BG177" s="5"/>
      <c r="BH177" s="5"/>
      <c r="BI177" s="5"/>
      <c r="BJ177" s="5"/>
      <c r="BK177" s="46"/>
    </row>
    <row r="178" customHeight="1" spans="51:63">
      <c r="AY178" s="46"/>
      <c r="AZ178" s="39"/>
      <c r="BA178" s="4" t="s">
        <v>5780</v>
      </c>
      <c r="BB178" s="5"/>
      <c r="BC178" s="5"/>
      <c r="BD178" s="5"/>
      <c r="BE178" s="5"/>
      <c r="BF178" s="5"/>
      <c r="BG178" s="5"/>
      <c r="BH178" s="5"/>
      <c r="BI178" s="5"/>
      <c r="BJ178" s="5"/>
      <c r="BK178" s="46"/>
    </row>
    <row r="179" customHeight="1" spans="51:63">
      <c r="AY179" s="46"/>
      <c r="AZ179" s="39"/>
      <c r="BA179" s="5"/>
      <c r="BB179" s="5"/>
      <c r="BC179" s="5"/>
      <c r="BD179" s="5"/>
      <c r="BE179" s="5"/>
      <c r="BF179" s="5"/>
      <c r="BG179" s="5"/>
      <c r="BH179" s="5"/>
      <c r="BI179" s="5"/>
      <c r="BJ179" s="5"/>
      <c r="BK179" s="46"/>
    </row>
    <row r="180" customHeight="1" spans="51:63">
      <c r="AY180" s="46"/>
      <c r="AZ180" s="39"/>
      <c r="BA180" s="5" t="s">
        <v>5781</v>
      </c>
      <c r="BB180" s="5"/>
      <c r="BC180" s="5"/>
      <c r="BD180" s="5"/>
      <c r="BE180" s="5"/>
      <c r="BF180" s="5"/>
      <c r="BG180" s="5"/>
      <c r="BH180" s="5"/>
      <c r="BI180" s="5"/>
      <c r="BJ180" s="5"/>
      <c r="BK180" s="46"/>
    </row>
    <row r="181" customHeight="1" spans="51:63">
      <c r="AY181" s="46"/>
      <c r="AZ181" s="39"/>
      <c r="BA181" s="4" t="s">
        <v>5782</v>
      </c>
      <c r="BB181" s="5"/>
      <c r="BC181" s="5"/>
      <c r="BD181" s="5"/>
      <c r="BE181" s="5"/>
      <c r="BF181" s="5"/>
      <c r="BG181" s="5"/>
      <c r="BH181" s="5"/>
      <c r="BI181" s="5"/>
      <c r="BJ181" s="5"/>
      <c r="BK181" s="46"/>
    </row>
    <row r="182" customHeight="1" spans="51:63">
      <c r="AY182" s="46"/>
      <c r="AZ182" s="39"/>
      <c r="BA182" s="5"/>
      <c r="BB182" s="5"/>
      <c r="BC182" s="5"/>
      <c r="BD182" s="5"/>
      <c r="BE182" s="5"/>
      <c r="BF182" s="5"/>
      <c r="BG182" s="5"/>
      <c r="BH182" s="5"/>
      <c r="BI182" s="5"/>
      <c r="BJ182" s="5"/>
      <c r="BK182" s="46"/>
    </row>
    <row r="183" customHeight="1" spans="51:63">
      <c r="AY183" s="46"/>
      <c r="AZ183" s="39"/>
      <c r="BA183" s="5" t="s">
        <v>5783</v>
      </c>
      <c r="BB183" s="5"/>
      <c r="BC183" s="5"/>
      <c r="BD183" s="5"/>
      <c r="BE183" s="5"/>
      <c r="BF183" s="5"/>
      <c r="BG183" s="5"/>
      <c r="BH183" s="5"/>
      <c r="BI183" s="5"/>
      <c r="BJ183" s="5"/>
      <c r="BK183" s="46"/>
    </row>
    <row r="184" customHeight="1" spans="51:63">
      <c r="AY184" s="46"/>
      <c r="AZ184" s="39"/>
      <c r="BA184" s="5" t="s">
        <v>5784</v>
      </c>
      <c r="BB184" s="5"/>
      <c r="BC184" s="5"/>
      <c r="BD184" s="5"/>
      <c r="BE184" s="5"/>
      <c r="BF184" s="5"/>
      <c r="BG184" s="5"/>
      <c r="BH184" s="5"/>
      <c r="BI184" s="5"/>
      <c r="BJ184" s="5"/>
      <c r="BK184" s="46"/>
    </row>
    <row r="185" customHeight="1" spans="51:63">
      <c r="AY185" s="46"/>
      <c r="AZ185" s="39"/>
      <c r="BA185" s="4" t="s">
        <v>5785</v>
      </c>
      <c r="BB185" s="5"/>
      <c r="BC185" s="5"/>
      <c r="BD185" s="5"/>
      <c r="BE185" s="5"/>
      <c r="BF185" s="5"/>
      <c r="BG185" s="5"/>
      <c r="BH185" s="5"/>
      <c r="BI185" s="5"/>
      <c r="BJ185" s="5"/>
      <c r="BK185" s="46"/>
    </row>
    <row r="186" customHeight="1" spans="51:63">
      <c r="AY186" s="46"/>
      <c r="AZ186" s="39"/>
      <c r="BA186" s="5"/>
      <c r="BB186" s="5"/>
      <c r="BC186" s="5"/>
      <c r="BD186" s="5"/>
      <c r="BE186" s="5"/>
      <c r="BF186" s="5"/>
      <c r="BG186" s="5"/>
      <c r="BH186" s="5"/>
      <c r="BI186" s="5"/>
      <c r="BJ186" s="5"/>
      <c r="BK186" s="46"/>
    </row>
    <row r="187" customHeight="1" spans="51:63">
      <c r="AY187" s="46"/>
      <c r="AZ187" s="39"/>
      <c r="BA187" s="5" t="s">
        <v>5786</v>
      </c>
      <c r="BB187" s="5"/>
      <c r="BC187" s="5"/>
      <c r="BD187" s="5"/>
      <c r="BE187" s="5"/>
      <c r="BF187" s="5"/>
      <c r="BG187" s="5"/>
      <c r="BH187" s="5"/>
      <c r="BI187" s="5"/>
      <c r="BJ187" s="5"/>
      <c r="BK187" s="46"/>
    </row>
    <row r="188" customHeight="1" spans="51:63">
      <c r="AY188" s="46"/>
      <c r="AZ188" s="61" t="s">
        <v>5668</v>
      </c>
      <c r="BA188" s="4" t="s">
        <v>5787</v>
      </c>
      <c r="BB188" s="5"/>
      <c r="BC188" s="5"/>
      <c r="BD188" s="5"/>
      <c r="BE188" s="5"/>
      <c r="BF188" s="5"/>
      <c r="BG188" s="5"/>
      <c r="BH188" s="5"/>
      <c r="BI188" s="5"/>
      <c r="BJ188" s="5"/>
      <c r="BK188" s="46"/>
    </row>
    <row r="189" customHeight="1" spans="51:63">
      <c r="AY189" s="46"/>
      <c r="AZ189" s="61"/>
      <c r="BA189" s="5"/>
      <c r="BB189" s="5"/>
      <c r="BC189" s="5"/>
      <c r="BD189" s="5"/>
      <c r="BE189" s="5"/>
      <c r="BF189" s="5"/>
      <c r="BG189" s="5"/>
      <c r="BH189" s="5"/>
      <c r="BI189" s="5"/>
      <c r="BJ189" s="5"/>
      <c r="BK189" s="46"/>
    </row>
    <row r="190" customHeight="1" spans="51:63">
      <c r="AY190" s="46"/>
      <c r="AZ190" s="25" t="s">
        <v>5788</v>
      </c>
      <c r="BA190" s="4" t="s">
        <v>5789</v>
      </c>
      <c r="BB190" s="5"/>
      <c r="BC190" s="5"/>
      <c r="BD190" s="5"/>
      <c r="BE190" s="5"/>
      <c r="BF190" s="5"/>
      <c r="BG190" s="5"/>
      <c r="BH190" s="5"/>
      <c r="BI190" s="5"/>
      <c r="BJ190" s="5"/>
      <c r="BK190" s="46"/>
    </row>
    <row r="191" customHeight="1" spans="51:63">
      <c r="AY191" s="46"/>
      <c r="AZ191" s="25"/>
      <c r="BA191" s="5"/>
      <c r="BB191" s="5"/>
      <c r="BC191" s="5"/>
      <c r="BD191" s="5"/>
      <c r="BE191" s="5"/>
      <c r="BF191" s="5"/>
      <c r="BG191" s="5"/>
      <c r="BH191" s="5"/>
      <c r="BI191" s="5"/>
      <c r="BJ191" s="5"/>
      <c r="BK191" s="46"/>
    </row>
    <row r="192" customHeight="1" spans="51:63">
      <c r="AY192" s="46"/>
      <c r="AZ192" s="2" t="s">
        <v>5790</v>
      </c>
      <c r="BA192" s="2"/>
      <c r="BB192" s="2"/>
      <c r="BC192" s="2"/>
      <c r="BD192" s="2"/>
      <c r="BE192" s="2"/>
      <c r="BF192" s="2"/>
      <c r="BG192" s="2"/>
      <c r="BH192" s="2"/>
      <c r="BI192" s="2"/>
      <c r="BJ192" s="2"/>
      <c r="BK192" s="46"/>
    </row>
    <row r="193" customHeight="1" spans="51:63">
      <c r="AY193" s="46"/>
      <c r="AZ193" s="39" t="s">
        <v>5460</v>
      </c>
      <c r="BA193" s="4" t="s">
        <v>5791</v>
      </c>
      <c r="BB193" s="5"/>
      <c r="BC193" s="5"/>
      <c r="BD193" s="5"/>
      <c r="BE193" s="5"/>
      <c r="BF193" s="5"/>
      <c r="BG193" s="5"/>
      <c r="BH193" s="5"/>
      <c r="BI193" s="5"/>
      <c r="BJ193" s="5"/>
      <c r="BK193" s="46"/>
    </row>
    <row r="194" customHeight="1" spans="51:63">
      <c r="AY194" s="46"/>
      <c r="AZ194" s="39"/>
      <c r="BA194" s="5"/>
      <c r="BB194" s="5"/>
      <c r="BC194" s="5"/>
      <c r="BD194" s="5"/>
      <c r="BE194" s="5"/>
      <c r="BF194" s="5"/>
      <c r="BG194" s="5"/>
      <c r="BH194" s="5"/>
      <c r="BI194" s="5"/>
      <c r="BJ194" s="5"/>
      <c r="BK194" s="46"/>
    </row>
    <row r="195" customHeight="1" spans="51:63">
      <c r="AY195" s="46"/>
      <c r="AZ195" s="39"/>
      <c r="BA195" s="5" t="s">
        <v>5792</v>
      </c>
      <c r="BB195" s="5"/>
      <c r="BC195" s="5"/>
      <c r="BD195" s="5"/>
      <c r="BE195" s="5"/>
      <c r="BF195" s="5"/>
      <c r="BG195" s="5"/>
      <c r="BH195" s="5"/>
      <c r="BI195" s="5"/>
      <c r="BJ195" s="5"/>
      <c r="BK195" s="46"/>
    </row>
    <row r="196" customHeight="1" spans="51:63">
      <c r="AY196" s="46"/>
      <c r="AZ196" s="39"/>
      <c r="BA196" s="5" t="s">
        <v>5793</v>
      </c>
      <c r="BB196" s="5"/>
      <c r="BC196" s="5"/>
      <c r="BD196" s="5"/>
      <c r="BE196" s="5"/>
      <c r="BF196" s="5"/>
      <c r="BG196" s="5"/>
      <c r="BH196" s="5"/>
      <c r="BI196" s="5"/>
      <c r="BJ196" s="5"/>
      <c r="BK196" s="46"/>
    </row>
    <row r="197" customHeight="1" spans="51:63">
      <c r="AY197" s="46"/>
      <c r="AZ197" s="39"/>
      <c r="BA197" s="4" t="s">
        <v>5794</v>
      </c>
      <c r="BB197" s="4"/>
      <c r="BC197" s="4"/>
      <c r="BD197" s="4"/>
      <c r="BE197" s="4"/>
      <c r="BF197" s="4"/>
      <c r="BG197" s="4"/>
      <c r="BH197" s="4"/>
      <c r="BI197" s="4"/>
      <c r="BJ197" s="4"/>
      <c r="BK197" s="46"/>
    </row>
    <row r="198" customHeight="1" spans="51:63">
      <c r="AY198" s="46"/>
      <c r="AZ198" s="39"/>
      <c r="BA198" s="4"/>
      <c r="BB198" s="4"/>
      <c r="BC198" s="4"/>
      <c r="BD198" s="4"/>
      <c r="BE198" s="4"/>
      <c r="BF198" s="4"/>
      <c r="BG198" s="4"/>
      <c r="BH198" s="4"/>
      <c r="BI198" s="4"/>
      <c r="BJ198" s="4"/>
      <c r="BK198" s="46"/>
    </row>
    <row r="199" customHeight="1" spans="51:63">
      <c r="AY199" s="46"/>
      <c r="AZ199" s="39"/>
      <c r="BA199" s="4"/>
      <c r="BB199" s="4"/>
      <c r="BC199" s="4"/>
      <c r="BD199" s="4"/>
      <c r="BE199" s="4"/>
      <c r="BF199" s="4"/>
      <c r="BG199" s="4"/>
      <c r="BH199" s="4"/>
      <c r="BI199" s="4"/>
      <c r="BJ199" s="4"/>
      <c r="BK199" s="46"/>
    </row>
    <row r="200" customHeight="1" spans="51:63">
      <c r="AY200" s="46"/>
      <c r="AZ200" s="39"/>
      <c r="BA200" s="5" t="s">
        <v>5795</v>
      </c>
      <c r="BB200" s="5"/>
      <c r="BC200" s="5"/>
      <c r="BD200" s="5"/>
      <c r="BE200" s="5"/>
      <c r="BF200" s="5"/>
      <c r="BG200" s="5"/>
      <c r="BH200" s="5"/>
      <c r="BI200" s="5"/>
      <c r="BJ200" s="5"/>
      <c r="BK200" s="46"/>
    </row>
    <row r="201" customHeight="1" spans="51:63">
      <c r="AY201" s="46"/>
      <c r="AZ201" s="39"/>
      <c r="BA201" s="5" t="s">
        <v>5796</v>
      </c>
      <c r="BB201" s="5"/>
      <c r="BC201" s="5"/>
      <c r="BD201" s="5"/>
      <c r="BE201" s="5"/>
      <c r="BF201" s="5"/>
      <c r="BG201" s="5"/>
      <c r="BH201" s="5"/>
      <c r="BI201" s="5"/>
      <c r="BJ201" s="5"/>
      <c r="BK201" s="46"/>
    </row>
    <row r="202" customHeight="1" spans="51:63">
      <c r="AY202" s="46"/>
      <c r="AZ202" s="39" t="s">
        <v>5437</v>
      </c>
      <c r="BA202" s="5" t="s">
        <v>5797</v>
      </c>
      <c r="BB202" s="5"/>
      <c r="BC202" s="5"/>
      <c r="BD202" s="5"/>
      <c r="BE202" s="5"/>
      <c r="BF202" s="5"/>
      <c r="BG202" s="5"/>
      <c r="BH202" s="5"/>
      <c r="BI202" s="5"/>
      <c r="BJ202" s="5"/>
      <c r="BK202" s="46"/>
    </row>
    <row r="203" customHeight="1" spans="51:63">
      <c r="AY203" s="46"/>
      <c r="AZ203" s="39"/>
      <c r="BA203" s="5" t="s">
        <v>5798</v>
      </c>
      <c r="BB203" s="5"/>
      <c r="BC203" s="5"/>
      <c r="BD203" s="5"/>
      <c r="BE203" s="5"/>
      <c r="BF203" s="5"/>
      <c r="BG203" s="5"/>
      <c r="BH203" s="5"/>
      <c r="BI203" s="5"/>
      <c r="BJ203" s="5"/>
      <c r="BK203" s="46"/>
    </row>
    <row r="204" customHeight="1" spans="51:63">
      <c r="AY204" s="46"/>
      <c r="AZ204" s="39"/>
      <c r="BA204" s="5" t="s">
        <v>5799</v>
      </c>
      <c r="BB204" s="5"/>
      <c r="BC204" s="5"/>
      <c r="BD204" s="5"/>
      <c r="BE204" s="5"/>
      <c r="BF204" s="5"/>
      <c r="BG204" s="5"/>
      <c r="BH204" s="5"/>
      <c r="BI204" s="5"/>
      <c r="BJ204" s="5"/>
      <c r="BK204" s="46"/>
    </row>
    <row r="205" customHeight="1" spans="51:63">
      <c r="AY205" s="46"/>
      <c r="AZ205" s="27" t="s">
        <v>5682</v>
      </c>
      <c r="BA205" s="5" t="s">
        <v>5800</v>
      </c>
      <c r="BB205" s="5"/>
      <c r="BC205" s="5"/>
      <c r="BD205" s="5"/>
      <c r="BE205" s="5"/>
      <c r="BF205" s="5"/>
      <c r="BG205" s="5"/>
      <c r="BH205" s="5"/>
      <c r="BI205" s="5"/>
      <c r="BJ205" s="5"/>
      <c r="BK205" s="46"/>
    </row>
    <row r="206" customHeight="1" spans="51:63">
      <c r="AY206" s="46"/>
      <c r="AZ206" s="39" t="s">
        <v>5801</v>
      </c>
      <c r="BA206" s="5" t="s">
        <v>5802</v>
      </c>
      <c r="BB206" s="5"/>
      <c r="BC206" s="5"/>
      <c r="BD206" s="5"/>
      <c r="BE206" s="5"/>
      <c r="BF206" s="5"/>
      <c r="BG206" s="5"/>
      <c r="BH206" s="5"/>
      <c r="BI206" s="5"/>
      <c r="BJ206" s="5"/>
      <c r="BK206" s="46"/>
    </row>
    <row r="207" customHeight="1" spans="51:63">
      <c r="AY207" s="46"/>
      <c r="AZ207" s="39"/>
      <c r="BA207" s="4" t="s">
        <v>5803</v>
      </c>
      <c r="BB207" s="5"/>
      <c r="BC207" s="5"/>
      <c r="BD207" s="5"/>
      <c r="BE207" s="5"/>
      <c r="BF207" s="5"/>
      <c r="BG207" s="5"/>
      <c r="BH207" s="5"/>
      <c r="BI207" s="5"/>
      <c r="BJ207" s="5"/>
      <c r="BK207" s="46"/>
    </row>
    <row r="208" customHeight="1" spans="51:63">
      <c r="AY208" s="46"/>
      <c r="AZ208" s="39"/>
      <c r="BA208" s="5"/>
      <c r="BB208" s="5"/>
      <c r="BC208" s="5"/>
      <c r="BD208" s="5"/>
      <c r="BE208" s="5"/>
      <c r="BF208" s="5"/>
      <c r="BG208" s="5"/>
      <c r="BH208" s="5"/>
      <c r="BI208" s="5"/>
      <c r="BJ208" s="5"/>
      <c r="BK208" s="46"/>
    </row>
    <row r="209" customHeight="1" spans="51:63">
      <c r="AY209" s="46"/>
      <c r="AZ209" s="39"/>
      <c r="BA209" s="5"/>
      <c r="BB209" s="5"/>
      <c r="BC209" s="5"/>
      <c r="BD209" s="5"/>
      <c r="BE209" s="5"/>
      <c r="BF209" s="5"/>
      <c r="BG209" s="5"/>
      <c r="BH209" s="5"/>
      <c r="BI209" s="5"/>
      <c r="BJ209" s="5"/>
      <c r="BK209" s="46"/>
    </row>
    <row r="210" customHeight="1" spans="51:63">
      <c r="AY210" s="46"/>
      <c r="AZ210" s="39"/>
      <c r="BA210" s="5"/>
      <c r="BB210" s="5"/>
      <c r="BC210" s="5"/>
      <c r="BD210" s="5"/>
      <c r="BE210" s="5"/>
      <c r="BF210" s="5"/>
      <c r="BG210" s="5"/>
      <c r="BH210" s="5"/>
      <c r="BI210" s="5"/>
      <c r="BJ210" s="5"/>
      <c r="BK210" s="46"/>
    </row>
    <row r="211" customHeight="1" spans="51:63">
      <c r="AY211" s="46"/>
      <c r="AZ211" s="39"/>
      <c r="BA211" s="65" t="s">
        <v>5804</v>
      </c>
      <c r="BB211" s="65"/>
      <c r="BC211" s="65"/>
      <c r="BD211" s="65"/>
      <c r="BE211" s="65"/>
      <c r="BF211" s="65"/>
      <c r="BG211" s="65"/>
      <c r="BH211" s="65"/>
      <c r="BI211" s="65"/>
      <c r="BJ211" s="65"/>
      <c r="BK211" s="46"/>
    </row>
    <row r="212" customHeight="1" spans="51:63">
      <c r="AY212" s="46"/>
      <c r="AZ212" s="2" t="s">
        <v>5805</v>
      </c>
      <c r="BA212" s="2"/>
      <c r="BB212" s="2"/>
      <c r="BC212" s="2"/>
      <c r="BD212" s="2"/>
      <c r="BE212" s="2"/>
      <c r="BF212" s="2"/>
      <c r="BG212" s="2"/>
      <c r="BH212" s="2"/>
      <c r="BI212" s="2"/>
      <c r="BJ212" s="2"/>
      <c r="BK212" s="46"/>
    </row>
    <row r="213" customHeight="1" spans="51:63">
      <c r="AY213" s="46"/>
      <c r="AZ213" s="39" t="s">
        <v>5460</v>
      </c>
      <c r="BA213" s="66" t="s">
        <v>5806</v>
      </c>
      <c r="BB213" s="67"/>
      <c r="BC213" s="67"/>
      <c r="BD213" s="67"/>
      <c r="BE213" s="67"/>
      <c r="BF213" s="67"/>
      <c r="BG213" s="67"/>
      <c r="BH213" s="67"/>
      <c r="BI213" s="67"/>
      <c r="BJ213" s="67"/>
      <c r="BK213" s="46"/>
    </row>
    <row r="214" customHeight="1" spans="51:63">
      <c r="AY214" s="46"/>
      <c r="AZ214" s="39"/>
      <c r="BA214" s="67"/>
      <c r="BB214" s="67"/>
      <c r="BC214" s="67"/>
      <c r="BD214" s="67"/>
      <c r="BE214" s="67"/>
      <c r="BF214" s="67"/>
      <c r="BG214" s="67"/>
      <c r="BH214" s="67"/>
      <c r="BI214" s="67"/>
      <c r="BJ214" s="67"/>
      <c r="BK214" s="46"/>
    </row>
    <row r="215" customHeight="1" spans="51:63">
      <c r="AY215" s="46"/>
      <c r="AZ215" s="39"/>
      <c r="BA215" s="10" t="s">
        <v>5807</v>
      </c>
      <c r="BB215" s="9"/>
      <c r="BC215" s="9"/>
      <c r="BD215" s="9"/>
      <c r="BE215" s="9"/>
      <c r="BF215" s="9"/>
      <c r="BG215" s="9"/>
      <c r="BH215" s="9"/>
      <c r="BI215" s="9"/>
      <c r="BJ215" s="9"/>
      <c r="BK215" s="46"/>
    </row>
    <row r="216" customHeight="1" spans="51:63">
      <c r="AY216" s="46"/>
      <c r="AZ216" s="39"/>
      <c r="BA216" s="9"/>
      <c r="BB216" s="9"/>
      <c r="BC216" s="9"/>
      <c r="BD216" s="9"/>
      <c r="BE216" s="9"/>
      <c r="BF216" s="9"/>
      <c r="BG216" s="9"/>
      <c r="BH216" s="9"/>
      <c r="BI216" s="9"/>
      <c r="BJ216" s="9"/>
      <c r="BK216" s="46"/>
    </row>
    <row r="217" customHeight="1" spans="51:63">
      <c r="AY217" s="46"/>
      <c r="AZ217" s="39"/>
      <c r="BA217" s="9"/>
      <c r="BB217" s="9"/>
      <c r="BC217" s="9"/>
      <c r="BD217" s="9"/>
      <c r="BE217" s="9"/>
      <c r="BF217" s="9"/>
      <c r="BG217" s="9"/>
      <c r="BH217" s="9"/>
      <c r="BI217" s="9"/>
      <c r="BJ217" s="9"/>
      <c r="BK217" s="46"/>
    </row>
    <row r="218" customHeight="1" spans="51:63">
      <c r="AY218" s="46"/>
      <c r="AZ218" s="39"/>
      <c r="BA218" s="4" t="s">
        <v>5808</v>
      </c>
      <c r="BB218" s="5"/>
      <c r="BC218" s="5"/>
      <c r="BD218" s="5"/>
      <c r="BE218" s="5"/>
      <c r="BF218" s="5"/>
      <c r="BG218" s="5"/>
      <c r="BH218" s="5"/>
      <c r="BI218" s="5"/>
      <c r="BJ218" s="5"/>
      <c r="BK218" s="46"/>
    </row>
    <row r="219" customHeight="1" spans="51:63">
      <c r="AY219" s="46"/>
      <c r="AZ219" s="39"/>
      <c r="BA219" s="5"/>
      <c r="BB219" s="5"/>
      <c r="BC219" s="5"/>
      <c r="BD219" s="5"/>
      <c r="BE219" s="5"/>
      <c r="BF219" s="5"/>
      <c r="BG219" s="5"/>
      <c r="BH219" s="5"/>
      <c r="BI219" s="5"/>
      <c r="BJ219" s="5"/>
      <c r="BK219" s="46"/>
    </row>
    <row r="220" customHeight="1" spans="51:63">
      <c r="AY220" s="46"/>
      <c r="AZ220" s="39"/>
      <c r="BA220" s="5" t="s">
        <v>5809</v>
      </c>
      <c r="BB220" s="5"/>
      <c r="BC220" s="5"/>
      <c r="BD220" s="5"/>
      <c r="BE220" s="5"/>
      <c r="BF220" s="5"/>
      <c r="BG220" s="5"/>
      <c r="BH220" s="5"/>
      <c r="BI220" s="5"/>
      <c r="BJ220" s="5"/>
      <c r="BK220" s="46"/>
    </row>
    <row r="221" customHeight="1" spans="51:63">
      <c r="AY221" s="46"/>
      <c r="AZ221" s="39"/>
      <c r="BA221" s="10" t="s">
        <v>5810</v>
      </c>
      <c r="BB221" s="10"/>
      <c r="BC221" s="10"/>
      <c r="BD221" s="10"/>
      <c r="BE221" s="10"/>
      <c r="BF221" s="10"/>
      <c r="BG221" s="10"/>
      <c r="BH221" s="10"/>
      <c r="BI221" s="10"/>
      <c r="BJ221" s="10"/>
      <c r="BK221" s="46"/>
    </row>
    <row r="222" customHeight="1" spans="51:63">
      <c r="AY222" s="46"/>
      <c r="AZ222" s="39"/>
      <c r="BA222" s="10"/>
      <c r="BB222" s="10"/>
      <c r="BC222" s="10"/>
      <c r="BD222" s="10"/>
      <c r="BE222" s="10"/>
      <c r="BF222" s="10"/>
      <c r="BG222" s="10"/>
      <c r="BH222" s="10"/>
      <c r="BI222" s="10"/>
      <c r="BJ222" s="10"/>
      <c r="BK222" s="46"/>
    </row>
    <row r="223" customHeight="1" spans="51:63">
      <c r="AY223" s="46"/>
      <c r="AZ223" s="39"/>
      <c r="BA223" s="10"/>
      <c r="BB223" s="10"/>
      <c r="BC223" s="10"/>
      <c r="BD223" s="10"/>
      <c r="BE223" s="10"/>
      <c r="BF223" s="10"/>
      <c r="BG223" s="10"/>
      <c r="BH223" s="10"/>
      <c r="BI223" s="10"/>
      <c r="BJ223" s="10"/>
      <c r="BK223" s="46"/>
    </row>
    <row r="224" customHeight="1" spans="51:63">
      <c r="AY224" s="46"/>
      <c r="AZ224" s="39"/>
      <c r="BA224" s="10" t="s">
        <v>5811</v>
      </c>
      <c r="BB224" s="10"/>
      <c r="BC224" s="10"/>
      <c r="BD224" s="10"/>
      <c r="BE224" s="10"/>
      <c r="BF224" s="10"/>
      <c r="BG224" s="10"/>
      <c r="BH224" s="10"/>
      <c r="BI224" s="10"/>
      <c r="BJ224" s="10"/>
      <c r="BK224" s="46"/>
    </row>
    <row r="225" customHeight="1" spans="51:63">
      <c r="AY225" s="46"/>
      <c r="AZ225" s="39"/>
      <c r="BA225" s="10"/>
      <c r="BB225" s="10"/>
      <c r="BC225" s="10"/>
      <c r="BD225" s="10"/>
      <c r="BE225" s="10"/>
      <c r="BF225" s="10"/>
      <c r="BG225" s="10"/>
      <c r="BH225" s="10"/>
      <c r="BI225" s="10"/>
      <c r="BJ225" s="10"/>
      <c r="BK225" s="46"/>
    </row>
    <row r="226" customHeight="1" spans="51:63">
      <c r="AY226" s="46"/>
      <c r="AZ226" s="39"/>
      <c r="BA226" s="10"/>
      <c r="BB226" s="10"/>
      <c r="BC226" s="10"/>
      <c r="BD226" s="10"/>
      <c r="BE226" s="10"/>
      <c r="BF226" s="10"/>
      <c r="BG226" s="10"/>
      <c r="BH226" s="10"/>
      <c r="BI226" s="10"/>
      <c r="BJ226" s="10"/>
      <c r="BK226" s="46"/>
    </row>
    <row r="227" customHeight="1" spans="51:63">
      <c r="AY227" s="46"/>
      <c r="AZ227" s="25" t="s">
        <v>5668</v>
      </c>
      <c r="BA227" s="4" t="s">
        <v>5812</v>
      </c>
      <c r="BB227" s="5"/>
      <c r="BC227" s="5"/>
      <c r="BD227" s="5"/>
      <c r="BE227" s="5"/>
      <c r="BF227" s="5"/>
      <c r="BG227" s="5"/>
      <c r="BH227" s="5"/>
      <c r="BI227" s="5"/>
      <c r="BJ227" s="5"/>
      <c r="BK227" s="46"/>
    </row>
    <row r="228" customHeight="1" spans="51:63">
      <c r="AY228" s="46"/>
      <c r="AZ228" s="25"/>
      <c r="BA228" s="5"/>
      <c r="BB228" s="5"/>
      <c r="BC228" s="5"/>
      <c r="BD228" s="5"/>
      <c r="BE228" s="5"/>
      <c r="BF228" s="5"/>
      <c r="BG228" s="5"/>
      <c r="BH228" s="5"/>
      <c r="BI228" s="5"/>
      <c r="BJ228" s="5"/>
      <c r="BK228" s="46"/>
    </row>
    <row r="229" customHeight="1" spans="51:63">
      <c r="AY229" s="46"/>
      <c r="AZ229" s="30" t="s">
        <v>5437</v>
      </c>
      <c r="BA229" s="5" t="s">
        <v>5813</v>
      </c>
      <c r="BB229" s="5"/>
      <c r="BC229" s="5"/>
      <c r="BD229" s="5"/>
      <c r="BE229" s="5"/>
      <c r="BF229" s="5"/>
      <c r="BG229" s="5"/>
      <c r="BH229" s="5"/>
      <c r="BI229" s="5"/>
      <c r="BJ229" s="5"/>
      <c r="BK229" s="46"/>
    </row>
    <row r="230" customHeight="1" spans="51:63">
      <c r="AY230" s="46"/>
      <c r="AZ230" s="39" t="s">
        <v>5814</v>
      </c>
      <c r="BA230" s="5" t="s">
        <v>5815</v>
      </c>
      <c r="BB230" s="5"/>
      <c r="BC230" s="5"/>
      <c r="BD230" s="5"/>
      <c r="BE230" s="5"/>
      <c r="BF230" s="5"/>
      <c r="BG230" s="5"/>
      <c r="BH230" s="5"/>
      <c r="BI230" s="5"/>
      <c r="BJ230" s="5"/>
      <c r="BK230" s="46"/>
    </row>
    <row r="231" customHeight="1" spans="51:63">
      <c r="AY231" s="46"/>
      <c r="AZ231" s="39"/>
      <c r="BA231" s="5" t="s">
        <v>5816</v>
      </c>
      <c r="BB231" s="5"/>
      <c r="BC231" s="5"/>
      <c r="BD231" s="5"/>
      <c r="BE231" s="5"/>
      <c r="BF231" s="5"/>
      <c r="BG231" s="5"/>
      <c r="BH231" s="5"/>
      <c r="BI231" s="5"/>
      <c r="BJ231" s="5"/>
      <c r="BK231" s="46"/>
    </row>
  </sheetData>
  <sheetProtection password="DB78" sheet="1" objects="1"/>
  <mergeCells count="474">
    <mergeCell ref="A1:K1"/>
    <mergeCell ref="M1:W1"/>
    <mergeCell ref="M3:W3"/>
    <mergeCell ref="AB3:AL3"/>
    <mergeCell ref="AN3:AX3"/>
    <mergeCell ref="AZ3:BJ3"/>
    <mergeCell ref="BL3:BV3"/>
    <mergeCell ref="AO4:AX4"/>
    <mergeCell ref="AC6:AL6"/>
    <mergeCell ref="M7:S7"/>
    <mergeCell ref="AB7:AL7"/>
    <mergeCell ref="AO7:AX7"/>
    <mergeCell ref="M8:S8"/>
    <mergeCell ref="B10:K10"/>
    <mergeCell ref="AN10:AX10"/>
    <mergeCell ref="AC11:AL11"/>
    <mergeCell ref="AO11:AX11"/>
    <mergeCell ref="AC12:AL12"/>
    <mergeCell ref="AB13:AL13"/>
    <mergeCell ref="BA13:BJ13"/>
    <mergeCell ref="AC14:AL14"/>
    <mergeCell ref="BA14:BJ14"/>
    <mergeCell ref="AC15:AL15"/>
    <mergeCell ref="BA15:BJ15"/>
    <mergeCell ref="BL15:BV15"/>
    <mergeCell ref="B16:K16"/>
    <mergeCell ref="AC16:AL16"/>
    <mergeCell ref="BA16:BJ16"/>
    <mergeCell ref="AC17:AL17"/>
    <mergeCell ref="AB18:AL18"/>
    <mergeCell ref="B19:K19"/>
    <mergeCell ref="AC19:AL19"/>
    <mergeCell ref="AO20:AX20"/>
    <mergeCell ref="BA20:BJ20"/>
    <mergeCell ref="AO21:AX21"/>
    <mergeCell ref="BA21:BJ21"/>
    <mergeCell ref="B22:K22"/>
    <mergeCell ref="M22:W22"/>
    <mergeCell ref="AO22:AX22"/>
    <mergeCell ref="BA22:BJ22"/>
    <mergeCell ref="BM22:BV22"/>
    <mergeCell ref="AO23:AX23"/>
    <mergeCell ref="BA23:BJ23"/>
    <mergeCell ref="BM23:BV23"/>
    <mergeCell ref="AO24:AX24"/>
    <mergeCell ref="BA24:BJ24"/>
    <mergeCell ref="B25:K25"/>
    <mergeCell ref="BA25:BJ25"/>
    <mergeCell ref="AZ26:BJ26"/>
    <mergeCell ref="AC27:AL27"/>
    <mergeCell ref="AO27:AX27"/>
    <mergeCell ref="BA27:BJ27"/>
    <mergeCell ref="AC28:AL28"/>
    <mergeCell ref="AO28:AX28"/>
    <mergeCell ref="AB29:AL29"/>
    <mergeCell ref="AN29:AX29"/>
    <mergeCell ref="AC30:AL30"/>
    <mergeCell ref="AO30:AX30"/>
    <mergeCell ref="BA30:BJ30"/>
    <mergeCell ref="B31:K31"/>
    <mergeCell ref="AC31:AL31"/>
    <mergeCell ref="AO31:AX31"/>
    <mergeCell ref="BA31:BJ31"/>
    <mergeCell ref="B32:K32"/>
    <mergeCell ref="AC32:AL32"/>
    <mergeCell ref="AO32:AX32"/>
    <mergeCell ref="BA32:BJ32"/>
    <mergeCell ref="B33:K33"/>
    <mergeCell ref="AB33:AL33"/>
    <mergeCell ref="AO33:AX33"/>
    <mergeCell ref="BA33:BJ33"/>
    <mergeCell ref="B34:K34"/>
    <mergeCell ref="AC34:AL34"/>
    <mergeCell ref="AO34:AX34"/>
    <mergeCell ref="BA34:BJ34"/>
    <mergeCell ref="B35:K35"/>
    <mergeCell ref="AC35:AL35"/>
    <mergeCell ref="AO35:AX35"/>
    <mergeCell ref="BA35:BJ35"/>
    <mergeCell ref="AC36:AL36"/>
    <mergeCell ref="AO36:AX36"/>
    <mergeCell ref="BA36:BJ36"/>
    <mergeCell ref="AC37:AL37"/>
    <mergeCell ref="AN37:AX37"/>
    <mergeCell ref="BA37:BJ37"/>
    <mergeCell ref="BM37:BV37"/>
    <mergeCell ref="AC38:AL38"/>
    <mergeCell ref="AZ38:BJ38"/>
    <mergeCell ref="AC39:AL39"/>
    <mergeCell ref="BA39:BJ39"/>
    <mergeCell ref="BA40:BJ40"/>
    <mergeCell ref="BA41:BJ41"/>
    <mergeCell ref="M42:W42"/>
    <mergeCell ref="N43:W43"/>
    <mergeCell ref="N44:W44"/>
    <mergeCell ref="AC44:AL44"/>
    <mergeCell ref="BA44:BJ44"/>
    <mergeCell ref="N45:W45"/>
    <mergeCell ref="BA45:BJ45"/>
    <mergeCell ref="M46:W46"/>
    <mergeCell ref="N47:W47"/>
    <mergeCell ref="AC47:AL47"/>
    <mergeCell ref="AO49:AX49"/>
    <mergeCell ref="BA49:BJ49"/>
    <mergeCell ref="N50:W50"/>
    <mergeCell ref="AO50:AX50"/>
    <mergeCell ref="BM50:BV50"/>
    <mergeCell ref="N51:W51"/>
    <mergeCell ref="AO51:AX51"/>
    <mergeCell ref="M52:W52"/>
    <mergeCell ref="AO52:AX52"/>
    <mergeCell ref="AO53:AX53"/>
    <mergeCell ref="AO54:AX54"/>
    <mergeCell ref="N55:W55"/>
    <mergeCell ref="AN55:AX55"/>
    <mergeCell ref="BA55:BJ55"/>
    <mergeCell ref="M56:W56"/>
    <mergeCell ref="AO56:AX56"/>
    <mergeCell ref="BA56:BJ56"/>
    <mergeCell ref="N57:W57"/>
    <mergeCell ref="AO57:AX57"/>
    <mergeCell ref="BA57:BJ57"/>
    <mergeCell ref="BA60:BJ60"/>
    <mergeCell ref="BA61:BJ61"/>
    <mergeCell ref="BM61:BV61"/>
    <mergeCell ref="AO64:AX64"/>
    <mergeCell ref="BA65:BJ65"/>
    <mergeCell ref="AZ66:BJ66"/>
    <mergeCell ref="BA67:BJ67"/>
    <mergeCell ref="N69:W69"/>
    <mergeCell ref="AO70:AX70"/>
    <mergeCell ref="BA70:BJ70"/>
    <mergeCell ref="AO71:AX71"/>
    <mergeCell ref="BA77:BJ77"/>
    <mergeCell ref="AO78:AX78"/>
    <mergeCell ref="AN79:AX79"/>
    <mergeCell ref="AO80:AX80"/>
    <mergeCell ref="AO81:AX81"/>
    <mergeCell ref="AO82:AX82"/>
    <mergeCell ref="N83:W83"/>
    <mergeCell ref="AO83:AX83"/>
    <mergeCell ref="BA83:BJ83"/>
    <mergeCell ref="N84:W84"/>
    <mergeCell ref="M85:W85"/>
    <mergeCell ref="N86:W86"/>
    <mergeCell ref="AN86:AX86"/>
    <mergeCell ref="BA87:BJ87"/>
    <mergeCell ref="N89:W89"/>
    <mergeCell ref="N90:W90"/>
    <mergeCell ref="N91:W91"/>
    <mergeCell ref="AO94:AX94"/>
    <mergeCell ref="AO95:AX95"/>
    <mergeCell ref="BA95:BJ95"/>
    <mergeCell ref="AO96:AX96"/>
    <mergeCell ref="BA96:BJ96"/>
    <mergeCell ref="AO97:AX97"/>
    <mergeCell ref="AZ97:BJ97"/>
    <mergeCell ref="AO98:AX98"/>
    <mergeCell ref="BA98:BJ98"/>
    <mergeCell ref="AO99:AX99"/>
    <mergeCell ref="BA99:BJ99"/>
    <mergeCell ref="AO100:AX100"/>
    <mergeCell ref="BA100:BJ100"/>
    <mergeCell ref="AO101:AX101"/>
    <mergeCell ref="BA101:BJ101"/>
    <mergeCell ref="AO102:AX102"/>
    <mergeCell ref="AO103:AX103"/>
    <mergeCell ref="AO104:AX104"/>
    <mergeCell ref="AZ104:BJ104"/>
    <mergeCell ref="AO105:AX105"/>
    <mergeCell ref="BA105:BJ105"/>
    <mergeCell ref="AO106:AX106"/>
    <mergeCell ref="AO107:AX107"/>
    <mergeCell ref="AO108:AX108"/>
    <mergeCell ref="BA108:BJ108"/>
    <mergeCell ref="AO109:AX109"/>
    <mergeCell ref="AO110:AX110"/>
    <mergeCell ref="AO111:AX111"/>
    <mergeCell ref="AO112:AX112"/>
    <mergeCell ref="AO113:AX113"/>
    <mergeCell ref="BA115:BJ115"/>
    <mergeCell ref="AO116:AX116"/>
    <mergeCell ref="BA116:BJ116"/>
    <mergeCell ref="AO117:AX117"/>
    <mergeCell ref="BA117:BJ117"/>
    <mergeCell ref="AO118:AX118"/>
    <mergeCell ref="AZ118:BJ118"/>
    <mergeCell ref="AO119:AX119"/>
    <mergeCell ref="BA119:BJ119"/>
    <mergeCell ref="AO120:AX120"/>
    <mergeCell ref="BA120:BJ120"/>
    <mergeCell ref="AO121:AX121"/>
    <mergeCell ref="BA121:BJ121"/>
    <mergeCell ref="AO122:AX122"/>
    <mergeCell ref="BA122:BJ122"/>
    <mergeCell ref="AO123:AX123"/>
    <mergeCell ref="BA123:BJ123"/>
    <mergeCell ref="AO124:AX124"/>
    <mergeCell ref="AN125:AX125"/>
    <mergeCell ref="AO126:AX126"/>
    <mergeCell ref="AO127:AX127"/>
    <mergeCell ref="AO128:AX128"/>
    <mergeCell ref="BA131:BJ131"/>
    <mergeCell ref="AZ132:BJ132"/>
    <mergeCell ref="AO133:AX133"/>
    <mergeCell ref="BA133:BJ133"/>
    <mergeCell ref="AO137:AX137"/>
    <mergeCell ref="AO138:AX138"/>
    <mergeCell ref="BA138:BJ138"/>
    <mergeCell ref="AO139:AX139"/>
    <mergeCell ref="BA139:BJ139"/>
    <mergeCell ref="AO140:AX140"/>
    <mergeCell ref="BA140:BJ140"/>
    <mergeCell ref="BA141:BJ141"/>
    <mergeCell ref="BA144:BJ144"/>
    <mergeCell ref="BA145:BJ145"/>
    <mergeCell ref="BA146:BJ146"/>
    <mergeCell ref="AO148:AX148"/>
    <mergeCell ref="AO149:AX149"/>
    <mergeCell ref="BA149:BJ149"/>
    <mergeCell ref="BA152:BJ152"/>
    <mergeCell ref="BA153:BJ153"/>
    <mergeCell ref="BA154:BJ154"/>
    <mergeCell ref="BA155:BJ155"/>
    <mergeCell ref="AO165:AX165"/>
    <mergeCell ref="AO166:AX166"/>
    <mergeCell ref="AO167:AX167"/>
    <mergeCell ref="AZ167:BJ167"/>
    <mergeCell ref="AO168:AX168"/>
    <mergeCell ref="BA168:BJ168"/>
    <mergeCell ref="AN169:AX169"/>
    <mergeCell ref="BA169:BJ169"/>
    <mergeCell ref="AO170:AX170"/>
    <mergeCell ref="BA170:BJ170"/>
    <mergeCell ref="AO171:AX171"/>
    <mergeCell ref="BA171:BJ171"/>
    <mergeCell ref="AN172:AX172"/>
    <mergeCell ref="AO173:AX173"/>
    <mergeCell ref="BA175:BJ175"/>
    <mergeCell ref="BA176:BJ176"/>
    <mergeCell ref="BA177:BJ177"/>
    <mergeCell ref="BA180:BJ180"/>
    <mergeCell ref="BA183:BJ183"/>
    <mergeCell ref="BA184:BJ184"/>
    <mergeCell ref="BA187:BJ187"/>
    <mergeCell ref="AZ192:BJ192"/>
    <mergeCell ref="BA195:BJ195"/>
    <mergeCell ref="BA196:BJ196"/>
    <mergeCell ref="BA200:BJ200"/>
    <mergeCell ref="BA201:BJ201"/>
    <mergeCell ref="BA202:BJ202"/>
    <mergeCell ref="BA203:BJ203"/>
    <mergeCell ref="BA204:BJ204"/>
    <mergeCell ref="BA205:BJ205"/>
    <mergeCell ref="BA206:BJ206"/>
    <mergeCell ref="BA211:BJ211"/>
    <mergeCell ref="AZ212:BJ212"/>
    <mergeCell ref="BA220:BJ220"/>
    <mergeCell ref="BA229:BJ229"/>
    <mergeCell ref="BA230:BJ230"/>
    <mergeCell ref="BA231:BJ231"/>
    <mergeCell ref="A2:A18"/>
    <mergeCell ref="A20:A25"/>
    <mergeCell ref="A26:A32"/>
    <mergeCell ref="M43:M45"/>
    <mergeCell ref="M48:M49"/>
    <mergeCell ref="M53:M54"/>
    <mergeCell ref="M57:M77"/>
    <mergeCell ref="M78:M79"/>
    <mergeCell ref="M80:M82"/>
    <mergeCell ref="M86:M90"/>
    <mergeCell ref="M92:M93"/>
    <mergeCell ref="AB4:AB6"/>
    <mergeCell ref="AB8:AB10"/>
    <mergeCell ref="AB11:AB12"/>
    <mergeCell ref="AB14:AB16"/>
    <mergeCell ref="AB19:AB26"/>
    <mergeCell ref="AB34:AB38"/>
    <mergeCell ref="AB39:AB43"/>
    <mergeCell ref="AB45:AB46"/>
    <mergeCell ref="AN4:AN6"/>
    <mergeCell ref="AN8:AN9"/>
    <mergeCell ref="AN11:AN16"/>
    <mergeCell ref="AN17:AN19"/>
    <mergeCell ref="AN24:AN28"/>
    <mergeCell ref="AN30:AN34"/>
    <mergeCell ref="AN38:AN49"/>
    <mergeCell ref="AN51:AN53"/>
    <mergeCell ref="AN56:AN74"/>
    <mergeCell ref="AN75:AN77"/>
    <mergeCell ref="AN80:AN82"/>
    <mergeCell ref="AN84:AN85"/>
    <mergeCell ref="AN87:AN104"/>
    <mergeCell ref="AN105:AN107"/>
    <mergeCell ref="AN108:AN109"/>
    <mergeCell ref="AN110:AN112"/>
    <mergeCell ref="AN113:AN116"/>
    <mergeCell ref="AN117:AN120"/>
    <mergeCell ref="AN121:AN124"/>
    <mergeCell ref="AN126:AN127"/>
    <mergeCell ref="AN129:AN136"/>
    <mergeCell ref="AN137:AN140"/>
    <mergeCell ref="AN141:AN149"/>
    <mergeCell ref="AN150:AN166"/>
    <mergeCell ref="AN167:AN168"/>
    <mergeCell ref="AZ4:AZ19"/>
    <mergeCell ref="AZ21:AZ25"/>
    <mergeCell ref="AZ27:AZ32"/>
    <mergeCell ref="AZ36:AZ37"/>
    <mergeCell ref="AZ39:AZ44"/>
    <mergeCell ref="AZ45:AZ56"/>
    <mergeCell ref="AZ57:AZ59"/>
    <mergeCell ref="AZ61:AZ65"/>
    <mergeCell ref="AZ67:AZ76"/>
    <mergeCell ref="AZ77:AZ82"/>
    <mergeCell ref="AZ83:AZ94"/>
    <mergeCell ref="AZ95:AZ96"/>
    <mergeCell ref="AZ98:AZ100"/>
    <mergeCell ref="AZ102:AZ103"/>
    <mergeCell ref="AZ105:AZ114"/>
    <mergeCell ref="AZ120:AZ123"/>
    <mergeCell ref="AZ124:AZ130"/>
    <mergeCell ref="AZ133:AZ148"/>
    <mergeCell ref="AZ149:AZ152"/>
    <mergeCell ref="AZ153:AZ154"/>
    <mergeCell ref="AZ156:AZ160"/>
    <mergeCell ref="AZ161:AZ166"/>
    <mergeCell ref="AZ169:AZ187"/>
    <mergeCell ref="AZ188:AZ189"/>
    <mergeCell ref="AZ190:AZ191"/>
    <mergeCell ref="AZ193:AZ201"/>
    <mergeCell ref="AZ202:AZ204"/>
    <mergeCell ref="AZ206:AZ211"/>
    <mergeCell ref="AZ213:AZ226"/>
    <mergeCell ref="AZ227:AZ228"/>
    <mergeCell ref="AZ230:AZ231"/>
    <mergeCell ref="BL4:BL14"/>
    <mergeCell ref="BL16:BL36"/>
    <mergeCell ref="BL37:BL41"/>
    <mergeCell ref="BL42:BL49"/>
    <mergeCell ref="BL50:BL60"/>
    <mergeCell ref="BL61:BL83"/>
    <mergeCell ref="AO129:AX132"/>
    <mergeCell ref="N58:W65"/>
    <mergeCell ref="B6:K9"/>
    <mergeCell ref="BA224:BJ226"/>
    <mergeCell ref="AO14:AX16"/>
    <mergeCell ref="M19:N20"/>
    <mergeCell ref="B2:K3"/>
    <mergeCell ref="AO87:AX91"/>
    <mergeCell ref="BA227:BJ228"/>
    <mergeCell ref="BA50:BJ54"/>
    <mergeCell ref="AN1:AX2"/>
    <mergeCell ref="AO145:AX147"/>
    <mergeCell ref="M11:N12"/>
    <mergeCell ref="O15:S16"/>
    <mergeCell ref="BA150:BJ151"/>
    <mergeCell ref="BA207:BJ210"/>
    <mergeCell ref="BA71:BJ76"/>
    <mergeCell ref="M25:W26"/>
    <mergeCell ref="BA42:BJ43"/>
    <mergeCell ref="M17:N18"/>
    <mergeCell ref="BA9:BJ10"/>
    <mergeCell ref="BA178:BJ179"/>
    <mergeCell ref="BA213:BJ214"/>
    <mergeCell ref="BA215:BJ217"/>
    <mergeCell ref="BA218:BJ219"/>
    <mergeCell ref="BA181:BJ182"/>
    <mergeCell ref="BA190:BJ191"/>
    <mergeCell ref="AO8:AX9"/>
    <mergeCell ref="BM24:BV26"/>
    <mergeCell ref="AZ1:BJ2"/>
    <mergeCell ref="BM38:BV41"/>
    <mergeCell ref="BA109:BJ110"/>
    <mergeCell ref="BA84:BJ86"/>
    <mergeCell ref="BA90:BJ94"/>
    <mergeCell ref="BA58:BJ59"/>
    <mergeCell ref="BA7:BJ8"/>
    <mergeCell ref="N53:W54"/>
    <mergeCell ref="B20:K21"/>
    <mergeCell ref="BM67:BV78"/>
    <mergeCell ref="BM79:BV83"/>
    <mergeCell ref="B11:K15"/>
    <mergeCell ref="O17:W18"/>
    <mergeCell ref="B29:K30"/>
    <mergeCell ref="AC22:AL23"/>
    <mergeCell ref="O19:S20"/>
    <mergeCell ref="M13:N14"/>
    <mergeCell ref="BA46:BJ48"/>
    <mergeCell ref="N80:W82"/>
    <mergeCell ref="N73:W75"/>
    <mergeCell ref="BA221:BJ223"/>
    <mergeCell ref="AO61:AX63"/>
    <mergeCell ref="M32:W33"/>
    <mergeCell ref="N66:W68"/>
    <mergeCell ref="N78:W79"/>
    <mergeCell ref="O13:W14"/>
    <mergeCell ref="AC24:AL26"/>
    <mergeCell ref="B23:K24"/>
    <mergeCell ref="BA4:BJ6"/>
    <mergeCell ref="BM4:BV14"/>
    <mergeCell ref="BM45:BV49"/>
    <mergeCell ref="BA111:BJ114"/>
    <mergeCell ref="N92:W93"/>
    <mergeCell ref="N70:W72"/>
    <mergeCell ref="N87:W88"/>
    <mergeCell ref="M34:W35"/>
    <mergeCell ref="M30:W31"/>
    <mergeCell ref="AC8:AL10"/>
    <mergeCell ref="B4:K5"/>
    <mergeCell ref="M36:W40"/>
    <mergeCell ref="B26:K28"/>
    <mergeCell ref="M23:W24"/>
    <mergeCell ref="T4:W8"/>
    <mergeCell ref="BA197:BJ199"/>
    <mergeCell ref="AO65:AX69"/>
    <mergeCell ref="T15:W16"/>
    <mergeCell ref="AO12:AX13"/>
    <mergeCell ref="AO5:AX6"/>
    <mergeCell ref="AO114:AX115"/>
    <mergeCell ref="BA124:BJ130"/>
    <mergeCell ref="X15:Z16"/>
    <mergeCell ref="AC4:AL5"/>
    <mergeCell ref="BL1:BV2"/>
    <mergeCell ref="AB1:AL2"/>
    <mergeCell ref="AO38:AX40"/>
    <mergeCell ref="BA88:BJ89"/>
    <mergeCell ref="BA147:BJ148"/>
    <mergeCell ref="AO150:AX159"/>
    <mergeCell ref="AO75:AX77"/>
    <mergeCell ref="AO43:AX48"/>
    <mergeCell ref="BM27:BV36"/>
    <mergeCell ref="M15:N16"/>
    <mergeCell ref="AO41:AX42"/>
    <mergeCell ref="AO25:AX26"/>
    <mergeCell ref="BA68:BJ69"/>
    <mergeCell ref="BA156:BJ160"/>
    <mergeCell ref="AC45:AL46"/>
    <mergeCell ref="BA102:BJ103"/>
    <mergeCell ref="BA134:BJ137"/>
    <mergeCell ref="BA78:BJ82"/>
    <mergeCell ref="AO160:AX164"/>
    <mergeCell ref="AO134:AX136"/>
    <mergeCell ref="BA193:BJ194"/>
    <mergeCell ref="BA161:BJ166"/>
    <mergeCell ref="BA172:BJ174"/>
    <mergeCell ref="BA106:BJ107"/>
    <mergeCell ref="BA142:BJ143"/>
    <mergeCell ref="BM62:BV63"/>
    <mergeCell ref="BM51:BV60"/>
    <mergeCell ref="BM16:BV21"/>
    <mergeCell ref="BM42:BV44"/>
    <mergeCell ref="AO84:AX85"/>
    <mergeCell ref="AO141:AX144"/>
    <mergeCell ref="BM64:BV66"/>
    <mergeCell ref="Y2:Z9"/>
    <mergeCell ref="BA28:BJ29"/>
    <mergeCell ref="N76:W77"/>
    <mergeCell ref="BA62:BJ64"/>
    <mergeCell ref="AC20:AL21"/>
    <mergeCell ref="AO17:AX19"/>
    <mergeCell ref="AO92:AX93"/>
    <mergeCell ref="BA17:BJ19"/>
    <mergeCell ref="BA11:BJ12"/>
    <mergeCell ref="B17:K18"/>
    <mergeCell ref="AO58:AX60"/>
    <mergeCell ref="N48:W49"/>
    <mergeCell ref="AO72:AX74"/>
    <mergeCell ref="AC40:AL43"/>
    <mergeCell ref="O11:W12"/>
    <mergeCell ref="M27:W29"/>
    <mergeCell ref="T19:W20"/>
    <mergeCell ref="BA188:BJ189"/>
    <mergeCell ref="BA185:BJ186"/>
  </mergeCells>
  <hyperlinks>
    <hyperlink ref="O13" r:id="rId1" display="http://www.goddessfantasy.net/bbs/index.php?topic=89719.0"/>
    <hyperlink ref="O17" r:id="rId2" display="http://www.goddessfantasy.net/bbs/index.php?topic=93999.0&amp;tdsourcetag=s_pcqq_aiomsg"/>
    <hyperlink ref="O15" r:id="rId3" display="https://share.weiyun.com/57lcF4S"/>
    <hyperlink ref="O19" r:id="rId4" display="https://share.weiyun.com/5whZ9aW"/>
  </hyperlinks>
  <pageMargins left="0.75" right="0.75" top="1" bottom="1" header="0.511805555555556" footer="0.511805555555556"/>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技能表以上" rangeCreator="" othersAccessPermission="edit"/>
    <arrUserId title="技能表往下" rangeCreator="" othersAccessPermission="edit"/>
    <arrUserId title="技能表以上_2" rangeCreator="" othersAccessPermission="edit"/>
    <arrUserId title="技能表往下_1" rangeCreator="" othersAccessPermission="edit"/>
    <arrUserId title="技能表往下_2" rangeCreator="" othersAccessPermission="edit"/>
    <arrUserId title="技能表以上_1" rangeCreator="" othersAccessPermission="edit"/>
    <arrUserId title="技能表以上_1_1" rangeCreator="" othersAccessPermission="edit"/>
    <arrUserId title="技能表以上_3" rangeCreator="" othersAccessPermission="edit"/>
    <arrUserId title="技能表以上_4" rangeCreator="" othersAccessPermission="edit"/>
  </rangeList>
  <rangeList sheetStid="2" master="">
    <arrUserId title="技能表以上" rangeCreator="" othersAccessPermission="edit"/>
    <arrUserId title="技能表以上_1" rangeCreator="" othersAccessPermission="edit"/>
  </rangeList>
  <rangeList sheetStid="5" master=""/>
  <rangeList sheetStid="3" master="">
    <arrUserId title="技能表以上_1" rangeCreator="" othersAccessPermission="edit"/>
  </rangeList>
  <rangeList sheetStid="4" master="">
    <arrUserId title="技能表以上" rangeCreator="" othersAccessPermission="edit"/>
  </rangeList>
  <rangeList sheetStid="6" master=""/>
  <rangeList sheetStid="7" master=""/>
  <rangeList sheetStid="8" master=""/>
  <rangeList sheetStid="9" master=""/>
  <rangeList sheetStid="10" master=""/>
  <rangeList sheetStid="11" master=""/>
  <rangeList sheetStid="12"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12</vt:i4>
      </vt:variant>
    </vt:vector>
  </HeadingPairs>
  <TitlesOfParts>
    <vt:vector size="12" baseType="lpstr">
      <vt:lpstr>人物卡</vt:lpstr>
      <vt:lpstr>简化卡</vt:lpstr>
      <vt:lpstr>职业列表</vt:lpstr>
      <vt:lpstr>技能注释</vt:lpstr>
      <vt:lpstr>附表</vt:lpstr>
      <vt:lpstr>本职技能</vt:lpstr>
      <vt:lpstr>属性注释</vt:lpstr>
      <vt:lpstr>资产及物价参考</vt:lpstr>
      <vt:lpstr>武器列表</vt:lpstr>
      <vt:lpstr>防具表 载具表</vt:lpstr>
      <vt:lpstr>疯狂表</vt:lpstr>
      <vt:lpstr>更新说明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文律师</cp:lastModifiedBy>
  <dcterms:created xsi:type="dcterms:W3CDTF">2018-09-17T13:00:00Z</dcterms:created>
  <dcterms:modified xsi:type="dcterms:W3CDTF">2026-01-17T19:44:56Z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1028-6.5.2.8766</vt:lpwstr>
  </property>
  <property fmtid="{D5CDD505-2E9C-101B-9397-08002B2CF9AE}" pid="3" name="ICV">
    <vt:lpwstr>ACC1FB4614234183BC2B6284FBD84BEC_13</vt:lpwstr>
  </property>
</Properties>
</file>