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Ashu\Desktop\My Dekstop\Dataset\Excel\"/>
    </mc:Choice>
  </mc:AlternateContent>
  <xr:revisionPtr revIDLastSave="0" documentId="13_ncr:1_{0653A25B-CF66-4F00-897F-6ABA3CAD67A7}" xr6:coauthVersionLast="47" xr6:coauthVersionMax="47" xr10:uidLastSave="{00000000-0000-0000-0000-000000000000}"/>
  <bookViews>
    <workbookView xWindow="-108" yWindow="-108" windowWidth="23256" windowHeight="12456" firstSheet="1" activeTab="5" xr2:uid="{00000000-000D-0000-FFFF-FFFF00000000}"/>
  </bookViews>
  <sheets>
    <sheet name="Data Set" sheetId="1" r:id="rId1"/>
    <sheet name="Filter data" sheetId="2" r:id="rId2"/>
    <sheet name="NSEBSE Code" sheetId="4" r:id="rId3"/>
    <sheet name="Good Stock" sheetId="3" r:id="rId4"/>
    <sheet name="Pivots" sheetId="6" r:id="rId5"/>
    <sheet name="Dashboard" sheetId="5" r:id="rId6"/>
  </sheets>
  <definedNames>
    <definedName name="Slicer_Industery">#N/A</definedName>
    <definedName name="Slicer_Stock">#N/A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60" i="3" l="1"/>
  <c r="O160" i="3"/>
  <c r="N160" i="3"/>
  <c r="M160" i="3"/>
  <c r="L160" i="3"/>
  <c r="K160" i="3"/>
  <c r="J160" i="3"/>
  <c r="I160" i="3"/>
  <c r="H160" i="3"/>
  <c r="G160" i="3"/>
  <c r="F160" i="3"/>
  <c r="E160" i="3"/>
  <c r="D160" i="3"/>
  <c r="C160" i="3"/>
  <c r="B160" i="3"/>
  <c r="A160" i="3"/>
  <c r="P159" i="3"/>
  <c r="O159" i="3"/>
  <c r="N159" i="3"/>
  <c r="M159" i="3"/>
  <c r="L159" i="3"/>
  <c r="K159" i="3"/>
  <c r="J159" i="3"/>
  <c r="I159" i="3"/>
  <c r="H159" i="3"/>
  <c r="G159" i="3"/>
  <c r="F159" i="3"/>
  <c r="E159" i="3"/>
  <c r="D159" i="3"/>
  <c r="C159" i="3"/>
  <c r="B159" i="3"/>
  <c r="A159" i="3"/>
  <c r="P158" i="3"/>
  <c r="O158" i="3"/>
  <c r="N158" i="3"/>
  <c r="M158" i="3"/>
  <c r="L158" i="3"/>
  <c r="J158" i="3"/>
  <c r="I158" i="3"/>
  <c r="H158" i="3"/>
  <c r="G158" i="3"/>
  <c r="F158" i="3"/>
  <c r="E158" i="3"/>
  <c r="D158" i="3"/>
  <c r="C158" i="3"/>
  <c r="B158" i="3"/>
  <c r="A158" i="3"/>
  <c r="P157" i="3"/>
  <c r="O157" i="3"/>
  <c r="N157" i="3"/>
  <c r="M157" i="3"/>
  <c r="L157" i="3"/>
  <c r="K157" i="3"/>
  <c r="J157" i="3"/>
  <c r="I157" i="3"/>
  <c r="H157" i="3"/>
  <c r="G157" i="3"/>
  <c r="F157" i="3"/>
  <c r="E157" i="3"/>
  <c r="D157" i="3"/>
  <c r="C157" i="3"/>
  <c r="B157" i="3"/>
  <c r="A157" i="3"/>
  <c r="P156" i="3"/>
  <c r="O156" i="3"/>
  <c r="N156" i="3"/>
  <c r="M156" i="3"/>
  <c r="L156" i="3"/>
  <c r="K156" i="3"/>
  <c r="J156" i="3"/>
  <c r="I156" i="3"/>
  <c r="H156" i="3"/>
  <c r="G156" i="3"/>
  <c r="F156" i="3"/>
  <c r="E156" i="3"/>
  <c r="D156" i="3"/>
  <c r="C156" i="3"/>
  <c r="B156" i="3"/>
  <c r="A156" i="3"/>
  <c r="P155" i="3"/>
  <c r="O155" i="3"/>
  <c r="N155" i="3"/>
  <c r="M155" i="3"/>
  <c r="L155" i="3"/>
  <c r="K155" i="3"/>
  <c r="J155" i="3"/>
  <c r="I155" i="3"/>
  <c r="H155" i="3"/>
  <c r="G155" i="3"/>
  <c r="F155" i="3"/>
  <c r="E155" i="3"/>
  <c r="D155" i="3"/>
  <c r="C155" i="3"/>
  <c r="B155" i="3"/>
  <c r="A155" i="3"/>
  <c r="P154" i="3"/>
  <c r="O154" i="3"/>
  <c r="N154" i="3"/>
  <c r="M154" i="3"/>
  <c r="L154" i="3"/>
  <c r="J154" i="3"/>
  <c r="I154" i="3"/>
  <c r="H154" i="3"/>
  <c r="G154" i="3"/>
  <c r="F154" i="3"/>
  <c r="E154" i="3"/>
  <c r="D154" i="3"/>
  <c r="C154" i="3"/>
  <c r="B154" i="3"/>
  <c r="A154" i="3"/>
  <c r="P153" i="3"/>
  <c r="O153" i="3"/>
  <c r="N153" i="3"/>
  <c r="M153" i="3"/>
  <c r="L153" i="3"/>
  <c r="K153" i="3"/>
  <c r="J153" i="3"/>
  <c r="I153" i="3"/>
  <c r="H153" i="3"/>
  <c r="G153" i="3"/>
  <c r="F153" i="3"/>
  <c r="E153" i="3"/>
  <c r="D153" i="3"/>
  <c r="C153" i="3"/>
  <c r="B153" i="3"/>
  <c r="A153" i="3"/>
  <c r="P152" i="3"/>
  <c r="O152" i="3"/>
  <c r="N152" i="3"/>
  <c r="M152" i="3"/>
  <c r="L152" i="3"/>
  <c r="J152" i="3"/>
  <c r="I152" i="3"/>
  <c r="H152" i="3"/>
  <c r="G152" i="3"/>
  <c r="F152" i="3"/>
  <c r="E152" i="3"/>
  <c r="D152" i="3"/>
  <c r="C152" i="3"/>
  <c r="B152" i="3"/>
  <c r="A152" i="3"/>
  <c r="P151" i="3"/>
  <c r="O151" i="3"/>
  <c r="N151" i="3"/>
  <c r="M151" i="3"/>
  <c r="L151" i="3"/>
  <c r="K151" i="3"/>
  <c r="J151" i="3"/>
  <c r="I151" i="3"/>
  <c r="H151" i="3"/>
  <c r="G151" i="3"/>
  <c r="F151" i="3"/>
  <c r="E151" i="3"/>
  <c r="D151" i="3"/>
  <c r="C151" i="3"/>
  <c r="B151" i="3"/>
  <c r="A151" i="3"/>
  <c r="P150" i="3"/>
  <c r="O150" i="3"/>
  <c r="N150" i="3"/>
  <c r="M150" i="3"/>
  <c r="L150" i="3"/>
  <c r="K150" i="3"/>
  <c r="J150" i="3"/>
  <c r="I150" i="3"/>
  <c r="H150" i="3"/>
  <c r="G150" i="3"/>
  <c r="F150" i="3"/>
  <c r="E150" i="3"/>
  <c r="D150" i="3"/>
  <c r="C150" i="3"/>
  <c r="B150" i="3"/>
  <c r="A150" i="3"/>
  <c r="P149" i="3"/>
  <c r="O149" i="3"/>
  <c r="N149" i="3"/>
  <c r="M149" i="3"/>
  <c r="L149" i="3"/>
  <c r="K149" i="3"/>
  <c r="J149" i="3"/>
  <c r="I149" i="3"/>
  <c r="H149" i="3"/>
  <c r="G149" i="3"/>
  <c r="F149" i="3"/>
  <c r="E149" i="3"/>
  <c r="D149" i="3"/>
  <c r="C149" i="3"/>
  <c r="B149" i="3"/>
  <c r="A149" i="3"/>
  <c r="P148" i="3"/>
  <c r="O148" i="3"/>
  <c r="N148" i="3"/>
  <c r="M148" i="3"/>
  <c r="L148" i="3"/>
  <c r="K148" i="3"/>
  <c r="J148" i="3"/>
  <c r="I148" i="3"/>
  <c r="H148" i="3"/>
  <c r="G148" i="3"/>
  <c r="F148" i="3"/>
  <c r="E148" i="3"/>
  <c r="D148" i="3"/>
  <c r="C148" i="3"/>
  <c r="B148" i="3"/>
  <c r="A148" i="3"/>
  <c r="P147" i="3"/>
  <c r="O147" i="3"/>
  <c r="N147" i="3"/>
  <c r="M147" i="3"/>
  <c r="L147" i="3"/>
  <c r="K147" i="3"/>
  <c r="J147" i="3"/>
  <c r="I147" i="3"/>
  <c r="H147" i="3"/>
  <c r="G147" i="3"/>
  <c r="F147" i="3"/>
  <c r="E147" i="3"/>
  <c r="D147" i="3"/>
  <c r="C147" i="3"/>
  <c r="B147" i="3"/>
  <c r="A147" i="3"/>
  <c r="P146" i="3"/>
  <c r="O146" i="3"/>
  <c r="N146" i="3"/>
  <c r="M146" i="3"/>
  <c r="L146" i="3"/>
  <c r="J146" i="3"/>
  <c r="I146" i="3"/>
  <c r="H146" i="3"/>
  <c r="G146" i="3"/>
  <c r="F146" i="3"/>
  <c r="E146" i="3"/>
  <c r="D146" i="3"/>
  <c r="C146" i="3"/>
  <c r="B146" i="3"/>
  <c r="A146" i="3"/>
  <c r="P145" i="3"/>
  <c r="O145" i="3"/>
  <c r="N145" i="3"/>
  <c r="M145" i="3"/>
  <c r="L145" i="3"/>
  <c r="K145" i="3"/>
  <c r="J145" i="3"/>
  <c r="I145" i="3"/>
  <c r="H145" i="3"/>
  <c r="G145" i="3"/>
  <c r="F145" i="3"/>
  <c r="E145" i="3"/>
  <c r="D145" i="3"/>
  <c r="C145" i="3"/>
  <c r="B145" i="3"/>
  <c r="A145" i="3"/>
  <c r="P144" i="3"/>
  <c r="O144" i="3"/>
  <c r="N144" i="3"/>
  <c r="M144" i="3"/>
  <c r="L144" i="3"/>
  <c r="K144" i="3"/>
  <c r="J144" i="3"/>
  <c r="I144" i="3"/>
  <c r="H144" i="3"/>
  <c r="G144" i="3"/>
  <c r="F144" i="3"/>
  <c r="E144" i="3"/>
  <c r="D144" i="3"/>
  <c r="C144" i="3"/>
  <c r="B144" i="3"/>
  <c r="A144" i="3"/>
  <c r="P143" i="3"/>
  <c r="O143" i="3"/>
  <c r="N143" i="3"/>
  <c r="M143" i="3"/>
  <c r="L143" i="3"/>
  <c r="K143" i="3"/>
  <c r="J143" i="3"/>
  <c r="I143" i="3"/>
  <c r="H143" i="3"/>
  <c r="G143" i="3"/>
  <c r="F143" i="3"/>
  <c r="E143" i="3"/>
  <c r="D143" i="3"/>
  <c r="C143" i="3"/>
  <c r="B143" i="3"/>
  <c r="A143" i="3"/>
  <c r="P142" i="3"/>
  <c r="O142" i="3"/>
  <c r="N142" i="3"/>
  <c r="M142" i="3"/>
  <c r="L142" i="3"/>
  <c r="K142" i="3"/>
  <c r="J142" i="3"/>
  <c r="I142" i="3"/>
  <c r="H142" i="3"/>
  <c r="G142" i="3"/>
  <c r="F142" i="3"/>
  <c r="E142" i="3"/>
  <c r="D142" i="3"/>
  <c r="C142" i="3"/>
  <c r="B142" i="3"/>
  <c r="A142" i="3"/>
  <c r="P141" i="3"/>
  <c r="O141" i="3"/>
  <c r="N141" i="3"/>
  <c r="M141" i="3"/>
  <c r="L141" i="3"/>
  <c r="K141" i="3"/>
  <c r="J141" i="3"/>
  <c r="I141" i="3"/>
  <c r="H141" i="3"/>
  <c r="G141" i="3"/>
  <c r="F141" i="3"/>
  <c r="E141" i="3"/>
  <c r="D141" i="3"/>
  <c r="C141" i="3"/>
  <c r="B141" i="3"/>
  <c r="A141" i="3"/>
  <c r="P140" i="3"/>
  <c r="O140" i="3"/>
  <c r="N140" i="3"/>
  <c r="M140" i="3"/>
  <c r="L140" i="3"/>
  <c r="K140" i="3"/>
  <c r="J140" i="3"/>
  <c r="I140" i="3"/>
  <c r="H140" i="3"/>
  <c r="G140" i="3"/>
  <c r="F140" i="3"/>
  <c r="E140" i="3"/>
  <c r="D140" i="3"/>
  <c r="C140" i="3"/>
  <c r="B140" i="3"/>
  <c r="A140" i="3"/>
  <c r="P139" i="3"/>
  <c r="O139" i="3"/>
  <c r="N139" i="3"/>
  <c r="M139" i="3"/>
  <c r="L139" i="3"/>
  <c r="K139" i="3"/>
  <c r="J139" i="3"/>
  <c r="I139" i="3"/>
  <c r="H139" i="3"/>
  <c r="G139" i="3"/>
  <c r="F139" i="3"/>
  <c r="E139" i="3"/>
  <c r="D139" i="3"/>
  <c r="C139" i="3"/>
  <c r="B139" i="3"/>
  <c r="A139" i="3"/>
  <c r="P138" i="3"/>
  <c r="O138" i="3"/>
  <c r="N138" i="3"/>
  <c r="M138" i="3"/>
  <c r="L138" i="3"/>
  <c r="K138" i="3"/>
  <c r="J138" i="3"/>
  <c r="I138" i="3"/>
  <c r="H138" i="3"/>
  <c r="G138" i="3"/>
  <c r="F138" i="3"/>
  <c r="E138" i="3"/>
  <c r="D138" i="3"/>
  <c r="C138" i="3"/>
  <c r="B138" i="3"/>
  <c r="A138" i="3"/>
  <c r="P137" i="3"/>
  <c r="O137" i="3"/>
  <c r="N137" i="3"/>
  <c r="M137" i="3"/>
  <c r="L137" i="3"/>
  <c r="K137" i="3"/>
  <c r="J137" i="3"/>
  <c r="I137" i="3"/>
  <c r="H137" i="3"/>
  <c r="G137" i="3"/>
  <c r="F137" i="3"/>
  <c r="E137" i="3"/>
  <c r="D137" i="3"/>
  <c r="C137" i="3"/>
  <c r="B137" i="3"/>
  <c r="A137" i="3"/>
  <c r="P136" i="3"/>
  <c r="O136" i="3"/>
  <c r="N136" i="3"/>
  <c r="M136" i="3"/>
  <c r="L136" i="3"/>
  <c r="K136" i="3"/>
  <c r="J136" i="3"/>
  <c r="I136" i="3"/>
  <c r="H136" i="3"/>
  <c r="G136" i="3"/>
  <c r="F136" i="3"/>
  <c r="E136" i="3"/>
  <c r="D136" i="3"/>
  <c r="C136" i="3"/>
  <c r="B136" i="3"/>
  <c r="A136" i="3"/>
  <c r="P135" i="3"/>
  <c r="O135" i="3"/>
  <c r="N135" i="3"/>
  <c r="M135" i="3"/>
  <c r="L135" i="3"/>
  <c r="K135" i="3"/>
  <c r="J135" i="3"/>
  <c r="I135" i="3"/>
  <c r="H135" i="3"/>
  <c r="G135" i="3"/>
  <c r="F135" i="3"/>
  <c r="E135" i="3"/>
  <c r="D135" i="3"/>
  <c r="C135" i="3"/>
  <c r="B135" i="3"/>
  <c r="A135" i="3"/>
  <c r="P134" i="3"/>
  <c r="O134" i="3"/>
  <c r="N134" i="3"/>
  <c r="M134" i="3"/>
  <c r="L134" i="3"/>
  <c r="K134" i="3"/>
  <c r="J134" i="3"/>
  <c r="I134" i="3"/>
  <c r="H134" i="3"/>
  <c r="G134" i="3"/>
  <c r="F134" i="3"/>
  <c r="E134" i="3"/>
  <c r="D134" i="3"/>
  <c r="C134" i="3"/>
  <c r="B134" i="3"/>
  <c r="A134" i="3"/>
  <c r="P133" i="3"/>
  <c r="O133" i="3"/>
  <c r="N133" i="3"/>
  <c r="M133" i="3"/>
  <c r="L133" i="3"/>
  <c r="K133" i="3"/>
  <c r="J133" i="3"/>
  <c r="I133" i="3"/>
  <c r="H133" i="3"/>
  <c r="G133" i="3"/>
  <c r="F133" i="3"/>
  <c r="E133" i="3"/>
  <c r="D133" i="3"/>
  <c r="C133" i="3"/>
  <c r="B133" i="3"/>
  <c r="A133" i="3"/>
  <c r="P132" i="3"/>
  <c r="O132" i="3"/>
  <c r="N132" i="3"/>
  <c r="M132" i="3"/>
  <c r="L132" i="3"/>
  <c r="J132" i="3"/>
  <c r="I132" i="3"/>
  <c r="H132" i="3"/>
  <c r="G132" i="3"/>
  <c r="F132" i="3"/>
  <c r="E132" i="3"/>
  <c r="D132" i="3"/>
  <c r="C132" i="3"/>
  <c r="B132" i="3"/>
  <c r="A132" i="3"/>
  <c r="P131" i="3"/>
  <c r="O131" i="3"/>
  <c r="N131" i="3"/>
  <c r="M131" i="3"/>
  <c r="L131" i="3"/>
  <c r="K131" i="3"/>
  <c r="J131" i="3"/>
  <c r="I131" i="3"/>
  <c r="H131" i="3"/>
  <c r="G131" i="3"/>
  <c r="F131" i="3"/>
  <c r="E131" i="3"/>
  <c r="D131" i="3"/>
  <c r="C131" i="3"/>
  <c r="B131" i="3"/>
  <c r="A131" i="3"/>
  <c r="P130" i="3"/>
  <c r="O130" i="3"/>
  <c r="N130" i="3"/>
  <c r="M130" i="3"/>
  <c r="L130" i="3"/>
  <c r="K130" i="3"/>
  <c r="J130" i="3"/>
  <c r="I130" i="3"/>
  <c r="H130" i="3"/>
  <c r="G130" i="3"/>
  <c r="F130" i="3"/>
  <c r="E130" i="3"/>
  <c r="D130" i="3"/>
  <c r="C130" i="3"/>
  <c r="B130" i="3"/>
  <c r="A130" i="3"/>
  <c r="P129" i="3"/>
  <c r="O129" i="3"/>
  <c r="N129" i="3"/>
  <c r="M129" i="3"/>
  <c r="L129" i="3"/>
  <c r="K129" i="3"/>
  <c r="J129" i="3"/>
  <c r="I129" i="3"/>
  <c r="H129" i="3"/>
  <c r="G129" i="3"/>
  <c r="F129" i="3"/>
  <c r="E129" i="3"/>
  <c r="D129" i="3"/>
  <c r="C129" i="3"/>
  <c r="B129" i="3"/>
  <c r="A129" i="3"/>
  <c r="P128" i="3"/>
  <c r="O128" i="3"/>
  <c r="N128" i="3"/>
  <c r="M128" i="3"/>
  <c r="L128" i="3"/>
  <c r="K128" i="3"/>
  <c r="J128" i="3"/>
  <c r="I128" i="3"/>
  <c r="H128" i="3"/>
  <c r="G128" i="3"/>
  <c r="F128" i="3"/>
  <c r="E128" i="3"/>
  <c r="D128" i="3"/>
  <c r="C128" i="3"/>
  <c r="B128" i="3"/>
  <c r="A128" i="3"/>
  <c r="P127" i="3"/>
  <c r="O127" i="3"/>
  <c r="N127" i="3"/>
  <c r="M127" i="3"/>
  <c r="L127" i="3"/>
  <c r="K127" i="3"/>
  <c r="J127" i="3"/>
  <c r="I127" i="3"/>
  <c r="H127" i="3"/>
  <c r="G127" i="3"/>
  <c r="F127" i="3"/>
  <c r="E127" i="3"/>
  <c r="D127" i="3"/>
  <c r="C127" i="3"/>
  <c r="B127" i="3"/>
  <c r="A127" i="3"/>
  <c r="P126" i="3"/>
  <c r="O126" i="3"/>
  <c r="N126" i="3"/>
  <c r="M126" i="3"/>
  <c r="L126" i="3"/>
  <c r="K126" i="3"/>
  <c r="J126" i="3"/>
  <c r="I126" i="3"/>
  <c r="H126" i="3"/>
  <c r="G126" i="3"/>
  <c r="F126" i="3"/>
  <c r="E126" i="3"/>
  <c r="D126" i="3"/>
  <c r="C126" i="3"/>
  <c r="B126" i="3"/>
  <c r="A126" i="3"/>
  <c r="P125" i="3"/>
  <c r="O125" i="3"/>
  <c r="N125" i="3"/>
  <c r="M125" i="3"/>
  <c r="L125" i="3"/>
  <c r="K125" i="3"/>
  <c r="J125" i="3"/>
  <c r="I125" i="3"/>
  <c r="H125" i="3"/>
  <c r="G125" i="3"/>
  <c r="F125" i="3"/>
  <c r="E125" i="3"/>
  <c r="D125" i="3"/>
  <c r="C125" i="3"/>
  <c r="B125" i="3"/>
  <c r="A125" i="3"/>
  <c r="P124" i="3"/>
  <c r="O124" i="3"/>
  <c r="N124" i="3"/>
  <c r="M124" i="3"/>
  <c r="L124" i="3"/>
  <c r="K124" i="3"/>
  <c r="J124" i="3"/>
  <c r="I124" i="3"/>
  <c r="H124" i="3"/>
  <c r="G124" i="3"/>
  <c r="F124" i="3"/>
  <c r="E124" i="3"/>
  <c r="D124" i="3"/>
  <c r="C124" i="3"/>
  <c r="B124" i="3"/>
  <c r="A124" i="3"/>
  <c r="P123" i="3"/>
  <c r="O123" i="3"/>
  <c r="N123" i="3"/>
  <c r="M123" i="3"/>
  <c r="L123" i="3"/>
  <c r="K123" i="3"/>
  <c r="J123" i="3"/>
  <c r="I123" i="3"/>
  <c r="H123" i="3"/>
  <c r="G123" i="3"/>
  <c r="F123" i="3"/>
  <c r="E123" i="3"/>
  <c r="D123" i="3"/>
  <c r="C123" i="3"/>
  <c r="B123" i="3"/>
  <c r="A123" i="3"/>
  <c r="P122" i="3"/>
  <c r="O122" i="3"/>
  <c r="N122" i="3"/>
  <c r="M122" i="3"/>
  <c r="L122" i="3"/>
  <c r="K122" i="3"/>
  <c r="J122" i="3"/>
  <c r="I122" i="3"/>
  <c r="H122" i="3"/>
  <c r="G122" i="3"/>
  <c r="F122" i="3"/>
  <c r="E122" i="3"/>
  <c r="D122" i="3"/>
  <c r="C122" i="3"/>
  <c r="B122" i="3"/>
  <c r="A122" i="3"/>
  <c r="P121" i="3"/>
  <c r="O121" i="3"/>
  <c r="N121" i="3"/>
  <c r="M121" i="3"/>
  <c r="L121" i="3"/>
  <c r="K121" i="3"/>
  <c r="J121" i="3"/>
  <c r="I121" i="3"/>
  <c r="H121" i="3"/>
  <c r="G121" i="3"/>
  <c r="F121" i="3"/>
  <c r="E121" i="3"/>
  <c r="D121" i="3"/>
  <c r="C121" i="3"/>
  <c r="B121" i="3"/>
  <c r="A121" i="3"/>
  <c r="P120" i="3"/>
  <c r="O120" i="3"/>
  <c r="N120" i="3"/>
  <c r="M120" i="3"/>
  <c r="L120" i="3"/>
  <c r="K120" i="3"/>
  <c r="J120" i="3"/>
  <c r="I120" i="3"/>
  <c r="H120" i="3"/>
  <c r="G120" i="3"/>
  <c r="F120" i="3"/>
  <c r="E120" i="3"/>
  <c r="D120" i="3"/>
  <c r="C120" i="3"/>
  <c r="B120" i="3"/>
  <c r="A120" i="3"/>
  <c r="P119" i="3"/>
  <c r="O119" i="3"/>
  <c r="N119" i="3"/>
  <c r="M119" i="3"/>
  <c r="L119" i="3"/>
  <c r="K119" i="3"/>
  <c r="J119" i="3"/>
  <c r="I119" i="3"/>
  <c r="H119" i="3"/>
  <c r="G119" i="3"/>
  <c r="F119" i="3"/>
  <c r="E119" i="3"/>
  <c r="D119" i="3"/>
  <c r="C119" i="3"/>
  <c r="B119" i="3"/>
  <c r="A119" i="3"/>
  <c r="P118" i="3"/>
  <c r="O118" i="3"/>
  <c r="N118" i="3"/>
  <c r="M118" i="3"/>
  <c r="L118" i="3"/>
  <c r="K118" i="3"/>
  <c r="J118" i="3"/>
  <c r="I118" i="3"/>
  <c r="H118" i="3"/>
  <c r="G118" i="3"/>
  <c r="F118" i="3"/>
  <c r="E118" i="3"/>
  <c r="D118" i="3"/>
  <c r="C118" i="3"/>
  <c r="B118" i="3"/>
  <c r="A118" i="3"/>
  <c r="P117" i="3"/>
  <c r="O117" i="3"/>
  <c r="N117" i="3"/>
  <c r="M117" i="3"/>
  <c r="L117" i="3"/>
  <c r="K117" i="3"/>
  <c r="J117" i="3"/>
  <c r="I117" i="3"/>
  <c r="H117" i="3"/>
  <c r="G117" i="3"/>
  <c r="F117" i="3"/>
  <c r="E117" i="3"/>
  <c r="D117" i="3"/>
  <c r="C117" i="3"/>
  <c r="B117" i="3"/>
  <c r="A117" i="3"/>
  <c r="P116" i="3"/>
  <c r="O116" i="3"/>
  <c r="N116" i="3"/>
  <c r="M116" i="3"/>
  <c r="L116" i="3"/>
  <c r="K116" i="3"/>
  <c r="J116" i="3"/>
  <c r="I116" i="3"/>
  <c r="H116" i="3"/>
  <c r="G116" i="3"/>
  <c r="F116" i="3"/>
  <c r="E116" i="3"/>
  <c r="D116" i="3"/>
  <c r="C116" i="3"/>
  <c r="B116" i="3"/>
  <c r="A116" i="3"/>
  <c r="P115" i="3"/>
  <c r="O115" i="3"/>
  <c r="N115" i="3"/>
  <c r="M115" i="3"/>
  <c r="L115" i="3"/>
  <c r="K115" i="3"/>
  <c r="J115" i="3"/>
  <c r="I115" i="3"/>
  <c r="H115" i="3"/>
  <c r="G115" i="3"/>
  <c r="F115" i="3"/>
  <c r="E115" i="3"/>
  <c r="D115" i="3"/>
  <c r="C115" i="3"/>
  <c r="B115" i="3"/>
  <c r="A115" i="3"/>
  <c r="P114" i="3"/>
  <c r="O114" i="3"/>
  <c r="N114" i="3"/>
  <c r="M114" i="3"/>
  <c r="L114" i="3"/>
  <c r="K114" i="3"/>
  <c r="J114" i="3"/>
  <c r="I114" i="3"/>
  <c r="H114" i="3"/>
  <c r="G114" i="3"/>
  <c r="F114" i="3"/>
  <c r="E114" i="3"/>
  <c r="D114" i="3"/>
  <c r="C114" i="3"/>
  <c r="B114" i="3"/>
  <c r="A114" i="3"/>
  <c r="P113" i="3"/>
  <c r="O113" i="3"/>
  <c r="N113" i="3"/>
  <c r="M113" i="3"/>
  <c r="L113" i="3"/>
  <c r="K113" i="3"/>
  <c r="J113" i="3"/>
  <c r="I113" i="3"/>
  <c r="H113" i="3"/>
  <c r="G113" i="3"/>
  <c r="F113" i="3"/>
  <c r="E113" i="3"/>
  <c r="D113" i="3"/>
  <c r="C113" i="3"/>
  <c r="B113" i="3"/>
  <c r="A113" i="3"/>
  <c r="P112" i="3"/>
  <c r="O112" i="3"/>
  <c r="N112" i="3"/>
  <c r="M112" i="3"/>
  <c r="L112" i="3"/>
  <c r="K112" i="3"/>
  <c r="J112" i="3"/>
  <c r="I112" i="3"/>
  <c r="H112" i="3"/>
  <c r="G112" i="3"/>
  <c r="F112" i="3"/>
  <c r="E112" i="3"/>
  <c r="D112" i="3"/>
  <c r="C112" i="3"/>
  <c r="B112" i="3"/>
  <c r="A112" i="3"/>
  <c r="P111" i="3"/>
  <c r="O111" i="3"/>
  <c r="N111" i="3"/>
  <c r="M111" i="3"/>
  <c r="L111" i="3"/>
  <c r="K111" i="3"/>
  <c r="J111" i="3"/>
  <c r="I111" i="3"/>
  <c r="H111" i="3"/>
  <c r="G111" i="3"/>
  <c r="F111" i="3"/>
  <c r="E111" i="3"/>
  <c r="D111" i="3"/>
  <c r="C111" i="3"/>
  <c r="B111" i="3"/>
  <c r="A111" i="3"/>
  <c r="P110" i="3"/>
  <c r="O110" i="3"/>
  <c r="N110" i="3"/>
  <c r="M110" i="3"/>
  <c r="L110" i="3"/>
  <c r="K110" i="3"/>
  <c r="J110" i="3"/>
  <c r="I110" i="3"/>
  <c r="H110" i="3"/>
  <c r="G110" i="3"/>
  <c r="F110" i="3"/>
  <c r="E110" i="3"/>
  <c r="D110" i="3"/>
  <c r="C110" i="3"/>
  <c r="B110" i="3"/>
  <c r="A110" i="3"/>
  <c r="P109" i="3"/>
  <c r="O109" i="3"/>
  <c r="N109" i="3"/>
  <c r="M109" i="3"/>
  <c r="L109" i="3"/>
  <c r="K109" i="3"/>
  <c r="J109" i="3"/>
  <c r="I109" i="3"/>
  <c r="H109" i="3"/>
  <c r="G109" i="3"/>
  <c r="F109" i="3"/>
  <c r="E109" i="3"/>
  <c r="D109" i="3"/>
  <c r="C109" i="3"/>
  <c r="B109" i="3"/>
  <c r="A109" i="3"/>
  <c r="P108" i="3"/>
  <c r="O108" i="3"/>
  <c r="N108" i="3"/>
  <c r="M108" i="3"/>
  <c r="L108" i="3"/>
  <c r="K108" i="3"/>
  <c r="J108" i="3"/>
  <c r="I108" i="3"/>
  <c r="H108" i="3"/>
  <c r="G108" i="3"/>
  <c r="F108" i="3"/>
  <c r="E108" i="3"/>
  <c r="D108" i="3"/>
  <c r="C108" i="3"/>
  <c r="B108" i="3"/>
  <c r="A108" i="3"/>
  <c r="P107" i="3"/>
  <c r="O107" i="3"/>
  <c r="N107" i="3"/>
  <c r="M107" i="3"/>
  <c r="L107" i="3"/>
  <c r="K107" i="3"/>
  <c r="J107" i="3"/>
  <c r="I107" i="3"/>
  <c r="H107" i="3"/>
  <c r="G107" i="3"/>
  <c r="F107" i="3"/>
  <c r="E107" i="3"/>
  <c r="D107" i="3"/>
  <c r="C107" i="3"/>
  <c r="B107" i="3"/>
  <c r="A107" i="3"/>
  <c r="P106" i="3"/>
  <c r="O106" i="3"/>
  <c r="N106" i="3"/>
  <c r="M106" i="3"/>
  <c r="L106" i="3"/>
  <c r="K106" i="3"/>
  <c r="J106" i="3"/>
  <c r="I106" i="3"/>
  <c r="H106" i="3"/>
  <c r="G106" i="3"/>
  <c r="F106" i="3"/>
  <c r="E106" i="3"/>
  <c r="D106" i="3"/>
  <c r="C106" i="3"/>
  <c r="B106" i="3"/>
  <c r="A106" i="3"/>
  <c r="P105" i="3"/>
  <c r="O105" i="3"/>
  <c r="N105" i="3"/>
  <c r="M105" i="3"/>
  <c r="L105" i="3"/>
  <c r="K105" i="3"/>
  <c r="J105" i="3"/>
  <c r="I105" i="3"/>
  <c r="H105" i="3"/>
  <c r="G105" i="3"/>
  <c r="F105" i="3"/>
  <c r="E105" i="3"/>
  <c r="D105" i="3"/>
  <c r="C105" i="3"/>
  <c r="B105" i="3"/>
  <c r="A105" i="3"/>
  <c r="P104" i="3"/>
  <c r="O104" i="3"/>
  <c r="N104" i="3"/>
  <c r="M104" i="3"/>
  <c r="L104" i="3"/>
  <c r="K104" i="3"/>
  <c r="J104" i="3"/>
  <c r="I104" i="3"/>
  <c r="H104" i="3"/>
  <c r="G104" i="3"/>
  <c r="F104" i="3"/>
  <c r="E104" i="3"/>
  <c r="D104" i="3"/>
  <c r="C104" i="3"/>
  <c r="B104" i="3"/>
  <c r="A104" i="3"/>
  <c r="P103" i="3"/>
  <c r="O103" i="3"/>
  <c r="N103" i="3"/>
  <c r="M103" i="3"/>
  <c r="L103" i="3"/>
  <c r="K103" i="3"/>
  <c r="J103" i="3"/>
  <c r="I103" i="3"/>
  <c r="H103" i="3"/>
  <c r="G103" i="3"/>
  <c r="F103" i="3"/>
  <c r="E103" i="3"/>
  <c r="D103" i="3"/>
  <c r="C103" i="3"/>
  <c r="B103" i="3"/>
  <c r="A103" i="3"/>
  <c r="P102" i="3"/>
  <c r="O102" i="3"/>
  <c r="N102" i="3"/>
  <c r="M102" i="3"/>
  <c r="L102" i="3"/>
  <c r="K102" i="3"/>
  <c r="J102" i="3"/>
  <c r="I102" i="3"/>
  <c r="H102" i="3"/>
  <c r="G102" i="3"/>
  <c r="F102" i="3"/>
  <c r="E102" i="3"/>
  <c r="D102" i="3"/>
  <c r="C102" i="3"/>
  <c r="B102" i="3"/>
  <c r="A102" i="3"/>
  <c r="P101" i="3"/>
  <c r="O101" i="3"/>
  <c r="N101" i="3"/>
  <c r="M101" i="3"/>
  <c r="L101" i="3"/>
  <c r="K101" i="3"/>
  <c r="J101" i="3"/>
  <c r="I101" i="3"/>
  <c r="H101" i="3"/>
  <c r="G101" i="3"/>
  <c r="F101" i="3"/>
  <c r="E101" i="3"/>
  <c r="D101" i="3"/>
  <c r="C101" i="3"/>
  <c r="B101" i="3"/>
  <c r="A101" i="3"/>
  <c r="P100" i="3"/>
  <c r="O100" i="3"/>
  <c r="N100" i="3"/>
  <c r="M100" i="3"/>
  <c r="L100" i="3"/>
  <c r="K100" i="3"/>
  <c r="J100" i="3"/>
  <c r="I100" i="3"/>
  <c r="H100" i="3"/>
  <c r="G100" i="3"/>
  <c r="F100" i="3"/>
  <c r="E100" i="3"/>
  <c r="D100" i="3"/>
  <c r="C100" i="3"/>
  <c r="B100" i="3"/>
  <c r="A100" i="3"/>
  <c r="P99" i="3"/>
  <c r="O99" i="3"/>
  <c r="N99" i="3"/>
  <c r="M99" i="3"/>
  <c r="L99" i="3"/>
  <c r="K99" i="3"/>
  <c r="J99" i="3"/>
  <c r="I99" i="3"/>
  <c r="H99" i="3"/>
  <c r="G99" i="3"/>
  <c r="F99" i="3"/>
  <c r="E99" i="3"/>
  <c r="D99" i="3"/>
  <c r="C99" i="3"/>
  <c r="B99" i="3"/>
  <c r="A99" i="3"/>
  <c r="P98" i="3"/>
  <c r="O98" i="3"/>
  <c r="N98" i="3"/>
  <c r="M98" i="3"/>
  <c r="L98" i="3"/>
  <c r="K98" i="3"/>
  <c r="J98" i="3"/>
  <c r="I98" i="3"/>
  <c r="H98" i="3"/>
  <c r="G98" i="3"/>
  <c r="F98" i="3"/>
  <c r="E98" i="3"/>
  <c r="D98" i="3"/>
  <c r="C98" i="3"/>
  <c r="B98" i="3"/>
  <c r="A98" i="3"/>
  <c r="P97" i="3"/>
  <c r="O97" i="3"/>
  <c r="N97" i="3"/>
  <c r="M97" i="3"/>
  <c r="L97" i="3"/>
  <c r="K97" i="3"/>
  <c r="J97" i="3"/>
  <c r="I97" i="3"/>
  <c r="H97" i="3"/>
  <c r="G97" i="3"/>
  <c r="F97" i="3"/>
  <c r="E97" i="3"/>
  <c r="D97" i="3"/>
  <c r="C97" i="3"/>
  <c r="B97" i="3"/>
  <c r="A97" i="3"/>
  <c r="P96" i="3"/>
  <c r="O96" i="3"/>
  <c r="N96" i="3"/>
  <c r="M96" i="3"/>
  <c r="L96" i="3"/>
  <c r="K96" i="3"/>
  <c r="J96" i="3"/>
  <c r="I96" i="3"/>
  <c r="H96" i="3"/>
  <c r="G96" i="3"/>
  <c r="F96" i="3"/>
  <c r="E96" i="3"/>
  <c r="D96" i="3"/>
  <c r="C96" i="3"/>
  <c r="B96" i="3"/>
  <c r="A96" i="3"/>
  <c r="P95" i="3"/>
  <c r="O95" i="3"/>
  <c r="N95" i="3"/>
  <c r="M95" i="3"/>
  <c r="L95" i="3"/>
  <c r="K95" i="3"/>
  <c r="J95" i="3"/>
  <c r="I95" i="3"/>
  <c r="H95" i="3"/>
  <c r="G95" i="3"/>
  <c r="F95" i="3"/>
  <c r="E95" i="3"/>
  <c r="D95" i="3"/>
  <c r="C95" i="3"/>
  <c r="B95" i="3"/>
  <c r="A95" i="3"/>
  <c r="P94" i="3"/>
  <c r="O94" i="3"/>
  <c r="N94" i="3"/>
  <c r="M94" i="3"/>
  <c r="L94" i="3"/>
  <c r="K94" i="3"/>
  <c r="J94" i="3"/>
  <c r="I94" i="3"/>
  <c r="H94" i="3"/>
  <c r="G94" i="3"/>
  <c r="F94" i="3"/>
  <c r="E94" i="3"/>
  <c r="D94" i="3"/>
  <c r="C94" i="3"/>
  <c r="B94" i="3"/>
  <c r="A94" i="3"/>
  <c r="P93" i="3"/>
  <c r="O93" i="3"/>
  <c r="N93" i="3"/>
  <c r="M93" i="3"/>
  <c r="L93" i="3"/>
  <c r="K93" i="3"/>
  <c r="J93" i="3"/>
  <c r="I93" i="3"/>
  <c r="H93" i="3"/>
  <c r="G93" i="3"/>
  <c r="F93" i="3"/>
  <c r="E93" i="3"/>
  <c r="D93" i="3"/>
  <c r="C93" i="3"/>
  <c r="B93" i="3"/>
  <c r="A93" i="3"/>
  <c r="P92" i="3"/>
  <c r="O92" i="3"/>
  <c r="N92" i="3"/>
  <c r="M92" i="3"/>
  <c r="L92" i="3"/>
  <c r="K92" i="3"/>
  <c r="J92" i="3"/>
  <c r="I92" i="3"/>
  <c r="H92" i="3"/>
  <c r="G92" i="3"/>
  <c r="F92" i="3"/>
  <c r="E92" i="3"/>
  <c r="D92" i="3"/>
  <c r="C92" i="3"/>
  <c r="B92" i="3"/>
  <c r="A92" i="3"/>
  <c r="P91" i="3"/>
  <c r="O91" i="3"/>
  <c r="N91" i="3"/>
  <c r="M91" i="3"/>
  <c r="L91" i="3"/>
  <c r="K91" i="3"/>
  <c r="J91" i="3"/>
  <c r="I91" i="3"/>
  <c r="H91" i="3"/>
  <c r="G91" i="3"/>
  <c r="F91" i="3"/>
  <c r="E91" i="3"/>
  <c r="D91" i="3"/>
  <c r="C91" i="3"/>
  <c r="B91" i="3"/>
  <c r="A91" i="3"/>
  <c r="P90" i="3"/>
  <c r="O90" i="3"/>
  <c r="N90" i="3"/>
  <c r="M90" i="3"/>
  <c r="L90" i="3"/>
  <c r="K90" i="3"/>
  <c r="J90" i="3"/>
  <c r="I90" i="3"/>
  <c r="H90" i="3"/>
  <c r="G90" i="3"/>
  <c r="F90" i="3"/>
  <c r="E90" i="3"/>
  <c r="D90" i="3"/>
  <c r="C90" i="3"/>
  <c r="B90" i="3"/>
  <c r="A90" i="3"/>
  <c r="P89" i="3"/>
  <c r="O89" i="3"/>
  <c r="N89" i="3"/>
  <c r="M89" i="3"/>
  <c r="L89" i="3"/>
  <c r="K89" i="3"/>
  <c r="J89" i="3"/>
  <c r="I89" i="3"/>
  <c r="H89" i="3"/>
  <c r="G89" i="3"/>
  <c r="F89" i="3"/>
  <c r="E89" i="3"/>
  <c r="D89" i="3"/>
  <c r="C89" i="3"/>
  <c r="B89" i="3"/>
  <c r="A89" i="3"/>
  <c r="P88" i="3"/>
  <c r="O88" i="3"/>
  <c r="N88" i="3"/>
  <c r="M88" i="3"/>
  <c r="L88" i="3"/>
  <c r="K88" i="3"/>
  <c r="J88" i="3"/>
  <c r="I88" i="3"/>
  <c r="H88" i="3"/>
  <c r="G88" i="3"/>
  <c r="F88" i="3"/>
  <c r="E88" i="3"/>
  <c r="D88" i="3"/>
  <c r="C88" i="3"/>
  <c r="B88" i="3"/>
  <c r="A88" i="3"/>
  <c r="P87" i="3"/>
  <c r="O87" i="3"/>
  <c r="N87" i="3"/>
  <c r="M87" i="3"/>
  <c r="L87" i="3"/>
  <c r="K87" i="3"/>
  <c r="J87" i="3"/>
  <c r="I87" i="3"/>
  <c r="H87" i="3"/>
  <c r="G87" i="3"/>
  <c r="F87" i="3"/>
  <c r="E87" i="3"/>
  <c r="D87" i="3"/>
  <c r="C87" i="3"/>
  <c r="B87" i="3"/>
  <c r="A87" i="3"/>
  <c r="P86" i="3"/>
  <c r="O86" i="3"/>
  <c r="N86" i="3"/>
  <c r="M86" i="3"/>
  <c r="L86" i="3"/>
  <c r="K86" i="3"/>
  <c r="J86" i="3"/>
  <c r="I86" i="3"/>
  <c r="H86" i="3"/>
  <c r="G86" i="3"/>
  <c r="F86" i="3"/>
  <c r="E86" i="3"/>
  <c r="D86" i="3"/>
  <c r="C86" i="3"/>
  <c r="B86" i="3"/>
  <c r="A86" i="3"/>
  <c r="P85" i="3"/>
  <c r="O85" i="3"/>
  <c r="N85" i="3"/>
  <c r="M85" i="3"/>
  <c r="L85" i="3"/>
  <c r="K85" i="3"/>
  <c r="J85" i="3"/>
  <c r="I85" i="3"/>
  <c r="H85" i="3"/>
  <c r="G85" i="3"/>
  <c r="F85" i="3"/>
  <c r="E85" i="3"/>
  <c r="D85" i="3"/>
  <c r="C85" i="3"/>
  <c r="B85" i="3"/>
  <c r="A85" i="3"/>
  <c r="P84" i="3"/>
  <c r="O84" i="3"/>
  <c r="N84" i="3"/>
  <c r="M84" i="3"/>
  <c r="L84" i="3"/>
  <c r="K84" i="3"/>
  <c r="J84" i="3"/>
  <c r="I84" i="3"/>
  <c r="H84" i="3"/>
  <c r="G84" i="3"/>
  <c r="F84" i="3"/>
  <c r="E84" i="3"/>
  <c r="D84" i="3"/>
  <c r="C84" i="3"/>
  <c r="B84" i="3"/>
  <c r="A84" i="3"/>
  <c r="P83" i="3"/>
  <c r="O83" i="3"/>
  <c r="N83" i="3"/>
  <c r="M83" i="3"/>
  <c r="L83" i="3"/>
  <c r="K83" i="3"/>
  <c r="J83" i="3"/>
  <c r="I83" i="3"/>
  <c r="H83" i="3"/>
  <c r="G83" i="3"/>
  <c r="F83" i="3"/>
  <c r="E83" i="3"/>
  <c r="D83" i="3"/>
  <c r="C83" i="3"/>
  <c r="B83" i="3"/>
  <c r="A83" i="3"/>
  <c r="P82" i="3"/>
  <c r="O82" i="3"/>
  <c r="N82" i="3"/>
  <c r="M82" i="3"/>
  <c r="L82" i="3"/>
  <c r="K82" i="3"/>
  <c r="J82" i="3"/>
  <c r="I82" i="3"/>
  <c r="H82" i="3"/>
  <c r="G82" i="3"/>
  <c r="F82" i="3"/>
  <c r="E82" i="3"/>
  <c r="D82" i="3"/>
  <c r="C82" i="3"/>
  <c r="B82" i="3"/>
  <c r="A82" i="3"/>
  <c r="P81" i="3"/>
  <c r="O81" i="3"/>
  <c r="N81" i="3"/>
  <c r="M81" i="3"/>
  <c r="L81" i="3"/>
  <c r="K81" i="3"/>
  <c r="J81" i="3"/>
  <c r="I81" i="3"/>
  <c r="H81" i="3"/>
  <c r="G81" i="3"/>
  <c r="F81" i="3"/>
  <c r="E81" i="3"/>
  <c r="D81" i="3"/>
  <c r="C81" i="3"/>
  <c r="B81" i="3"/>
  <c r="A81" i="3"/>
  <c r="P80" i="3"/>
  <c r="O80" i="3"/>
  <c r="N80" i="3"/>
  <c r="M80" i="3"/>
  <c r="L80" i="3"/>
  <c r="K80" i="3"/>
  <c r="J80" i="3"/>
  <c r="I80" i="3"/>
  <c r="H80" i="3"/>
  <c r="G80" i="3"/>
  <c r="F80" i="3"/>
  <c r="E80" i="3"/>
  <c r="D80" i="3"/>
  <c r="C80" i="3"/>
  <c r="B80" i="3"/>
  <c r="A80" i="3"/>
  <c r="P79" i="3"/>
  <c r="O79" i="3"/>
  <c r="N79" i="3"/>
  <c r="M79" i="3"/>
  <c r="L79" i="3"/>
  <c r="K79" i="3"/>
  <c r="J79" i="3"/>
  <c r="I79" i="3"/>
  <c r="H79" i="3"/>
  <c r="G79" i="3"/>
  <c r="F79" i="3"/>
  <c r="E79" i="3"/>
  <c r="D79" i="3"/>
  <c r="C79" i="3"/>
  <c r="B79" i="3"/>
  <c r="A79" i="3"/>
  <c r="P78" i="3"/>
  <c r="O78" i="3"/>
  <c r="N78" i="3"/>
  <c r="M78" i="3"/>
  <c r="L78" i="3"/>
  <c r="K78" i="3"/>
  <c r="J78" i="3"/>
  <c r="I78" i="3"/>
  <c r="H78" i="3"/>
  <c r="G78" i="3"/>
  <c r="F78" i="3"/>
  <c r="E78" i="3"/>
  <c r="D78" i="3"/>
  <c r="C78" i="3"/>
  <c r="B78" i="3"/>
  <c r="A78" i="3"/>
  <c r="P77" i="3"/>
  <c r="O77" i="3"/>
  <c r="N77" i="3"/>
  <c r="M77" i="3"/>
  <c r="L77" i="3"/>
  <c r="K77" i="3"/>
  <c r="J77" i="3"/>
  <c r="I77" i="3"/>
  <c r="H77" i="3"/>
  <c r="G77" i="3"/>
  <c r="F77" i="3"/>
  <c r="E77" i="3"/>
  <c r="D77" i="3"/>
  <c r="C77" i="3"/>
  <c r="B77" i="3"/>
  <c r="A77" i="3"/>
  <c r="P76" i="3"/>
  <c r="O76" i="3"/>
  <c r="N76" i="3"/>
  <c r="M76" i="3"/>
  <c r="L76" i="3"/>
  <c r="K76" i="3"/>
  <c r="J76" i="3"/>
  <c r="I76" i="3"/>
  <c r="H76" i="3"/>
  <c r="G76" i="3"/>
  <c r="F76" i="3"/>
  <c r="E76" i="3"/>
  <c r="D76" i="3"/>
  <c r="C76" i="3"/>
  <c r="B76" i="3"/>
  <c r="A76" i="3"/>
  <c r="P75" i="3"/>
  <c r="O75" i="3"/>
  <c r="N75" i="3"/>
  <c r="M75" i="3"/>
  <c r="L75" i="3"/>
  <c r="K75" i="3"/>
  <c r="J75" i="3"/>
  <c r="I75" i="3"/>
  <c r="H75" i="3"/>
  <c r="G75" i="3"/>
  <c r="F75" i="3"/>
  <c r="E75" i="3"/>
  <c r="D75" i="3"/>
  <c r="C75" i="3"/>
  <c r="B75" i="3"/>
  <c r="A75" i="3"/>
  <c r="P74" i="3"/>
  <c r="O74" i="3"/>
  <c r="N74" i="3"/>
  <c r="M74" i="3"/>
  <c r="L74" i="3"/>
  <c r="K74" i="3"/>
  <c r="J74" i="3"/>
  <c r="I74" i="3"/>
  <c r="H74" i="3"/>
  <c r="G74" i="3"/>
  <c r="F74" i="3"/>
  <c r="E74" i="3"/>
  <c r="D74" i="3"/>
  <c r="C74" i="3"/>
  <c r="B74" i="3"/>
  <c r="A74" i="3"/>
  <c r="P73" i="3"/>
  <c r="O73" i="3"/>
  <c r="N73" i="3"/>
  <c r="M73" i="3"/>
  <c r="L73" i="3"/>
  <c r="K73" i="3"/>
  <c r="J73" i="3"/>
  <c r="I73" i="3"/>
  <c r="H73" i="3"/>
  <c r="G73" i="3"/>
  <c r="F73" i="3"/>
  <c r="E73" i="3"/>
  <c r="D73" i="3"/>
  <c r="C73" i="3"/>
  <c r="B73" i="3"/>
  <c r="A73" i="3"/>
  <c r="P72" i="3"/>
  <c r="O72" i="3"/>
  <c r="N72" i="3"/>
  <c r="M72" i="3"/>
  <c r="L72" i="3"/>
  <c r="K72" i="3"/>
  <c r="J72" i="3"/>
  <c r="I72" i="3"/>
  <c r="H72" i="3"/>
  <c r="G72" i="3"/>
  <c r="F72" i="3"/>
  <c r="E72" i="3"/>
  <c r="D72" i="3"/>
  <c r="C72" i="3"/>
  <c r="B72" i="3"/>
  <c r="A72" i="3"/>
  <c r="P71" i="3"/>
  <c r="O71" i="3"/>
  <c r="N71" i="3"/>
  <c r="M71" i="3"/>
  <c r="L71" i="3"/>
  <c r="K71" i="3"/>
  <c r="J71" i="3"/>
  <c r="I71" i="3"/>
  <c r="H71" i="3"/>
  <c r="G71" i="3"/>
  <c r="F71" i="3"/>
  <c r="E71" i="3"/>
  <c r="D71" i="3"/>
  <c r="C71" i="3"/>
  <c r="B71" i="3"/>
  <c r="A71" i="3"/>
  <c r="P70" i="3"/>
  <c r="O70" i="3"/>
  <c r="N70" i="3"/>
  <c r="M70" i="3"/>
  <c r="L70" i="3"/>
  <c r="K70" i="3"/>
  <c r="J70" i="3"/>
  <c r="I70" i="3"/>
  <c r="H70" i="3"/>
  <c r="G70" i="3"/>
  <c r="F70" i="3"/>
  <c r="E70" i="3"/>
  <c r="D70" i="3"/>
  <c r="C70" i="3"/>
  <c r="B70" i="3"/>
  <c r="A70" i="3"/>
  <c r="P69" i="3"/>
  <c r="O69" i="3"/>
  <c r="N69" i="3"/>
  <c r="M69" i="3"/>
  <c r="L69" i="3"/>
  <c r="K69" i="3"/>
  <c r="J69" i="3"/>
  <c r="I69" i="3"/>
  <c r="H69" i="3"/>
  <c r="G69" i="3"/>
  <c r="F69" i="3"/>
  <c r="E69" i="3"/>
  <c r="D69" i="3"/>
  <c r="C69" i="3"/>
  <c r="B69" i="3"/>
  <c r="A69" i="3"/>
  <c r="P68" i="3"/>
  <c r="O68" i="3"/>
  <c r="N68" i="3"/>
  <c r="M68" i="3"/>
  <c r="L68" i="3"/>
  <c r="K68" i="3"/>
  <c r="J68" i="3"/>
  <c r="I68" i="3"/>
  <c r="H68" i="3"/>
  <c r="G68" i="3"/>
  <c r="F68" i="3"/>
  <c r="E68" i="3"/>
  <c r="D68" i="3"/>
  <c r="C68" i="3"/>
  <c r="B68" i="3"/>
  <c r="A68" i="3"/>
  <c r="P67" i="3"/>
  <c r="O67" i="3"/>
  <c r="N67" i="3"/>
  <c r="M67" i="3"/>
  <c r="L67" i="3"/>
  <c r="K67" i="3"/>
  <c r="J67" i="3"/>
  <c r="I67" i="3"/>
  <c r="H67" i="3"/>
  <c r="G67" i="3"/>
  <c r="F67" i="3"/>
  <c r="E67" i="3"/>
  <c r="D67" i="3"/>
  <c r="C67" i="3"/>
  <c r="B67" i="3"/>
  <c r="A67" i="3"/>
  <c r="P66" i="3"/>
  <c r="O66" i="3"/>
  <c r="N66" i="3"/>
  <c r="M66" i="3"/>
  <c r="L66" i="3"/>
  <c r="K66" i="3"/>
  <c r="J66" i="3"/>
  <c r="I66" i="3"/>
  <c r="H66" i="3"/>
  <c r="G66" i="3"/>
  <c r="F66" i="3"/>
  <c r="E66" i="3"/>
  <c r="D66" i="3"/>
  <c r="C66" i="3"/>
  <c r="B66" i="3"/>
  <c r="A66" i="3"/>
  <c r="P65" i="3"/>
  <c r="O65" i="3"/>
  <c r="N65" i="3"/>
  <c r="M65" i="3"/>
  <c r="L65" i="3"/>
  <c r="K65" i="3"/>
  <c r="J65" i="3"/>
  <c r="I65" i="3"/>
  <c r="H65" i="3"/>
  <c r="G65" i="3"/>
  <c r="F65" i="3"/>
  <c r="E65" i="3"/>
  <c r="D65" i="3"/>
  <c r="C65" i="3"/>
  <c r="B65" i="3"/>
  <c r="A65" i="3"/>
  <c r="P64" i="3"/>
  <c r="O64" i="3"/>
  <c r="N64" i="3"/>
  <c r="M64" i="3"/>
  <c r="L64" i="3"/>
  <c r="K64" i="3"/>
  <c r="J64" i="3"/>
  <c r="I64" i="3"/>
  <c r="H64" i="3"/>
  <c r="G64" i="3"/>
  <c r="F64" i="3"/>
  <c r="E64" i="3"/>
  <c r="D64" i="3"/>
  <c r="C64" i="3"/>
  <c r="B64" i="3"/>
  <c r="A64" i="3"/>
  <c r="P63" i="3"/>
  <c r="O63" i="3"/>
  <c r="N63" i="3"/>
  <c r="M63" i="3"/>
  <c r="L63" i="3"/>
  <c r="K63" i="3"/>
  <c r="J63" i="3"/>
  <c r="I63" i="3"/>
  <c r="H63" i="3"/>
  <c r="G63" i="3"/>
  <c r="F63" i="3"/>
  <c r="E63" i="3"/>
  <c r="D63" i="3"/>
  <c r="C63" i="3"/>
  <c r="B63" i="3"/>
  <c r="A63" i="3"/>
  <c r="P62" i="3"/>
  <c r="O62" i="3"/>
  <c r="N62" i="3"/>
  <c r="M62" i="3"/>
  <c r="L62" i="3"/>
  <c r="K62" i="3"/>
  <c r="J62" i="3"/>
  <c r="I62" i="3"/>
  <c r="H62" i="3"/>
  <c r="G62" i="3"/>
  <c r="F62" i="3"/>
  <c r="E62" i="3"/>
  <c r="D62" i="3"/>
  <c r="C62" i="3"/>
  <c r="B62" i="3"/>
  <c r="A62" i="3"/>
  <c r="P61" i="3"/>
  <c r="O61" i="3"/>
  <c r="N61" i="3"/>
  <c r="M61" i="3"/>
  <c r="L61" i="3"/>
  <c r="K61" i="3"/>
  <c r="J61" i="3"/>
  <c r="I61" i="3"/>
  <c r="H61" i="3"/>
  <c r="G61" i="3"/>
  <c r="F61" i="3"/>
  <c r="E61" i="3"/>
  <c r="D61" i="3"/>
  <c r="C61" i="3"/>
  <c r="B61" i="3"/>
  <c r="A61" i="3"/>
  <c r="P60" i="3"/>
  <c r="O60" i="3"/>
  <c r="N60" i="3"/>
  <c r="M60" i="3"/>
  <c r="L60" i="3"/>
  <c r="K60" i="3"/>
  <c r="J60" i="3"/>
  <c r="I60" i="3"/>
  <c r="H60" i="3"/>
  <c r="G60" i="3"/>
  <c r="F60" i="3"/>
  <c r="E60" i="3"/>
  <c r="D60" i="3"/>
  <c r="C60" i="3"/>
  <c r="B60" i="3"/>
  <c r="A60" i="3"/>
  <c r="P59" i="3"/>
  <c r="O59" i="3"/>
  <c r="N59" i="3"/>
  <c r="M59" i="3"/>
  <c r="L59" i="3"/>
  <c r="K59" i="3"/>
  <c r="J59" i="3"/>
  <c r="I59" i="3"/>
  <c r="H59" i="3"/>
  <c r="G59" i="3"/>
  <c r="F59" i="3"/>
  <c r="E59" i="3"/>
  <c r="D59" i="3"/>
  <c r="C59" i="3"/>
  <c r="B59" i="3"/>
  <c r="A59" i="3"/>
  <c r="P58" i="3"/>
  <c r="O58" i="3"/>
  <c r="N58" i="3"/>
  <c r="M58" i="3"/>
  <c r="L58" i="3"/>
  <c r="K58" i="3"/>
  <c r="J58" i="3"/>
  <c r="I58" i="3"/>
  <c r="H58" i="3"/>
  <c r="G58" i="3"/>
  <c r="F58" i="3"/>
  <c r="E58" i="3"/>
  <c r="D58" i="3"/>
  <c r="C58" i="3"/>
  <c r="B58" i="3"/>
  <c r="A58" i="3"/>
  <c r="P57" i="3"/>
  <c r="O57" i="3"/>
  <c r="N57" i="3"/>
  <c r="M57" i="3"/>
  <c r="L57" i="3"/>
  <c r="K57" i="3"/>
  <c r="J57" i="3"/>
  <c r="I57" i="3"/>
  <c r="H57" i="3"/>
  <c r="G57" i="3"/>
  <c r="F57" i="3"/>
  <c r="E57" i="3"/>
  <c r="D57" i="3"/>
  <c r="C57" i="3"/>
  <c r="B57" i="3"/>
  <c r="A57" i="3"/>
  <c r="P56" i="3"/>
  <c r="O56" i="3"/>
  <c r="N56" i="3"/>
  <c r="M56" i="3"/>
  <c r="L56" i="3"/>
  <c r="K56" i="3"/>
  <c r="J56" i="3"/>
  <c r="I56" i="3"/>
  <c r="H56" i="3"/>
  <c r="G56" i="3"/>
  <c r="F56" i="3"/>
  <c r="E56" i="3"/>
  <c r="D56" i="3"/>
  <c r="C56" i="3"/>
  <c r="B56" i="3"/>
  <c r="A56" i="3"/>
  <c r="P55" i="3"/>
  <c r="O55" i="3"/>
  <c r="N55" i="3"/>
  <c r="M55" i="3"/>
  <c r="L55" i="3"/>
  <c r="K55" i="3"/>
  <c r="J55" i="3"/>
  <c r="I55" i="3"/>
  <c r="H55" i="3"/>
  <c r="G55" i="3"/>
  <c r="F55" i="3"/>
  <c r="E55" i="3"/>
  <c r="D55" i="3"/>
  <c r="C55" i="3"/>
  <c r="B55" i="3"/>
  <c r="A55" i="3"/>
  <c r="P54" i="3"/>
  <c r="O54" i="3"/>
  <c r="N54" i="3"/>
  <c r="M54" i="3"/>
  <c r="L54" i="3"/>
  <c r="K54" i="3"/>
  <c r="J54" i="3"/>
  <c r="I54" i="3"/>
  <c r="H54" i="3"/>
  <c r="G54" i="3"/>
  <c r="F54" i="3"/>
  <c r="E54" i="3"/>
  <c r="D54" i="3"/>
  <c r="C54" i="3"/>
  <c r="B54" i="3"/>
  <c r="A54" i="3"/>
  <c r="P53" i="3"/>
  <c r="O53" i="3"/>
  <c r="N53" i="3"/>
  <c r="M53" i="3"/>
  <c r="L53" i="3"/>
  <c r="K53" i="3"/>
  <c r="J53" i="3"/>
  <c r="I53" i="3"/>
  <c r="H53" i="3"/>
  <c r="G53" i="3"/>
  <c r="F53" i="3"/>
  <c r="E53" i="3"/>
  <c r="D53" i="3"/>
  <c r="C53" i="3"/>
  <c r="B53" i="3"/>
  <c r="A53" i="3"/>
  <c r="P52" i="3"/>
  <c r="O52" i="3"/>
  <c r="N52" i="3"/>
  <c r="M52" i="3"/>
  <c r="L52" i="3"/>
  <c r="K52" i="3"/>
  <c r="J52" i="3"/>
  <c r="I52" i="3"/>
  <c r="H52" i="3"/>
  <c r="G52" i="3"/>
  <c r="F52" i="3"/>
  <c r="E52" i="3"/>
  <c r="D52" i="3"/>
  <c r="C52" i="3"/>
  <c r="B52" i="3"/>
  <c r="A52" i="3"/>
  <c r="P51" i="3"/>
  <c r="O51" i="3"/>
  <c r="N51" i="3"/>
  <c r="M51" i="3"/>
  <c r="L51" i="3"/>
  <c r="K51" i="3"/>
  <c r="J51" i="3"/>
  <c r="I51" i="3"/>
  <c r="H51" i="3"/>
  <c r="G51" i="3"/>
  <c r="F51" i="3"/>
  <c r="E51" i="3"/>
  <c r="D51" i="3"/>
  <c r="C51" i="3"/>
  <c r="B51" i="3"/>
  <c r="A51" i="3"/>
  <c r="P50" i="3"/>
  <c r="O50" i="3"/>
  <c r="N50" i="3"/>
  <c r="M50" i="3"/>
  <c r="L50" i="3"/>
  <c r="K50" i="3"/>
  <c r="J50" i="3"/>
  <c r="I50" i="3"/>
  <c r="H50" i="3"/>
  <c r="G50" i="3"/>
  <c r="F50" i="3"/>
  <c r="E50" i="3"/>
  <c r="D50" i="3"/>
  <c r="C50" i="3"/>
  <c r="B50" i="3"/>
  <c r="A50" i="3"/>
  <c r="P49" i="3"/>
  <c r="O49" i="3"/>
  <c r="N49" i="3"/>
  <c r="M49" i="3"/>
  <c r="L49" i="3"/>
  <c r="K49" i="3"/>
  <c r="J49" i="3"/>
  <c r="I49" i="3"/>
  <c r="H49" i="3"/>
  <c r="G49" i="3"/>
  <c r="F49" i="3"/>
  <c r="E49" i="3"/>
  <c r="D49" i="3"/>
  <c r="C49" i="3"/>
  <c r="B49" i="3"/>
  <c r="A49" i="3"/>
  <c r="P48" i="3"/>
  <c r="O48" i="3"/>
  <c r="N48" i="3"/>
  <c r="M48" i="3"/>
  <c r="L48" i="3"/>
  <c r="K48" i="3"/>
  <c r="J48" i="3"/>
  <c r="I48" i="3"/>
  <c r="H48" i="3"/>
  <c r="G48" i="3"/>
  <c r="F48" i="3"/>
  <c r="E48" i="3"/>
  <c r="D48" i="3"/>
  <c r="C48" i="3"/>
  <c r="B48" i="3"/>
  <c r="A48" i="3"/>
  <c r="P47" i="3"/>
  <c r="O47" i="3"/>
  <c r="N47" i="3"/>
  <c r="M47" i="3"/>
  <c r="L47" i="3"/>
  <c r="K47" i="3"/>
  <c r="J47" i="3"/>
  <c r="I47" i="3"/>
  <c r="H47" i="3"/>
  <c r="G47" i="3"/>
  <c r="F47" i="3"/>
  <c r="E47" i="3"/>
  <c r="D47" i="3"/>
  <c r="C47" i="3"/>
  <c r="B47" i="3"/>
  <c r="A47" i="3"/>
  <c r="P46" i="3"/>
  <c r="O46" i="3"/>
  <c r="N46" i="3"/>
  <c r="M46" i="3"/>
  <c r="L46" i="3"/>
  <c r="K46" i="3"/>
  <c r="J46" i="3"/>
  <c r="I46" i="3"/>
  <c r="H46" i="3"/>
  <c r="G46" i="3"/>
  <c r="F46" i="3"/>
  <c r="E46" i="3"/>
  <c r="D46" i="3"/>
  <c r="C46" i="3"/>
  <c r="B46" i="3"/>
  <c r="A46" i="3"/>
  <c r="P45" i="3"/>
  <c r="O45" i="3"/>
  <c r="N45" i="3"/>
  <c r="M45" i="3"/>
  <c r="L45" i="3"/>
  <c r="K45" i="3"/>
  <c r="J45" i="3"/>
  <c r="I45" i="3"/>
  <c r="H45" i="3"/>
  <c r="G45" i="3"/>
  <c r="F45" i="3"/>
  <c r="E45" i="3"/>
  <c r="D45" i="3"/>
  <c r="C45" i="3"/>
  <c r="B45" i="3"/>
  <c r="A45" i="3"/>
  <c r="P44" i="3"/>
  <c r="O44" i="3"/>
  <c r="N44" i="3"/>
  <c r="M44" i="3"/>
  <c r="L44" i="3"/>
  <c r="K44" i="3"/>
  <c r="J44" i="3"/>
  <c r="I44" i="3"/>
  <c r="H44" i="3"/>
  <c r="G44" i="3"/>
  <c r="F44" i="3"/>
  <c r="E44" i="3"/>
  <c r="D44" i="3"/>
  <c r="C44" i="3"/>
  <c r="B44" i="3"/>
  <c r="A44" i="3"/>
  <c r="P43" i="3"/>
  <c r="O43" i="3"/>
  <c r="N43" i="3"/>
  <c r="M43" i="3"/>
  <c r="L43" i="3"/>
  <c r="K43" i="3"/>
  <c r="J43" i="3"/>
  <c r="I43" i="3"/>
  <c r="H43" i="3"/>
  <c r="G43" i="3"/>
  <c r="F43" i="3"/>
  <c r="E43" i="3"/>
  <c r="D43" i="3"/>
  <c r="C43" i="3"/>
  <c r="B43" i="3"/>
  <c r="A43" i="3"/>
  <c r="P42" i="3"/>
  <c r="O42" i="3"/>
  <c r="N42" i="3"/>
  <c r="M42" i="3"/>
  <c r="L42" i="3"/>
  <c r="K42" i="3"/>
  <c r="J42" i="3"/>
  <c r="I42" i="3"/>
  <c r="H42" i="3"/>
  <c r="G42" i="3"/>
  <c r="F42" i="3"/>
  <c r="E42" i="3"/>
  <c r="D42" i="3"/>
  <c r="C42" i="3"/>
  <c r="B42" i="3"/>
  <c r="A42" i="3"/>
  <c r="P41" i="3"/>
  <c r="O41" i="3"/>
  <c r="N41" i="3"/>
  <c r="M41" i="3"/>
  <c r="L41" i="3"/>
  <c r="K41" i="3"/>
  <c r="J41" i="3"/>
  <c r="I41" i="3"/>
  <c r="H41" i="3"/>
  <c r="G41" i="3"/>
  <c r="F41" i="3"/>
  <c r="E41" i="3"/>
  <c r="D41" i="3"/>
  <c r="C41" i="3"/>
  <c r="B41" i="3"/>
  <c r="A41" i="3"/>
  <c r="P40" i="3"/>
  <c r="O40" i="3"/>
  <c r="N40" i="3"/>
  <c r="M40" i="3"/>
  <c r="L40" i="3"/>
  <c r="K40" i="3"/>
  <c r="J40" i="3"/>
  <c r="I40" i="3"/>
  <c r="H40" i="3"/>
  <c r="G40" i="3"/>
  <c r="F40" i="3"/>
  <c r="E40" i="3"/>
  <c r="D40" i="3"/>
  <c r="C40" i="3"/>
  <c r="B40" i="3"/>
  <c r="A40" i="3"/>
  <c r="P39" i="3"/>
  <c r="O39" i="3"/>
  <c r="N39" i="3"/>
  <c r="M39" i="3"/>
  <c r="L39" i="3"/>
  <c r="K39" i="3"/>
  <c r="J39" i="3"/>
  <c r="I39" i="3"/>
  <c r="H39" i="3"/>
  <c r="G39" i="3"/>
  <c r="F39" i="3"/>
  <c r="E39" i="3"/>
  <c r="D39" i="3"/>
  <c r="C39" i="3"/>
  <c r="B39" i="3"/>
  <c r="A39" i="3"/>
  <c r="P38" i="3"/>
  <c r="O38" i="3"/>
  <c r="N38" i="3"/>
  <c r="M38" i="3"/>
  <c r="L38" i="3"/>
  <c r="K38" i="3"/>
  <c r="J38" i="3"/>
  <c r="I38" i="3"/>
  <c r="H38" i="3"/>
  <c r="G38" i="3"/>
  <c r="F38" i="3"/>
  <c r="E38" i="3"/>
  <c r="D38" i="3"/>
  <c r="C38" i="3"/>
  <c r="B38" i="3"/>
  <c r="A38" i="3"/>
  <c r="P37" i="3"/>
  <c r="O37" i="3"/>
  <c r="N37" i="3"/>
  <c r="M37" i="3"/>
  <c r="L37" i="3"/>
  <c r="K37" i="3"/>
  <c r="J37" i="3"/>
  <c r="I37" i="3"/>
  <c r="H37" i="3"/>
  <c r="G37" i="3"/>
  <c r="F37" i="3"/>
  <c r="E37" i="3"/>
  <c r="D37" i="3"/>
  <c r="C37" i="3"/>
  <c r="B37" i="3"/>
  <c r="A37" i="3"/>
  <c r="P36" i="3"/>
  <c r="O36" i="3"/>
  <c r="N36" i="3"/>
  <c r="M36" i="3"/>
  <c r="L36" i="3"/>
  <c r="K36" i="3"/>
  <c r="J36" i="3"/>
  <c r="I36" i="3"/>
  <c r="H36" i="3"/>
  <c r="G36" i="3"/>
  <c r="F36" i="3"/>
  <c r="E36" i="3"/>
  <c r="D36" i="3"/>
  <c r="C36" i="3"/>
  <c r="B36" i="3"/>
  <c r="A36" i="3"/>
  <c r="P35" i="3"/>
  <c r="O35" i="3"/>
  <c r="N35" i="3"/>
  <c r="M35" i="3"/>
  <c r="L35" i="3"/>
  <c r="K35" i="3"/>
  <c r="J35" i="3"/>
  <c r="I35" i="3"/>
  <c r="H35" i="3"/>
  <c r="G35" i="3"/>
  <c r="F35" i="3"/>
  <c r="E35" i="3"/>
  <c r="D35" i="3"/>
  <c r="C35" i="3"/>
  <c r="B35" i="3"/>
  <c r="A35" i="3"/>
  <c r="P34" i="3"/>
  <c r="O34" i="3"/>
  <c r="N34" i="3"/>
  <c r="M34" i="3"/>
  <c r="L34" i="3"/>
  <c r="K34" i="3"/>
  <c r="J34" i="3"/>
  <c r="I34" i="3"/>
  <c r="H34" i="3"/>
  <c r="G34" i="3"/>
  <c r="F34" i="3"/>
  <c r="E34" i="3"/>
  <c r="D34" i="3"/>
  <c r="C34" i="3"/>
  <c r="B34" i="3"/>
  <c r="A34" i="3"/>
  <c r="P33" i="3"/>
  <c r="O33" i="3"/>
  <c r="N33" i="3"/>
  <c r="M33" i="3"/>
  <c r="L33" i="3"/>
  <c r="K33" i="3"/>
  <c r="J33" i="3"/>
  <c r="I33" i="3"/>
  <c r="H33" i="3"/>
  <c r="G33" i="3"/>
  <c r="F33" i="3"/>
  <c r="E33" i="3"/>
  <c r="D33" i="3"/>
  <c r="C33" i="3"/>
  <c r="B33" i="3"/>
  <c r="A33" i="3"/>
  <c r="P32" i="3"/>
  <c r="O32" i="3"/>
  <c r="N32" i="3"/>
  <c r="M32" i="3"/>
  <c r="L32" i="3"/>
  <c r="K32" i="3"/>
  <c r="J32" i="3"/>
  <c r="I32" i="3"/>
  <c r="H32" i="3"/>
  <c r="G32" i="3"/>
  <c r="F32" i="3"/>
  <c r="E32" i="3"/>
  <c r="D32" i="3"/>
  <c r="C32" i="3"/>
  <c r="B32" i="3"/>
  <c r="A32" i="3"/>
  <c r="P31" i="3"/>
  <c r="O31" i="3"/>
  <c r="N31" i="3"/>
  <c r="M31" i="3"/>
  <c r="L31" i="3"/>
  <c r="K31" i="3"/>
  <c r="J31" i="3"/>
  <c r="I31" i="3"/>
  <c r="H31" i="3"/>
  <c r="G31" i="3"/>
  <c r="F31" i="3"/>
  <c r="E31" i="3"/>
  <c r="D31" i="3"/>
  <c r="C31" i="3"/>
  <c r="B31" i="3"/>
  <c r="A31" i="3"/>
  <c r="P30" i="3"/>
  <c r="O30" i="3"/>
  <c r="N30" i="3"/>
  <c r="M30" i="3"/>
  <c r="L30" i="3"/>
  <c r="K30" i="3"/>
  <c r="J30" i="3"/>
  <c r="I30" i="3"/>
  <c r="H30" i="3"/>
  <c r="G30" i="3"/>
  <c r="F30" i="3"/>
  <c r="E30" i="3"/>
  <c r="D30" i="3"/>
  <c r="C30" i="3"/>
  <c r="B30" i="3"/>
  <c r="A30" i="3"/>
  <c r="P29" i="3"/>
  <c r="O29" i="3"/>
  <c r="N29" i="3"/>
  <c r="M29" i="3"/>
  <c r="L29" i="3"/>
  <c r="K29" i="3"/>
  <c r="J29" i="3"/>
  <c r="I29" i="3"/>
  <c r="H29" i="3"/>
  <c r="G29" i="3"/>
  <c r="F29" i="3"/>
  <c r="E29" i="3"/>
  <c r="D29" i="3"/>
  <c r="C29" i="3"/>
  <c r="B29" i="3"/>
  <c r="A29" i="3"/>
  <c r="P28" i="3"/>
  <c r="O28" i="3"/>
  <c r="N28" i="3"/>
  <c r="M28" i="3"/>
  <c r="L28" i="3"/>
  <c r="K28" i="3"/>
  <c r="J28" i="3"/>
  <c r="I28" i="3"/>
  <c r="H28" i="3"/>
  <c r="G28" i="3"/>
  <c r="F28" i="3"/>
  <c r="E28" i="3"/>
  <c r="D28" i="3"/>
  <c r="C28" i="3"/>
  <c r="B28" i="3"/>
  <c r="A28" i="3"/>
  <c r="P27" i="3"/>
  <c r="O27" i="3"/>
  <c r="N27" i="3"/>
  <c r="M27" i="3"/>
  <c r="L27" i="3"/>
  <c r="K27" i="3"/>
  <c r="J27" i="3"/>
  <c r="I27" i="3"/>
  <c r="H27" i="3"/>
  <c r="G27" i="3"/>
  <c r="F27" i="3"/>
  <c r="E27" i="3"/>
  <c r="D27" i="3"/>
  <c r="C27" i="3"/>
  <c r="B27" i="3"/>
  <c r="A27" i="3"/>
  <c r="P26" i="3"/>
  <c r="O26" i="3"/>
  <c r="N26" i="3"/>
  <c r="M26" i="3"/>
  <c r="L26" i="3"/>
  <c r="K26" i="3"/>
  <c r="J26" i="3"/>
  <c r="I26" i="3"/>
  <c r="H26" i="3"/>
  <c r="G26" i="3"/>
  <c r="F26" i="3"/>
  <c r="E26" i="3"/>
  <c r="D26" i="3"/>
  <c r="C26" i="3"/>
  <c r="B26" i="3"/>
  <c r="A26" i="3"/>
  <c r="P25" i="3"/>
  <c r="O25" i="3"/>
  <c r="N25" i="3"/>
  <c r="M25" i="3"/>
  <c r="L25" i="3"/>
  <c r="K25" i="3"/>
  <c r="J25" i="3"/>
  <c r="I25" i="3"/>
  <c r="H25" i="3"/>
  <c r="G25" i="3"/>
  <c r="F25" i="3"/>
  <c r="E25" i="3"/>
  <c r="D25" i="3"/>
  <c r="C25" i="3"/>
  <c r="B25" i="3"/>
  <c r="A25" i="3"/>
  <c r="P24" i="3"/>
  <c r="O24" i="3"/>
  <c r="N24" i="3"/>
  <c r="M24" i="3"/>
  <c r="L24" i="3"/>
  <c r="K24" i="3"/>
  <c r="J24" i="3"/>
  <c r="I24" i="3"/>
  <c r="H24" i="3"/>
  <c r="G24" i="3"/>
  <c r="F24" i="3"/>
  <c r="E24" i="3"/>
  <c r="D24" i="3"/>
  <c r="C24" i="3"/>
  <c r="B24" i="3"/>
  <c r="A24" i="3"/>
  <c r="P23" i="3"/>
  <c r="O23" i="3"/>
  <c r="N23" i="3"/>
  <c r="M23" i="3"/>
  <c r="L23" i="3"/>
  <c r="K23" i="3"/>
  <c r="J23" i="3"/>
  <c r="I23" i="3"/>
  <c r="H23" i="3"/>
  <c r="G23" i="3"/>
  <c r="F23" i="3"/>
  <c r="E23" i="3"/>
  <c r="D23" i="3"/>
  <c r="C23" i="3"/>
  <c r="B23" i="3"/>
  <c r="A23" i="3"/>
  <c r="P22" i="3"/>
  <c r="O22" i="3"/>
  <c r="N22" i="3"/>
  <c r="M22" i="3"/>
  <c r="L22" i="3"/>
  <c r="K22" i="3"/>
  <c r="J22" i="3"/>
  <c r="I22" i="3"/>
  <c r="H22" i="3"/>
  <c r="G22" i="3"/>
  <c r="F22" i="3"/>
  <c r="E22" i="3"/>
  <c r="D22" i="3"/>
  <c r="C22" i="3"/>
  <c r="B22" i="3"/>
  <c r="A22" i="3"/>
  <c r="P21" i="3"/>
  <c r="O21" i="3"/>
  <c r="N21" i="3"/>
  <c r="M21" i="3"/>
  <c r="L21" i="3"/>
  <c r="K21" i="3"/>
  <c r="J21" i="3"/>
  <c r="I21" i="3"/>
  <c r="H21" i="3"/>
  <c r="G21" i="3"/>
  <c r="F21" i="3"/>
  <c r="E21" i="3"/>
  <c r="D21" i="3"/>
  <c r="C21" i="3"/>
  <c r="B21" i="3"/>
  <c r="A21" i="3"/>
  <c r="P20" i="3"/>
  <c r="O20" i="3"/>
  <c r="N20" i="3"/>
  <c r="M20" i="3"/>
  <c r="L20" i="3"/>
  <c r="K20" i="3"/>
  <c r="J20" i="3"/>
  <c r="I20" i="3"/>
  <c r="H20" i="3"/>
  <c r="G20" i="3"/>
  <c r="F20" i="3"/>
  <c r="E20" i="3"/>
  <c r="D20" i="3"/>
  <c r="C20" i="3"/>
  <c r="B20" i="3"/>
  <c r="A20" i="3"/>
  <c r="P19" i="3"/>
  <c r="O19" i="3"/>
  <c r="N19" i="3"/>
  <c r="M19" i="3"/>
  <c r="L19" i="3"/>
  <c r="K19" i="3"/>
  <c r="J19" i="3"/>
  <c r="I19" i="3"/>
  <c r="H19" i="3"/>
  <c r="G19" i="3"/>
  <c r="F19" i="3"/>
  <c r="E19" i="3"/>
  <c r="D19" i="3"/>
  <c r="C19" i="3"/>
  <c r="B19" i="3"/>
  <c r="A19" i="3"/>
  <c r="P18" i="3"/>
  <c r="O18" i="3"/>
  <c r="N18" i="3"/>
  <c r="M18" i="3"/>
  <c r="L18" i="3"/>
  <c r="K18" i="3"/>
  <c r="J18" i="3"/>
  <c r="I18" i="3"/>
  <c r="H18" i="3"/>
  <c r="G18" i="3"/>
  <c r="F18" i="3"/>
  <c r="E18" i="3"/>
  <c r="D18" i="3"/>
  <c r="C18" i="3"/>
  <c r="B18" i="3"/>
  <c r="A18" i="3"/>
  <c r="P17" i="3"/>
  <c r="O17" i="3"/>
  <c r="N17" i="3"/>
  <c r="M17" i="3"/>
  <c r="L17" i="3"/>
  <c r="K17" i="3"/>
  <c r="J17" i="3"/>
  <c r="I17" i="3"/>
  <c r="H17" i="3"/>
  <c r="G17" i="3"/>
  <c r="F17" i="3"/>
  <c r="E17" i="3"/>
  <c r="D17" i="3"/>
  <c r="C17" i="3"/>
  <c r="B17" i="3"/>
  <c r="A17" i="3"/>
  <c r="P16" i="3"/>
  <c r="O16" i="3"/>
  <c r="N16" i="3"/>
  <c r="M16" i="3"/>
  <c r="L16" i="3"/>
  <c r="K16" i="3"/>
  <c r="J16" i="3"/>
  <c r="I16" i="3"/>
  <c r="H16" i="3"/>
  <c r="G16" i="3"/>
  <c r="F16" i="3"/>
  <c r="E16" i="3"/>
  <c r="D16" i="3"/>
  <c r="C16" i="3"/>
  <c r="B16" i="3"/>
  <c r="A16" i="3"/>
  <c r="P15" i="3"/>
  <c r="O15" i="3"/>
  <c r="N15" i="3"/>
  <c r="M15" i="3"/>
  <c r="L15" i="3"/>
  <c r="K15" i="3"/>
  <c r="J15" i="3"/>
  <c r="I15" i="3"/>
  <c r="H15" i="3"/>
  <c r="G15" i="3"/>
  <c r="F15" i="3"/>
  <c r="E15" i="3"/>
  <c r="D15" i="3"/>
  <c r="C15" i="3"/>
  <c r="B15" i="3"/>
  <c r="A15" i="3"/>
  <c r="P14" i="3"/>
  <c r="O14" i="3"/>
  <c r="N14" i="3"/>
  <c r="M14" i="3"/>
  <c r="L14" i="3"/>
  <c r="K14" i="3"/>
  <c r="J14" i="3"/>
  <c r="I14" i="3"/>
  <c r="H14" i="3"/>
  <c r="G14" i="3"/>
  <c r="F14" i="3"/>
  <c r="E14" i="3"/>
  <c r="D14" i="3"/>
  <c r="C14" i="3"/>
  <c r="B14" i="3"/>
  <c r="A14" i="3"/>
  <c r="P13" i="3"/>
  <c r="O13" i="3"/>
  <c r="N13" i="3"/>
  <c r="M13" i="3"/>
  <c r="L13" i="3"/>
  <c r="K13" i="3"/>
  <c r="J13" i="3"/>
  <c r="I13" i="3"/>
  <c r="H13" i="3"/>
  <c r="G13" i="3"/>
  <c r="F13" i="3"/>
  <c r="E13" i="3"/>
  <c r="D13" i="3"/>
  <c r="C13" i="3"/>
  <c r="B13" i="3"/>
  <c r="A13" i="3"/>
  <c r="P12" i="3"/>
  <c r="O12" i="3"/>
  <c r="N12" i="3"/>
  <c r="M12" i="3"/>
  <c r="L12" i="3"/>
  <c r="K12" i="3"/>
  <c r="J12" i="3"/>
  <c r="I12" i="3"/>
  <c r="H12" i="3"/>
  <c r="G12" i="3"/>
  <c r="F12" i="3"/>
  <c r="E12" i="3"/>
  <c r="D12" i="3"/>
  <c r="C12" i="3"/>
  <c r="B12" i="3"/>
  <c r="A12" i="3"/>
  <c r="P11" i="3"/>
  <c r="O11" i="3"/>
  <c r="N11" i="3"/>
  <c r="M11" i="3"/>
  <c r="L11" i="3"/>
  <c r="K11" i="3"/>
  <c r="J11" i="3"/>
  <c r="I11" i="3"/>
  <c r="H11" i="3"/>
  <c r="G11" i="3"/>
  <c r="F11" i="3"/>
  <c r="E11" i="3"/>
  <c r="D11" i="3"/>
  <c r="C11" i="3"/>
  <c r="B11" i="3"/>
  <c r="A11" i="3"/>
  <c r="P10" i="3"/>
  <c r="O10" i="3"/>
  <c r="N10" i="3"/>
  <c r="M10" i="3"/>
  <c r="L10" i="3"/>
  <c r="K10" i="3"/>
  <c r="J10" i="3"/>
  <c r="I10" i="3"/>
  <c r="H10" i="3"/>
  <c r="G10" i="3"/>
  <c r="F10" i="3"/>
  <c r="E10" i="3"/>
  <c r="D10" i="3"/>
  <c r="C10" i="3"/>
  <c r="B10" i="3"/>
  <c r="A10" i="3"/>
  <c r="P9" i="3"/>
  <c r="O9" i="3"/>
  <c r="N9" i="3"/>
  <c r="M9" i="3"/>
  <c r="L9" i="3"/>
  <c r="K9" i="3"/>
  <c r="J9" i="3"/>
  <c r="I9" i="3"/>
  <c r="H9" i="3"/>
  <c r="G9" i="3"/>
  <c r="F9" i="3"/>
  <c r="E9" i="3"/>
  <c r="D9" i="3"/>
  <c r="C9" i="3"/>
  <c r="B9" i="3"/>
  <c r="A9" i="3"/>
  <c r="P8" i="3"/>
  <c r="O8" i="3"/>
  <c r="N8" i="3"/>
  <c r="M8" i="3"/>
  <c r="L8" i="3"/>
  <c r="K8" i="3"/>
  <c r="J8" i="3"/>
  <c r="I8" i="3"/>
  <c r="H8" i="3"/>
  <c r="G8" i="3"/>
  <c r="F8" i="3"/>
  <c r="E8" i="3"/>
  <c r="D8" i="3"/>
  <c r="C8" i="3"/>
  <c r="B8" i="3"/>
  <c r="A8" i="3"/>
  <c r="P7" i="3"/>
  <c r="O7" i="3"/>
  <c r="N7" i="3"/>
  <c r="M7" i="3"/>
  <c r="L7" i="3"/>
  <c r="K7" i="3"/>
  <c r="J7" i="3"/>
  <c r="I7" i="3"/>
  <c r="H7" i="3"/>
  <c r="G7" i="3"/>
  <c r="F7" i="3"/>
  <c r="E7" i="3"/>
  <c r="D7" i="3"/>
  <c r="C7" i="3"/>
  <c r="B7" i="3"/>
  <c r="A7" i="3"/>
  <c r="P6" i="3"/>
  <c r="O6" i="3"/>
  <c r="N6" i="3"/>
  <c r="M6" i="3"/>
  <c r="L6" i="3"/>
  <c r="K6" i="3"/>
  <c r="J6" i="3"/>
  <c r="I6" i="3"/>
  <c r="H6" i="3"/>
  <c r="G6" i="3"/>
  <c r="F6" i="3"/>
  <c r="E6" i="3"/>
  <c r="D6" i="3"/>
  <c r="C6" i="3"/>
  <c r="B6" i="3"/>
  <c r="A6" i="3"/>
  <c r="P5" i="3"/>
  <c r="O5" i="3"/>
  <c r="N5" i="3"/>
  <c r="M5" i="3"/>
  <c r="L5" i="3"/>
  <c r="K5" i="3"/>
  <c r="J5" i="3"/>
  <c r="I5" i="3"/>
  <c r="H5" i="3"/>
  <c r="G5" i="3"/>
  <c r="F5" i="3"/>
  <c r="E5" i="3"/>
  <c r="D5" i="3"/>
  <c r="C5" i="3"/>
  <c r="B5" i="3"/>
  <c r="A5" i="3"/>
  <c r="P4" i="3"/>
  <c r="O4" i="3"/>
  <c r="N4" i="3"/>
  <c r="M4" i="3"/>
  <c r="L4" i="3"/>
  <c r="K4" i="3"/>
  <c r="J4" i="3"/>
  <c r="I4" i="3"/>
  <c r="H4" i="3"/>
  <c r="G4" i="3"/>
  <c r="F4" i="3"/>
  <c r="E4" i="3"/>
  <c r="D4" i="3"/>
  <c r="C4" i="3"/>
  <c r="B4" i="3"/>
  <c r="A4" i="3"/>
  <c r="P3" i="3"/>
  <c r="O3" i="3"/>
  <c r="N3" i="3"/>
  <c r="M3" i="3"/>
  <c r="L3" i="3"/>
  <c r="K3" i="3"/>
  <c r="J3" i="3"/>
  <c r="I3" i="3"/>
  <c r="H3" i="3"/>
  <c r="G3" i="3"/>
  <c r="F3" i="3"/>
  <c r="E3" i="3"/>
  <c r="D3" i="3"/>
  <c r="C3" i="3"/>
  <c r="B3" i="3"/>
  <c r="A3" i="3"/>
  <c r="P2" i="3"/>
  <c r="O2" i="3"/>
  <c r="N2" i="3"/>
  <c r="M2" i="3"/>
  <c r="L2" i="3"/>
  <c r="K2" i="3"/>
  <c r="J2" i="3"/>
  <c r="I2" i="3"/>
  <c r="H2" i="3"/>
  <c r="G2" i="3"/>
  <c r="F2" i="3"/>
  <c r="E2" i="3"/>
  <c r="D2" i="3"/>
  <c r="C2" i="3"/>
  <c r="B2" i="3"/>
  <c r="A2" i="3"/>
  <c r="P1" i="3"/>
  <c r="O1" i="3"/>
  <c r="N1" i="3"/>
  <c r="M1" i="3"/>
  <c r="L1" i="3"/>
  <c r="K1" i="3"/>
  <c r="J1" i="3"/>
  <c r="I1" i="3"/>
  <c r="H1" i="3"/>
  <c r="G1" i="3"/>
  <c r="F1" i="3"/>
  <c r="E1" i="3"/>
  <c r="D1" i="3"/>
  <c r="C1" i="3"/>
  <c r="B1" i="3"/>
  <c r="A1" i="3"/>
  <c r="J192" i="2"/>
  <c r="I192" i="2"/>
  <c r="H192" i="2"/>
  <c r="G192" i="2"/>
  <c r="F192" i="2"/>
  <c r="E192" i="2"/>
  <c r="D192" i="2"/>
  <c r="C192" i="2"/>
  <c r="B192" i="2"/>
  <c r="A192" i="2"/>
  <c r="J191" i="2"/>
  <c r="I191" i="2"/>
  <c r="H191" i="2"/>
  <c r="G191" i="2"/>
  <c r="F191" i="2"/>
  <c r="E191" i="2"/>
  <c r="D191" i="2"/>
  <c r="C191" i="2"/>
  <c r="B191" i="2"/>
  <c r="A191" i="2"/>
  <c r="J190" i="2"/>
  <c r="I190" i="2"/>
  <c r="H190" i="2"/>
  <c r="G190" i="2"/>
  <c r="F190" i="2"/>
  <c r="E190" i="2"/>
  <c r="D190" i="2"/>
  <c r="C190" i="2"/>
  <c r="B190" i="2"/>
  <c r="A190" i="2"/>
  <c r="J189" i="2"/>
  <c r="I189" i="2"/>
  <c r="H189" i="2"/>
  <c r="G189" i="2"/>
  <c r="F189" i="2"/>
  <c r="E189" i="2"/>
  <c r="D189" i="2"/>
  <c r="C189" i="2"/>
  <c r="B189" i="2"/>
  <c r="A189" i="2"/>
  <c r="J188" i="2"/>
  <c r="I188" i="2"/>
  <c r="H188" i="2"/>
  <c r="G188" i="2"/>
  <c r="F188" i="2"/>
  <c r="E188" i="2"/>
  <c r="D188" i="2"/>
  <c r="C188" i="2"/>
  <c r="B188" i="2"/>
  <c r="A188" i="2"/>
  <c r="J187" i="2"/>
  <c r="I187" i="2"/>
  <c r="H187" i="2"/>
  <c r="G187" i="2"/>
  <c r="F187" i="2"/>
  <c r="E187" i="2"/>
  <c r="D187" i="2"/>
  <c r="C187" i="2"/>
  <c r="B187" i="2"/>
  <c r="A187" i="2"/>
  <c r="J186" i="2"/>
  <c r="I186" i="2"/>
  <c r="H186" i="2"/>
  <c r="G186" i="2"/>
  <c r="F186" i="2"/>
  <c r="E186" i="2"/>
  <c r="D186" i="2"/>
  <c r="C186" i="2"/>
  <c r="B186" i="2"/>
  <c r="A186" i="2"/>
  <c r="J185" i="2"/>
  <c r="I185" i="2"/>
  <c r="H185" i="2"/>
  <c r="G185" i="2"/>
  <c r="F185" i="2"/>
  <c r="E185" i="2"/>
  <c r="D185" i="2"/>
  <c r="C185" i="2"/>
  <c r="B185" i="2"/>
  <c r="A185" i="2"/>
  <c r="J184" i="2"/>
  <c r="I184" i="2"/>
  <c r="H184" i="2"/>
  <c r="G184" i="2"/>
  <c r="F184" i="2"/>
  <c r="E184" i="2"/>
  <c r="D184" i="2"/>
  <c r="C184" i="2"/>
  <c r="B184" i="2"/>
  <c r="A184" i="2"/>
  <c r="J183" i="2"/>
  <c r="I183" i="2"/>
  <c r="H183" i="2"/>
  <c r="N183" i="2" s="1"/>
  <c r="G183" i="2"/>
  <c r="F183" i="2"/>
  <c r="E183" i="2"/>
  <c r="D183" i="2"/>
  <c r="C183" i="2"/>
  <c r="B183" i="2"/>
  <c r="A183" i="2"/>
  <c r="J182" i="2"/>
  <c r="I182" i="2"/>
  <c r="H182" i="2"/>
  <c r="G182" i="2"/>
  <c r="F182" i="2"/>
  <c r="E182" i="2"/>
  <c r="D182" i="2"/>
  <c r="C182" i="2"/>
  <c r="B182" i="2"/>
  <c r="A182" i="2"/>
  <c r="J181" i="2"/>
  <c r="I181" i="2"/>
  <c r="H181" i="2"/>
  <c r="G181" i="2"/>
  <c r="F181" i="2"/>
  <c r="E181" i="2"/>
  <c r="D181" i="2"/>
  <c r="C181" i="2"/>
  <c r="B181" i="2"/>
  <c r="A181" i="2"/>
  <c r="J180" i="2"/>
  <c r="I180" i="2"/>
  <c r="H180" i="2"/>
  <c r="G180" i="2"/>
  <c r="F180" i="2"/>
  <c r="E180" i="2"/>
  <c r="D180" i="2"/>
  <c r="C180" i="2"/>
  <c r="B180" i="2"/>
  <c r="A180" i="2"/>
  <c r="J179" i="2"/>
  <c r="I179" i="2"/>
  <c r="H179" i="2"/>
  <c r="G179" i="2"/>
  <c r="F179" i="2"/>
  <c r="E179" i="2"/>
  <c r="D179" i="2"/>
  <c r="C179" i="2"/>
  <c r="B179" i="2"/>
  <c r="A179" i="2"/>
  <c r="J178" i="2"/>
  <c r="I178" i="2"/>
  <c r="H178" i="2"/>
  <c r="G178" i="2"/>
  <c r="F178" i="2"/>
  <c r="E178" i="2"/>
  <c r="D178" i="2"/>
  <c r="C178" i="2"/>
  <c r="B178" i="2"/>
  <c r="A178" i="2"/>
  <c r="J177" i="2"/>
  <c r="I177" i="2"/>
  <c r="H177" i="2"/>
  <c r="N177" i="2" s="1"/>
  <c r="G177" i="2"/>
  <c r="F177" i="2"/>
  <c r="E177" i="2"/>
  <c r="D177" i="2"/>
  <c r="C177" i="2"/>
  <c r="B177" i="2"/>
  <c r="A177" i="2"/>
  <c r="J176" i="2"/>
  <c r="I176" i="2"/>
  <c r="H176" i="2"/>
  <c r="G176" i="2"/>
  <c r="F176" i="2"/>
  <c r="E176" i="2"/>
  <c r="D176" i="2"/>
  <c r="C176" i="2"/>
  <c r="B176" i="2"/>
  <c r="A176" i="2"/>
  <c r="J175" i="2"/>
  <c r="I175" i="2"/>
  <c r="H175" i="2"/>
  <c r="G175" i="2"/>
  <c r="F175" i="2"/>
  <c r="E175" i="2"/>
  <c r="D175" i="2"/>
  <c r="C175" i="2"/>
  <c r="B175" i="2"/>
  <c r="A175" i="2"/>
  <c r="J174" i="2"/>
  <c r="I174" i="2"/>
  <c r="H174" i="2"/>
  <c r="G174" i="2"/>
  <c r="F174" i="2"/>
  <c r="E174" i="2"/>
  <c r="D174" i="2"/>
  <c r="C174" i="2"/>
  <c r="B174" i="2"/>
  <c r="A174" i="2"/>
  <c r="J173" i="2"/>
  <c r="I173" i="2"/>
  <c r="H173" i="2"/>
  <c r="G173" i="2"/>
  <c r="F173" i="2"/>
  <c r="E173" i="2"/>
  <c r="D173" i="2"/>
  <c r="C173" i="2"/>
  <c r="B173" i="2"/>
  <c r="A173" i="2"/>
  <c r="J172" i="2"/>
  <c r="I172" i="2"/>
  <c r="H172" i="2"/>
  <c r="G172" i="2"/>
  <c r="F172" i="2"/>
  <c r="E172" i="2"/>
  <c r="D172" i="2"/>
  <c r="C172" i="2"/>
  <c r="B172" i="2"/>
  <c r="A172" i="2"/>
  <c r="J171" i="2"/>
  <c r="I171" i="2"/>
  <c r="H171" i="2"/>
  <c r="G171" i="2"/>
  <c r="F171" i="2"/>
  <c r="E171" i="2"/>
  <c r="D171" i="2"/>
  <c r="C171" i="2"/>
  <c r="B171" i="2"/>
  <c r="A171" i="2"/>
  <c r="J170" i="2"/>
  <c r="I170" i="2"/>
  <c r="H170" i="2"/>
  <c r="G170" i="2"/>
  <c r="F170" i="2"/>
  <c r="M170" i="2" s="1"/>
  <c r="E170" i="2"/>
  <c r="D170" i="2"/>
  <c r="C170" i="2"/>
  <c r="B170" i="2"/>
  <c r="A170" i="2"/>
  <c r="J169" i="2"/>
  <c r="I169" i="2"/>
  <c r="H169" i="2"/>
  <c r="G169" i="2"/>
  <c r="F169" i="2"/>
  <c r="E169" i="2"/>
  <c r="D169" i="2"/>
  <c r="C169" i="2"/>
  <c r="B169" i="2"/>
  <c r="A169" i="2"/>
  <c r="J168" i="2"/>
  <c r="I168" i="2"/>
  <c r="H168" i="2"/>
  <c r="G168" i="2"/>
  <c r="F168" i="2"/>
  <c r="E168" i="2"/>
  <c r="D168" i="2"/>
  <c r="C168" i="2"/>
  <c r="B168" i="2"/>
  <c r="A168" i="2"/>
  <c r="J167" i="2"/>
  <c r="I167" i="2"/>
  <c r="H167" i="2"/>
  <c r="G167" i="2"/>
  <c r="F167" i="2"/>
  <c r="E167" i="2"/>
  <c r="D167" i="2"/>
  <c r="C167" i="2"/>
  <c r="B167" i="2"/>
  <c r="A167" i="2"/>
  <c r="J166" i="2"/>
  <c r="I166" i="2"/>
  <c r="H166" i="2"/>
  <c r="G166" i="2"/>
  <c r="F166" i="2"/>
  <c r="E166" i="2"/>
  <c r="D166" i="2"/>
  <c r="C166" i="2"/>
  <c r="B166" i="2"/>
  <c r="A166" i="2"/>
  <c r="J165" i="2"/>
  <c r="I165" i="2"/>
  <c r="H165" i="2"/>
  <c r="G165" i="2"/>
  <c r="F165" i="2"/>
  <c r="E165" i="2"/>
  <c r="D165" i="2"/>
  <c r="C165" i="2"/>
  <c r="B165" i="2"/>
  <c r="A165" i="2"/>
  <c r="J164" i="2"/>
  <c r="I164" i="2"/>
  <c r="H164" i="2"/>
  <c r="G164" i="2"/>
  <c r="F164" i="2"/>
  <c r="E164" i="2"/>
  <c r="D164" i="2"/>
  <c r="C164" i="2"/>
  <c r="B164" i="2"/>
  <c r="A164" i="2"/>
  <c r="J163" i="2"/>
  <c r="I163" i="2"/>
  <c r="H163" i="2"/>
  <c r="G163" i="2"/>
  <c r="F163" i="2"/>
  <c r="E163" i="2"/>
  <c r="D163" i="2"/>
  <c r="C163" i="2"/>
  <c r="B163" i="2"/>
  <c r="A163" i="2"/>
  <c r="J162" i="2"/>
  <c r="I162" i="2"/>
  <c r="H162" i="2"/>
  <c r="G162" i="2"/>
  <c r="F162" i="2"/>
  <c r="E162" i="2"/>
  <c r="D162" i="2"/>
  <c r="C162" i="2"/>
  <c r="B162" i="2"/>
  <c r="A162" i="2"/>
  <c r="J161" i="2"/>
  <c r="I161" i="2"/>
  <c r="H161" i="2"/>
  <c r="G161" i="2"/>
  <c r="F161" i="2"/>
  <c r="E161" i="2"/>
  <c r="D161" i="2"/>
  <c r="C161" i="2"/>
  <c r="B161" i="2"/>
  <c r="A161" i="2"/>
  <c r="J160" i="2"/>
  <c r="I160" i="2"/>
  <c r="H160" i="2"/>
  <c r="G160" i="2"/>
  <c r="F160" i="2"/>
  <c r="E160" i="2"/>
  <c r="D160" i="2"/>
  <c r="C160" i="2"/>
  <c r="B160" i="2"/>
  <c r="A160" i="2"/>
  <c r="J159" i="2"/>
  <c r="I159" i="2"/>
  <c r="H159" i="2"/>
  <c r="N159" i="2" s="1"/>
  <c r="G159" i="2"/>
  <c r="F159" i="2"/>
  <c r="E159" i="2"/>
  <c r="D159" i="2"/>
  <c r="C159" i="2"/>
  <c r="B159" i="2"/>
  <c r="A159" i="2"/>
  <c r="J158" i="2"/>
  <c r="I158" i="2"/>
  <c r="H158" i="2"/>
  <c r="G158" i="2"/>
  <c r="F158" i="2"/>
  <c r="E158" i="2"/>
  <c r="D158" i="2"/>
  <c r="C158" i="2"/>
  <c r="B158" i="2"/>
  <c r="A158" i="2"/>
  <c r="J157" i="2"/>
  <c r="I157" i="2"/>
  <c r="H157" i="2"/>
  <c r="G157" i="2"/>
  <c r="F157" i="2"/>
  <c r="E157" i="2"/>
  <c r="D157" i="2"/>
  <c r="C157" i="2"/>
  <c r="B157" i="2"/>
  <c r="A157" i="2"/>
  <c r="J156" i="2"/>
  <c r="I156" i="2"/>
  <c r="H156" i="2"/>
  <c r="G156" i="2"/>
  <c r="F156" i="2"/>
  <c r="E156" i="2"/>
  <c r="D156" i="2"/>
  <c r="C156" i="2"/>
  <c r="B156" i="2"/>
  <c r="A156" i="2"/>
  <c r="J155" i="2"/>
  <c r="I155" i="2"/>
  <c r="H155" i="2"/>
  <c r="G155" i="2"/>
  <c r="F155" i="2"/>
  <c r="E155" i="2"/>
  <c r="D155" i="2"/>
  <c r="C155" i="2"/>
  <c r="B155" i="2"/>
  <c r="A155" i="2"/>
  <c r="J154" i="2"/>
  <c r="I154" i="2"/>
  <c r="H154" i="2"/>
  <c r="G154" i="2"/>
  <c r="F154" i="2"/>
  <c r="E154" i="2"/>
  <c r="D154" i="2"/>
  <c r="C154" i="2"/>
  <c r="B154" i="2"/>
  <c r="A154" i="2"/>
  <c r="J153" i="2"/>
  <c r="I153" i="2"/>
  <c r="H153" i="2"/>
  <c r="N153" i="2" s="1"/>
  <c r="G153" i="2"/>
  <c r="F153" i="2"/>
  <c r="E153" i="2"/>
  <c r="D153" i="2"/>
  <c r="C153" i="2"/>
  <c r="B153" i="2"/>
  <c r="A153" i="2"/>
  <c r="J152" i="2"/>
  <c r="I152" i="2"/>
  <c r="H152" i="2"/>
  <c r="G152" i="2"/>
  <c r="F152" i="2"/>
  <c r="E152" i="2"/>
  <c r="D152" i="2"/>
  <c r="C152" i="2"/>
  <c r="B152" i="2"/>
  <c r="A152" i="2"/>
  <c r="J151" i="2"/>
  <c r="I151" i="2"/>
  <c r="H151" i="2"/>
  <c r="G151" i="2"/>
  <c r="F151" i="2"/>
  <c r="E151" i="2"/>
  <c r="D151" i="2"/>
  <c r="C151" i="2"/>
  <c r="B151" i="2"/>
  <c r="A151" i="2"/>
  <c r="J150" i="2"/>
  <c r="I150" i="2"/>
  <c r="H150" i="2"/>
  <c r="G150" i="2"/>
  <c r="F150" i="2"/>
  <c r="E150" i="2"/>
  <c r="D150" i="2"/>
  <c r="C150" i="2"/>
  <c r="B150" i="2"/>
  <c r="A150" i="2"/>
  <c r="J149" i="2"/>
  <c r="I149" i="2"/>
  <c r="H149" i="2"/>
  <c r="G149" i="2"/>
  <c r="F149" i="2"/>
  <c r="E149" i="2"/>
  <c r="D149" i="2"/>
  <c r="C149" i="2"/>
  <c r="B149" i="2"/>
  <c r="A149" i="2"/>
  <c r="J148" i="2"/>
  <c r="I148" i="2"/>
  <c r="H148" i="2"/>
  <c r="G148" i="2"/>
  <c r="F148" i="2"/>
  <c r="E148" i="2"/>
  <c r="D148" i="2"/>
  <c r="C148" i="2"/>
  <c r="B148" i="2"/>
  <c r="A148" i="2"/>
  <c r="J147" i="2"/>
  <c r="I147" i="2"/>
  <c r="H147" i="2"/>
  <c r="N147" i="2" s="1"/>
  <c r="G147" i="2"/>
  <c r="F147" i="2"/>
  <c r="E147" i="2"/>
  <c r="D147" i="2"/>
  <c r="C147" i="2"/>
  <c r="B147" i="2"/>
  <c r="A147" i="2"/>
  <c r="J146" i="2"/>
  <c r="I146" i="2"/>
  <c r="H146" i="2"/>
  <c r="N146" i="2" s="1"/>
  <c r="G146" i="2"/>
  <c r="F146" i="2"/>
  <c r="E146" i="2"/>
  <c r="D146" i="2"/>
  <c r="C146" i="2"/>
  <c r="B146" i="2"/>
  <c r="A146" i="2"/>
  <c r="J145" i="2"/>
  <c r="I145" i="2"/>
  <c r="H145" i="2"/>
  <c r="G145" i="2"/>
  <c r="F145" i="2"/>
  <c r="E145" i="2"/>
  <c r="D145" i="2"/>
  <c r="C145" i="2"/>
  <c r="B145" i="2"/>
  <c r="A145" i="2"/>
  <c r="J144" i="2"/>
  <c r="I144" i="2"/>
  <c r="H144" i="2"/>
  <c r="G144" i="2"/>
  <c r="F144" i="2"/>
  <c r="E144" i="2"/>
  <c r="D144" i="2"/>
  <c r="C144" i="2"/>
  <c r="B144" i="2"/>
  <c r="A144" i="2"/>
  <c r="J143" i="2"/>
  <c r="I143" i="2"/>
  <c r="H143" i="2"/>
  <c r="G143" i="2"/>
  <c r="F143" i="2"/>
  <c r="E143" i="2"/>
  <c r="D143" i="2"/>
  <c r="C143" i="2"/>
  <c r="B143" i="2"/>
  <c r="A143" i="2"/>
  <c r="J142" i="2"/>
  <c r="I142" i="2"/>
  <c r="H142" i="2"/>
  <c r="G142" i="2"/>
  <c r="F142" i="2"/>
  <c r="E142" i="2"/>
  <c r="D142" i="2"/>
  <c r="C142" i="2"/>
  <c r="B142" i="2"/>
  <c r="A142" i="2"/>
  <c r="J141" i="2"/>
  <c r="I141" i="2"/>
  <c r="H141" i="2"/>
  <c r="G141" i="2"/>
  <c r="F141" i="2"/>
  <c r="E141" i="2"/>
  <c r="D141" i="2"/>
  <c r="C141" i="2"/>
  <c r="B141" i="2"/>
  <c r="A141" i="2"/>
  <c r="J140" i="2"/>
  <c r="I140" i="2"/>
  <c r="H140" i="2"/>
  <c r="G140" i="2"/>
  <c r="F140" i="2"/>
  <c r="E140" i="2"/>
  <c r="D140" i="2"/>
  <c r="C140" i="2"/>
  <c r="B140" i="2"/>
  <c r="A140" i="2"/>
  <c r="J139" i="2"/>
  <c r="I139" i="2"/>
  <c r="H139" i="2"/>
  <c r="G139" i="2"/>
  <c r="F139" i="2"/>
  <c r="E139" i="2"/>
  <c r="D139" i="2"/>
  <c r="C139" i="2"/>
  <c r="B139" i="2"/>
  <c r="A139" i="2"/>
  <c r="J138" i="2"/>
  <c r="I138" i="2"/>
  <c r="H138" i="2"/>
  <c r="G138" i="2"/>
  <c r="F138" i="2"/>
  <c r="E138" i="2"/>
  <c r="D138" i="2"/>
  <c r="C138" i="2"/>
  <c r="B138" i="2"/>
  <c r="A138" i="2"/>
  <c r="J137" i="2"/>
  <c r="I137" i="2"/>
  <c r="H137" i="2"/>
  <c r="G137" i="2"/>
  <c r="F137" i="2"/>
  <c r="E137" i="2"/>
  <c r="D137" i="2"/>
  <c r="C137" i="2"/>
  <c r="B137" i="2"/>
  <c r="A137" i="2"/>
  <c r="J136" i="2"/>
  <c r="I136" i="2"/>
  <c r="H136" i="2"/>
  <c r="G136" i="2"/>
  <c r="F136" i="2"/>
  <c r="E136" i="2"/>
  <c r="D136" i="2"/>
  <c r="C136" i="2"/>
  <c r="B136" i="2"/>
  <c r="A136" i="2"/>
  <c r="J135" i="2"/>
  <c r="I135" i="2"/>
  <c r="H135" i="2"/>
  <c r="G135" i="2"/>
  <c r="F135" i="2"/>
  <c r="E135" i="2"/>
  <c r="D135" i="2"/>
  <c r="C135" i="2"/>
  <c r="B135" i="2"/>
  <c r="A135" i="2"/>
  <c r="J134" i="2"/>
  <c r="I134" i="2"/>
  <c r="H134" i="2"/>
  <c r="N134" i="2" s="1"/>
  <c r="G134" i="2"/>
  <c r="F134" i="2"/>
  <c r="E134" i="2"/>
  <c r="D134" i="2"/>
  <c r="C134" i="2"/>
  <c r="B134" i="2"/>
  <c r="A134" i="2"/>
  <c r="J133" i="2"/>
  <c r="I133" i="2"/>
  <c r="H133" i="2"/>
  <c r="G133" i="2"/>
  <c r="F133" i="2"/>
  <c r="E133" i="2"/>
  <c r="D133" i="2"/>
  <c r="C133" i="2"/>
  <c r="B133" i="2"/>
  <c r="A133" i="2"/>
  <c r="J132" i="2"/>
  <c r="I132" i="2"/>
  <c r="H132" i="2"/>
  <c r="G132" i="2"/>
  <c r="F132" i="2"/>
  <c r="E132" i="2"/>
  <c r="D132" i="2"/>
  <c r="C132" i="2"/>
  <c r="B132" i="2"/>
  <c r="A132" i="2"/>
  <c r="J131" i="2"/>
  <c r="I131" i="2"/>
  <c r="H131" i="2"/>
  <c r="G131" i="2"/>
  <c r="F131" i="2"/>
  <c r="E131" i="2"/>
  <c r="D131" i="2"/>
  <c r="C131" i="2"/>
  <c r="B131" i="2"/>
  <c r="A131" i="2"/>
  <c r="J130" i="2"/>
  <c r="I130" i="2"/>
  <c r="H130" i="2"/>
  <c r="G130" i="2"/>
  <c r="F130" i="2"/>
  <c r="E130" i="2"/>
  <c r="D130" i="2"/>
  <c r="C130" i="2"/>
  <c r="B130" i="2"/>
  <c r="A130" i="2"/>
  <c r="J129" i="2"/>
  <c r="I129" i="2"/>
  <c r="H129" i="2"/>
  <c r="N129" i="2" s="1"/>
  <c r="G129" i="2"/>
  <c r="F129" i="2"/>
  <c r="E129" i="2"/>
  <c r="D129" i="2"/>
  <c r="C129" i="2"/>
  <c r="B129" i="2"/>
  <c r="A129" i="2"/>
  <c r="J128" i="2"/>
  <c r="I128" i="2"/>
  <c r="H128" i="2"/>
  <c r="N128" i="2" s="1"/>
  <c r="G128" i="2"/>
  <c r="F128" i="2"/>
  <c r="E128" i="2"/>
  <c r="D128" i="2"/>
  <c r="C128" i="2"/>
  <c r="B128" i="2"/>
  <c r="A128" i="2"/>
  <c r="J127" i="2"/>
  <c r="I127" i="2"/>
  <c r="H127" i="2"/>
  <c r="G127" i="2"/>
  <c r="F127" i="2"/>
  <c r="E127" i="2"/>
  <c r="D127" i="2"/>
  <c r="C127" i="2"/>
  <c r="B127" i="2"/>
  <c r="A127" i="2"/>
  <c r="J126" i="2"/>
  <c r="I126" i="2"/>
  <c r="H126" i="2"/>
  <c r="G126" i="2"/>
  <c r="F126" i="2"/>
  <c r="E126" i="2"/>
  <c r="D126" i="2"/>
  <c r="C126" i="2"/>
  <c r="B126" i="2"/>
  <c r="A126" i="2"/>
  <c r="J125" i="2"/>
  <c r="I125" i="2"/>
  <c r="H125" i="2"/>
  <c r="G125" i="2"/>
  <c r="F125" i="2"/>
  <c r="E125" i="2"/>
  <c r="D125" i="2"/>
  <c r="C125" i="2"/>
  <c r="B125" i="2"/>
  <c r="A125" i="2"/>
  <c r="J124" i="2"/>
  <c r="I124" i="2"/>
  <c r="H124" i="2"/>
  <c r="G124" i="2"/>
  <c r="F124" i="2"/>
  <c r="E124" i="2"/>
  <c r="D124" i="2"/>
  <c r="C124" i="2"/>
  <c r="B124" i="2"/>
  <c r="A124" i="2"/>
  <c r="J123" i="2"/>
  <c r="I123" i="2"/>
  <c r="H123" i="2"/>
  <c r="G123" i="2"/>
  <c r="F123" i="2"/>
  <c r="E123" i="2"/>
  <c r="D123" i="2"/>
  <c r="C123" i="2"/>
  <c r="B123" i="2"/>
  <c r="A123" i="2"/>
  <c r="J122" i="2"/>
  <c r="I122" i="2"/>
  <c r="H122" i="2"/>
  <c r="G122" i="2"/>
  <c r="F122" i="2"/>
  <c r="E122" i="2"/>
  <c r="D122" i="2"/>
  <c r="C122" i="2"/>
  <c r="B122" i="2"/>
  <c r="A122" i="2"/>
  <c r="J121" i="2"/>
  <c r="I121" i="2"/>
  <c r="H121" i="2"/>
  <c r="G121" i="2"/>
  <c r="F121" i="2"/>
  <c r="E121" i="2"/>
  <c r="D121" i="2"/>
  <c r="C121" i="2"/>
  <c r="B121" i="2"/>
  <c r="A121" i="2"/>
  <c r="J120" i="2"/>
  <c r="I120" i="2"/>
  <c r="H120" i="2"/>
  <c r="G120" i="2"/>
  <c r="F120" i="2"/>
  <c r="E120" i="2"/>
  <c r="D120" i="2"/>
  <c r="C120" i="2"/>
  <c r="B120" i="2"/>
  <c r="A120" i="2"/>
  <c r="J119" i="2"/>
  <c r="I119" i="2"/>
  <c r="H119" i="2"/>
  <c r="G119" i="2"/>
  <c r="F119" i="2"/>
  <c r="E119" i="2"/>
  <c r="D119" i="2"/>
  <c r="C119" i="2"/>
  <c r="B119" i="2"/>
  <c r="A119" i="2"/>
  <c r="J118" i="2"/>
  <c r="I118" i="2"/>
  <c r="H118" i="2"/>
  <c r="G118" i="2"/>
  <c r="F118" i="2"/>
  <c r="E118" i="2"/>
  <c r="D118" i="2"/>
  <c r="C118" i="2"/>
  <c r="B118" i="2"/>
  <c r="A118" i="2"/>
  <c r="J117" i="2"/>
  <c r="I117" i="2"/>
  <c r="H117" i="2"/>
  <c r="N117" i="2" s="1"/>
  <c r="G117" i="2"/>
  <c r="F117" i="2"/>
  <c r="E117" i="2"/>
  <c r="D117" i="2"/>
  <c r="C117" i="2"/>
  <c r="B117" i="2"/>
  <c r="A117" i="2"/>
  <c r="J116" i="2"/>
  <c r="I116" i="2"/>
  <c r="H116" i="2"/>
  <c r="N116" i="2" s="1"/>
  <c r="G116" i="2"/>
  <c r="F116" i="2"/>
  <c r="E116" i="2"/>
  <c r="D116" i="2"/>
  <c r="C116" i="2"/>
  <c r="B116" i="2"/>
  <c r="A116" i="2"/>
  <c r="J115" i="2"/>
  <c r="I115" i="2"/>
  <c r="H115" i="2"/>
  <c r="G115" i="2"/>
  <c r="F115" i="2"/>
  <c r="E115" i="2"/>
  <c r="D115" i="2"/>
  <c r="C115" i="2"/>
  <c r="B115" i="2"/>
  <c r="A115" i="2"/>
  <c r="J114" i="2"/>
  <c r="I114" i="2"/>
  <c r="H114" i="2"/>
  <c r="G114" i="2"/>
  <c r="F114" i="2"/>
  <c r="E114" i="2"/>
  <c r="D114" i="2"/>
  <c r="C114" i="2"/>
  <c r="B114" i="2"/>
  <c r="A114" i="2"/>
  <c r="J113" i="2"/>
  <c r="I113" i="2"/>
  <c r="H113" i="2"/>
  <c r="G113" i="2"/>
  <c r="F113" i="2"/>
  <c r="E113" i="2"/>
  <c r="D113" i="2"/>
  <c r="C113" i="2"/>
  <c r="B113" i="2"/>
  <c r="A113" i="2"/>
  <c r="J112" i="2"/>
  <c r="I112" i="2"/>
  <c r="H112" i="2"/>
  <c r="G112" i="2"/>
  <c r="F112" i="2"/>
  <c r="E112" i="2"/>
  <c r="D112" i="2"/>
  <c r="C112" i="2"/>
  <c r="B112" i="2"/>
  <c r="A112" i="2"/>
  <c r="J111" i="2"/>
  <c r="I111" i="2"/>
  <c r="H111" i="2"/>
  <c r="N111" i="2" s="1"/>
  <c r="G111" i="2"/>
  <c r="F111" i="2"/>
  <c r="E111" i="2"/>
  <c r="D111" i="2"/>
  <c r="C111" i="2"/>
  <c r="B111" i="2"/>
  <c r="A111" i="2"/>
  <c r="J110" i="2"/>
  <c r="I110" i="2"/>
  <c r="H110" i="2"/>
  <c r="N110" i="2" s="1"/>
  <c r="G110" i="2"/>
  <c r="F110" i="2"/>
  <c r="E110" i="2"/>
  <c r="D110" i="2"/>
  <c r="C110" i="2"/>
  <c r="B110" i="2"/>
  <c r="A110" i="2"/>
  <c r="J109" i="2"/>
  <c r="I109" i="2"/>
  <c r="H109" i="2"/>
  <c r="G109" i="2"/>
  <c r="F109" i="2"/>
  <c r="E109" i="2"/>
  <c r="D109" i="2"/>
  <c r="C109" i="2"/>
  <c r="B109" i="2"/>
  <c r="A109" i="2"/>
  <c r="J108" i="2"/>
  <c r="I108" i="2"/>
  <c r="H108" i="2"/>
  <c r="G108" i="2"/>
  <c r="F108" i="2"/>
  <c r="E108" i="2"/>
  <c r="D108" i="2"/>
  <c r="C108" i="2"/>
  <c r="B108" i="2"/>
  <c r="A108" i="2"/>
  <c r="J107" i="2"/>
  <c r="I107" i="2"/>
  <c r="H107" i="2"/>
  <c r="G107" i="2"/>
  <c r="F107" i="2"/>
  <c r="E107" i="2"/>
  <c r="D107" i="2"/>
  <c r="C107" i="2"/>
  <c r="B107" i="2"/>
  <c r="A107" i="2"/>
  <c r="J106" i="2"/>
  <c r="I106" i="2"/>
  <c r="H106" i="2"/>
  <c r="G106" i="2"/>
  <c r="F106" i="2"/>
  <c r="E106" i="2"/>
  <c r="D106" i="2"/>
  <c r="C106" i="2"/>
  <c r="B106" i="2"/>
  <c r="A106" i="2"/>
  <c r="J105" i="2"/>
  <c r="I105" i="2"/>
  <c r="H105" i="2"/>
  <c r="G105" i="2"/>
  <c r="F105" i="2"/>
  <c r="E105" i="2"/>
  <c r="D105" i="2"/>
  <c r="C105" i="2"/>
  <c r="B105" i="2"/>
  <c r="A105" i="2"/>
  <c r="J104" i="2"/>
  <c r="I104" i="2"/>
  <c r="H104" i="2"/>
  <c r="G104" i="2"/>
  <c r="F104" i="2"/>
  <c r="E104" i="2"/>
  <c r="D104" i="2"/>
  <c r="C104" i="2"/>
  <c r="B104" i="2"/>
  <c r="A104" i="2"/>
  <c r="J103" i="2"/>
  <c r="I103" i="2"/>
  <c r="H103" i="2"/>
  <c r="G103" i="2"/>
  <c r="F103" i="2"/>
  <c r="E103" i="2"/>
  <c r="D103" i="2"/>
  <c r="C103" i="2"/>
  <c r="B103" i="2"/>
  <c r="A103" i="2"/>
  <c r="J102" i="2"/>
  <c r="I102" i="2"/>
  <c r="H102" i="2"/>
  <c r="G102" i="2"/>
  <c r="F102" i="2"/>
  <c r="E102" i="2"/>
  <c r="D102" i="2"/>
  <c r="C102" i="2"/>
  <c r="B102" i="2"/>
  <c r="A102" i="2"/>
  <c r="J101" i="2"/>
  <c r="I101" i="2"/>
  <c r="H101" i="2"/>
  <c r="G101" i="2"/>
  <c r="F101" i="2"/>
  <c r="E101" i="2"/>
  <c r="D101" i="2"/>
  <c r="C101" i="2"/>
  <c r="B101" i="2"/>
  <c r="A101" i="2"/>
  <c r="J100" i="2"/>
  <c r="I100" i="2"/>
  <c r="H100" i="2"/>
  <c r="G100" i="2"/>
  <c r="F100" i="2"/>
  <c r="E100" i="2"/>
  <c r="D100" i="2"/>
  <c r="C100" i="2"/>
  <c r="B100" i="2"/>
  <c r="A100" i="2"/>
  <c r="J99" i="2"/>
  <c r="I99" i="2"/>
  <c r="H99" i="2"/>
  <c r="N99" i="2" s="1"/>
  <c r="G99" i="2"/>
  <c r="F99" i="2"/>
  <c r="E99" i="2"/>
  <c r="D99" i="2"/>
  <c r="C99" i="2"/>
  <c r="B99" i="2"/>
  <c r="A99" i="2"/>
  <c r="J98" i="2"/>
  <c r="I98" i="2"/>
  <c r="H98" i="2"/>
  <c r="N98" i="2" s="1"/>
  <c r="G98" i="2"/>
  <c r="F98" i="2"/>
  <c r="E98" i="2"/>
  <c r="D98" i="2"/>
  <c r="C98" i="2"/>
  <c r="B98" i="2"/>
  <c r="A98" i="2"/>
  <c r="J97" i="2"/>
  <c r="I97" i="2"/>
  <c r="H97" i="2"/>
  <c r="G97" i="2"/>
  <c r="F97" i="2"/>
  <c r="E97" i="2"/>
  <c r="D97" i="2"/>
  <c r="C97" i="2"/>
  <c r="B97" i="2"/>
  <c r="A97" i="2"/>
  <c r="J96" i="2"/>
  <c r="I96" i="2"/>
  <c r="H96" i="2"/>
  <c r="G96" i="2"/>
  <c r="F96" i="2"/>
  <c r="E96" i="2"/>
  <c r="D96" i="2"/>
  <c r="C96" i="2"/>
  <c r="B96" i="2"/>
  <c r="A96" i="2"/>
  <c r="J95" i="2"/>
  <c r="I95" i="2"/>
  <c r="H95" i="2"/>
  <c r="G95" i="2"/>
  <c r="F95" i="2"/>
  <c r="E95" i="2"/>
  <c r="D95" i="2"/>
  <c r="C95" i="2"/>
  <c r="B95" i="2"/>
  <c r="A95" i="2"/>
  <c r="J94" i="2"/>
  <c r="I94" i="2"/>
  <c r="H94" i="2"/>
  <c r="G94" i="2"/>
  <c r="F94" i="2"/>
  <c r="E94" i="2"/>
  <c r="D94" i="2"/>
  <c r="C94" i="2"/>
  <c r="B94" i="2"/>
  <c r="A94" i="2"/>
  <c r="J93" i="2"/>
  <c r="I93" i="2"/>
  <c r="H93" i="2"/>
  <c r="G93" i="2"/>
  <c r="F93" i="2"/>
  <c r="E93" i="2"/>
  <c r="D93" i="2"/>
  <c r="C93" i="2"/>
  <c r="B93" i="2"/>
  <c r="A93" i="2"/>
  <c r="J92" i="2"/>
  <c r="I92" i="2"/>
  <c r="H92" i="2"/>
  <c r="G92" i="2"/>
  <c r="F92" i="2"/>
  <c r="E92" i="2"/>
  <c r="D92" i="2"/>
  <c r="C92" i="2"/>
  <c r="B92" i="2"/>
  <c r="A92" i="2"/>
  <c r="J91" i="2"/>
  <c r="I91" i="2"/>
  <c r="H91" i="2"/>
  <c r="G91" i="2"/>
  <c r="F91" i="2"/>
  <c r="E91" i="2"/>
  <c r="D91" i="2"/>
  <c r="C91" i="2"/>
  <c r="B91" i="2"/>
  <c r="A91" i="2"/>
  <c r="J90" i="2"/>
  <c r="I90" i="2"/>
  <c r="H90" i="2"/>
  <c r="G90" i="2"/>
  <c r="F90" i="2"/>
  <c r="E90" i="2"/>
  <c r="D90" i="2"/>
  <c r="C90" i="2"/>
  <c r="B90" i="2"/>
  <c r="A90" i="2"/>
  <c r="J89" i="2"/>
  <c r="I89" i="2"/>
  <c r="H89" i="2"/>
  <c r="G89" i="2"/>
  <c r="F89" i="2"/>
  <c r="E89" i="2"/>
  <c r="D89" i="2"/>
  <c r="C89" i="2"/>
  <c r="B89" i="2"/>
  <c r="A89" i="2"/>
  <c r="J88" i="2"/>
  <c r="I88" i="2"/>
  <c r="H88" i="2"/>
  <c r="G88" i="2"/>
  <c r="F88" i="2"/>
  <c r="E88" i="2"/>
  <c r="D88" i="2"/>
  <c r="C88" i="2"/>
  <c r="B88" i="2"/>
  <c r="A88" i="2"/>
  <c r="J87" i="2"/>
  <c r="I87" i="2"/>
  <c r="H87" i="2"/>
  <c r="G87" i="2"/>
  <c r="F87" i="2"/>
  <c r="E87" i="2"/>
  <c r="D87" i="2"/>
  <c r="C87" i="2"/>
  <c r="B87" i="2"/>
  <c r="A87" i="2"/>
  <c r="J86" i="2"/>
  <c r="I86" i="2"/>
  <c r="H86" i="2"/>
  <c r="G86" i="2"/>
  <c r="F86" i="2"/>
  <c r="E86" i="2"/>
  <c r="D86" i="2"/>
  <c r="C86" i="2"/>
  <c r="B86" i="2"/>
  <c r="A86" i="2"/>
  <c r="J85" i="2"/>
  <c r="I85" i="2"/>
  <c r="H85" i="2"/>
  <c r="G85" i="2"/>
  <c r="F85" i="2"/>
  <c r="M85" i="2" s="1"/>
  <c r="E85" i="2"/>
  <c r="D85" i="2"/>
  <c r="C85" i="2"/>
  <c r="B85" i="2"/>
  <c r="A85" i="2"/>
  <c r="J84" i="2"/>
  <c r="I84" i="2"/>
  <c r="H84" i="2"/>
  <c r="G84" i="2"/>
  <c r="F84" i="2"/>
  <c r="E84" i="2"/>
  <c r="D84" i="2"/>
  <c r="C84" i="2"/>
  <c r="B84" i="2"/>
  <c r="A84" i="2"/>
  <c r="J83" i="2"/>
  <c r="I83" i="2"/>
  <c r="H83" i="2"/>
  <c r="G83" i="2"/>
  <c r="F83" i="2"/>
  <c r="E83" i="2"/>
  <c r="D83" i="2"/>
  <c r="C83" i="2"/>
  <c r="B83" i="2"/>
  <c r="A83" i="2"/>
  <c r="J82" i="2"/>
  <c r="I82" i="2"/>
  <c r="H82" i="2"/>
  <c r="G82" i="2"/>
  <c r="F82" i="2"/>
  <c r="E82" i="2"/>
  <c r="D82" i="2"/>
  <c r="C82" i="2"/>
  <c r="B82" i="2"/>
  <c r="A82" i="2"/>
  <c r="J81" i="2"/>
  <c r="I81" i="2"/>
  <c r="H81" i="2"/>
  <c r="N81" i="2" s="1"/>
  <c r="G81" i="2"/>
  <c r="F81" i="2"/>
  <c r="E81" i="2"/>
  <c r="D81" i="2"/>
  <c r="C81" i="2"/>
  <c r="B81" i="2"/>
  <c r="A81" i="2"/>
  <c r="J80" i="2"/>
  <c r="I80" i="2"/>
  <c r="H80" i="2"/>
  <c r="G80" i="2"/>
  <c r="F80" i="2"/>
  <c r="E80" i="2"/>
  <c r="D80" i="2"/>
  <c r="C80" i="2"/>
  <c r="B80" i="2"/>
  <c r="A80" i="2"/>
  <c r="J79" i="2"/>
  <c r="I79" i="2"/>
  <c r="H79" i="2"/>
  <c r="G79" i="2"/>
  <c r="F79" i="2"/>
  <c r="E79" i="2"/>
  <c r="D79" i="2"/>
  <c r="C79" i="2"/>
  <c r="B79" i="2"/>
  <c r="A79" i="2"/>
  <c r="J78" i="2"/>
  <c r="I78" i="2"/>
  <c r="H78" i="2"/>
  <c r="G78" i="2"/>
  <c r="F78" i="2"/>
  <c r="E78" i="2"/>
  <c r="D78" i="2"/>
  <c r="C78" i="2"/>
  <c r="B78" i="2"/>
  <c r="A78" i="2"/>
  <c r="J77" i="2"/>
  <c r="I77" i="2"/>
  <c r="H77" i="2"/>
  <c r="G77" i="2"/>
  <c r="F77" i="2"/>
  <c r="E77" i="2"/>
  <c r="D77" i="2"/>
  <c r="C77" i="2"/>
  <c r="B77" i="2"/>
  <c r="A77" i="2"/>
  <c r="J76" i="2"/>
  <c r="I76" i="2"/>
  <c r="H76" i="2"/>
  <c r="G76" i="2"/>
  <c r="F76" i="2"/>
  <c r="E76" i="2"/>
  <c r="D76" i="2"/>
  <c r="C76" i="2"/>
  <c r="B76" i="2"/>
  <c r="A76" i="2"/>
  <c r="J75" i="2"/>
  <c r="I75" i="2"/>
  <c r="H75" i="2"/>
  <c r="N75" i="2" s="1"/>
  <c r="G75" i="2"/>
  <c r="F75" i="2"/>
  <c r="E75" i="2"/>
  <c r="D75" i="2"/>
  <c r="C75" i="2"/>
  <c r="B75" i="2"/>
  <c r="A75" i="2"/>
  <c r="J74" i="2"/>
  <c r="I74" i="2"/>
  <c r="H74" i="2"/>
  <c r="N74" i="2" s="1"/>
  <c r="G74" i="2"/>
  <c r="F74" i="2"/>
  <c r="E74" i="2"/>
  <c r="D74" i="2"/>
  <c r="C74" i="2"/>
  <c r="B74" i="2"/>
  <c r="A74" i="2"/>
  <c r="J73" i="2"/>
  <c r="I73" i="2"/>
  <c r="H73" i="2"/>
  <c r="G73" i="2"/>
  <c r="F73" i="2"/>
  <c r="E73" i="2"/>
  <c r="D73" i="2"/>
  <c r="C73" i="2"/>
  <c r="B73" i="2"/>
  <c r="A73" i="2"/>
  <c r="J72" i="2"/>
  <c r="I72" i="2"/>
  <c r="H72" i="2"/>
  <c r="G72" i="2"/>
  <c r="F72" i="2"/>
  <c r="E72" i="2"/>
  <c r="D72" i="2"/>
  <c r="C72" i="2"/>
  <c r="B72" i="2"/>
  <c r="A72" i="2"/>
  <c r="J71" i="2"/>
  <c r="I71" i="2"/>
  <c r="H71" i="2"/>
  <c r="G71" i="2"/>
  <c r="F71" i="2"/>
  <c r="E71" i="2"/>
  <c r="D71" i="2"/>
  <c r="C71" i="2"/>
  <c r="B71" i="2"/>
  <c r="A71" i="2"/>
  <c r="J70" i="2"/>
  <c r="I70" i="2"/>
  <c r="H70" i="2"/>
  <c r="G70" i="2"/>
  <c r="F70" i="2"/>
  <c r="E70" i="2"/>
  <c r="D70" i="2"/>
  <c r="C70" i="2"/>
  <c r="B70" i="2"/>
  <c r="A70" i="2"/>
  <c r="J69" i="2"/>
  <c r="I69" i="2"/>
  <c r="H69" i="2"/>
  <c r="N69" i="2" s="1"/>
  <c r="G69" i="2"/>
  <c r="F69" i="2"/>
  <c r="E69" i="2"/>
  <c r="D69" i="2"/>
  <c r="C69" i="2"/>
  <c r="B69" i="2"/>
  <c r="A69" i="2"/>
  <c r="J68" i="2"/>
  <c r="I68" i="2"/>
  <c r="H68" i="2"/>
  <c r="N68" i="2" s="1"/>
  <c r="G68" i="2"/>
  <c r="F68" i="2"/>
  <c r="E68" i="2"/>
  <c r="D68" i="2"/>
  <c r="C68" i="2"/>
  <c r="B68" i="2"/>
  <c r="A68" i="2"/>
  <c r="J67" i="2"/>
  <c r="I67" i="2"/>
  <c r="H67" i="2"/>
  <c r="G67" i="2"/>
  <c r="F67" i="2"/>
  <c r="E67" i="2"/>
  <c r="D67" i="2"/>
  <c r="C67" i="2"/>
  <c r="B67" i="2"/>
  <c r="A67" i="2"/>
  <c r="J66" i="2"/>
  <c r="I66" i="2"/>
  <c r="H66" i="2"/>
  <c r="G66" i="2"/>
  <c r="F66" i="2"/>
  <c r="E66" i="2"/>
  <c r="D66" i="2"/>
  <c r="C66" i="2"/>
  <c r="B66" i="2"/>
  <c r="A66" i="2"/>
  <c r="J65" i="2"/>
  <c r="I65" i="2"/>
  <c r="H65" i="2"/>
  <c r="G65" i="2"/>
  <c r="F65" i="2"/>
  <c r="E65" i="2"/>
  <c r="D65" i="2"/>
  <c r="C65" i="2"/>
  <c r="B65" i="2"/>
  <c r="A65" i="2"/>
  <c r="J64" i="2"/>
  <c r="I64" i="2"/>
  <c r="H64" i="2"/>
  <c r="G64" i="2"/>
  <c r="F64" i="2"/>
  <c r="E64" i="2"/>
  <c r="D64" i="2"/>
  <c r="C64" i="2"/>
  <c r="B64" i="2"/>
  <c r="A64" i="2"/>
  <c r="J63" i="2"/>
  <c r="I63" i="2"/>
  <c r="H63" i="2"/>
  <c r="G63" i="2"/>
  <c r="F63" i="2"/>
  <c r="E63" i="2"/>
  <c r="D63" i="2"/>
  <c r="C63" i="2"/>
  <c r="B63" i="2"/>
  <c r="A63" i="2"/>
  <c r="J62" i="2"/>
  <c r="I62" i="2"/>
  <c r="H62" i="2"/>
  <c r="N62" i="2" s="1"/>
  <c r="G62" i="2"/>
  <c r="F62" i="2"/>
  <c r="M62" i="2" s="1"/>
  <c r="E62" i="2"/>
  <c r="D62" i="2"/>
  <c r="C62" i="2"/>
  <c r="B62" i="2"/>
  <c r="A62" i="2"/>
  <c r="J61" i="2"/>
  <c r="I61" i="2"/>
  <c r="H61" i="2"/>
  <c r="G61" i="2"/>
  <c r="F61" i="2"/>
  <c r="E61" i="2"/>
  <c r="D61" i="2"/>
  <c r="C61" i="2"/>
  <c r="B61" i="2"/>
  <c r="A61" i="2"/>
  <c r="J60" i="2"/>
  <c r="I60" i="2"/>
  <c r="H60" i="2"/>
  <c r="G60" i="2"/>
  <c r="F60" i="2"/>
  <c r="E60" i="2"/>
  <c r="D60" i="2"/>
  <c r="C60" i="2"/>
  <c r="B60" i="2"/>
  <c r="A60" i="2"/>
  <c r="J59" i="2"/>
  <c r="I59" i="2"/>
  <c r="H59" i="2"/>
  <c r="G59" i="2"/>
  <c r="F59" i="2"/>
  <c r="E59" i="2"/>
  <c r="D59" i="2"/>
  <c r="C59" i="2"/>
  <c r="B59" i="2"/>
  <c r="A59" i="2"/>
  <c r="J58" i="2"/>
  <c r="I58" i="2"/>
  <c r="H58" i="2"/>
  <c r="G58" i="2"/>
  <c r="F58" i="2"/>
  <c r="E58" i="2"/>
  <c r="D58" i="2"/>
  <c r="C58" i="2"/>
  <c r="B58" i="2"/>
  <c r="A58" i="2"/>
  <c r="J57" i="2"/>
  <c r="I57" i="2"/>
  <c r="H57" i="2"/>
  <c r="N57" i="2" s="1"/>
  <c r="G57" i="2"/>
  <c r="F57" i="2"/>
  <c r="E57" i="2"/>
  <c r="D57" i="2"/>
  <c r="C57" i="2"/>
  <c r="B57" i="2"/>
  <c r="A57" i="2"/>
  <c r="J56" i="2"/>
  <c r="I56" i="2"/>
  <c r="H56" i="2"/>
  <c r="G56" i="2"/>
  <c r="F56" i="2"/>
  <c r="E56" i="2"/>
  <c r="D56" i="2"/>
  <c r="C56" i="2"/>
  <c r="B56" i="2"/>
  <c r="A56" i="2"/>
  <c r="J55" i="2"/>
  <c r="I55" i="2"/>
  <c r="H55" i="2"/>
  <c r="G55" i="2"/>
  <c r="F55" i="2"/>
  <c r="E55" i="2"/>
  <c r="D55" i="2"/>
  <c r="C55" i="2"/>
  <c r="B55" i="2"/>
  <c r="A55" i="2"/>
  <c r="J54" i="2"/>
  <c r="I54" i="2"/>
  <c r="H54" i="2"/>
  <c r="G54" i="2"/>
  <c r="F54" i="2"/>
  <c r="E54" i="2"/>
  <c r="D54" i="2"/>
  <c r="C54" i="2"/>
  <c r="B54" i="2"/>
  <c r="A54" i="2"/>
  <c r="J53" i="2"/>
  <c r="I53" i="2"/>
  <c r="H53" i="2"/>
  <c r="G53" i="2"/>
  <c r="F53" i="2"/>
  <c r="E53" i="2"/>
  <c r="D53" i="2"/>
  <c r="C53" i="2"/>
  <c r="B53" i="2"/>
  <c r="A53" i="2"/>
  <c r="J52" i="2"/>
  <c r="I52" i="2"/>
  <c r="H52" i="2"/>
  <c r="G52" i="2"/>
  <c r="F52" i="2"/>
  <c r="E52" i="2"/>
  <c r="D52" i="2"/>
  <c r="C52" i="2"/>
  <c r="B52" i="2"/>
  <c r="A52" i="2"/>
  <c r="J51" i="2"/>
  <c r="I51" i="2"/>
  <c r="H51" i="2"/>
  <c r="N51" i="2" s="1"/>
  <c r="G51" i="2"/>
  <c r="F51" i="2"/>
  <c r="E51" i="2"/>
  <c r="D51" i="2"/>
  <c r="C51" i="2"/>
  <c r="B51" i="2"/>
  <c r="A51" i="2"/>
  <c r="J50" i="2"/>
  <c r="I50" i="2"/>
  <c r="H50" i="2"/>
  <c r="G50" i="2"/>
  <c r="F50" i="2"/>
  <c r="E50" i="2"/>
  <c r="D50" i="2"/>
  <c r="C50" i="2"/>
  <c r="B50" i="2"/>
  <c r="A50" i="2"/>
  <c r="J49" i="2"/>
  <c r="I49" i="2"/>
  <c r="H49" i="2"/>
  <c r="G49" i="2"/>
  <c r="F49" i="2"/>
  <c r="E49" i="2"/>
  <c r="D49" i="2"/>
  <c r="C49" i="2"/>
  <c r="B49" i="2"/>
  <c r="A49" i="2"/>
  <c r="J48" i="2"/>
  <c r="I48" i="2"/>
  <c r="H48" i="2"/>
  <c r="G48" i="2"/>
  <c r="F48" i="2"/>
  <c r="E48" i="2"/>
  <c r="D48" i="2"/>
  <c r="C48" i="2"/>
  <c r="B48" i="2"/>
  <c r="A48" i="2"/>
  <c r="J47" i="2"/>
  <c r="I47" i="2"/>
  <c r="H47" i="2"/>
  <c r="G47" i="2"/>
  <c r="F47" i="2"/>
  <c r="E47" i="2"/>
  <c r="D47" i="2"/>
  <c r="C47" i="2"/>
  <c r="B47" i="2"/>
  <c r="A47" i="2"/>
  <c r="J46" i="2"/>
  <c r="I46" i="2"/>
  <c r="H46" i="2"/>
  <c r="G46" i="2"/>
  <c r="F46" i="2"/>
  <c r="E46" i="2"/>
  <c r="D46" i="2"/>
  <c r="C46" i="2"/>
  <c r="B46" i="2"/>
  <c r="A46" i="2"/>
  <c r="J45" i="2"/>
  <c r="I45" i="2"/>
  <c r="H45" i="2"/>
  <c r="N45" i="2" s="1"/>
  <c r="G45" i="2"/>
  <c r="F45" i="2"/>
  <c r="E45" i="2"/>
  <c r="D45" i="2"/>
  <c r="C45" i="2"/>
  <c r="B45" i="2"/>
  <c r="A45" i="2"/>
  <c r="J44" i="2"/>
  <c r="I44" i="2"/>
  <c r="H44" i="2"/>
  <c r="N44" i="2" s="1"/>
  <c r="G44" i="2"/>
  <c r="F44" i="2"/>
  <c r="E44" i="2"/>
  <c r="D44" i="2"/>
  <c r="C44" i="2"/>
  <c r="B44" i="2"/>
  <c r="A44" i="2"/>
  <c r="J43" i="2"/>
  <c r="I43" i="2"/>
  <c r="H43" i="2"/>
  <c r="G43" i="2"/>
  <c r="F43" i="2"/>
  <c r="E43" i="2"/>
  <c r="D43" i="2"/>
  <c r="C43" i="2"/>
  <c r="B43" i="2"/>
  <c r="A43" i="2"/>
  <c r="J42" i="2"/>
  <c r="I42" i="2"/>
  <c r="H42" i="2"/>
  <c r="G42" i="2"/>
  <c r="F42" i="2"/>
  <c r="E42" i="2"/>
  <c r="D42" i="2"/>
  <c r="C42" i="2"/>
  <c r="B42" i="2"/>
  <c r="A42" i="2"/>
  <c r="J41" i="2"/>
  <c r="I41" i="2"/>
  <c r="H41" i="2"/>
  <c r="G41" i="2"/>
  <c r="F41" i="2"/>
  <c r="E41" i="2"/>
  <c r="D41" i="2"/>
  <c r="C41" i="2"/>
  <c r="B41" i="2"/>
  <c r="A41" i="2"/>
  <c r="J40" i="2"/>
  <c r="I40" i="2"/>
  <c r="H40" i="2"/>
  <c r="G40" i="2"/>
  <c r="F40" i="2"/>
  <c r="E40" i="2"/>
  <c r="D40" i="2"/>
  <c r="C40" i="2"/>
  <c r="B40" i="2"/>
  <c r="A40" i="2"/>
  <c r="J39" i="2"/>
  <c r="I39" i="2"/>
  <c r="H39" i="2"/>
  <c r="N39" i="2" s="1"/>
  <c r="G39" i="2"/>
  <c r="F39" i="2"/>
  <c r="E39" i="2"/>
  <c r="D39" i="2"/>
  <c r="C39" i="2"/>
  <c r="B39" i="2"/>
  <c r="A39" i="2"/>
  <c r="J38" i="2"/>
  <c r="I38" i="2"/>
  <c r="H38" i="2"/>
  <c r="G38" i="2"/>
  <c r="F38" i="2"/>
  <c r="M38" i="2" s="1"/>
  <c r="E38" i="2"/>
  <c r="D38" i="2"/>
  <c r="C38" i="2"/>
  <c r="B38" i="2"/>
  <c r="A38" i="2"/>
  <c r="J37" i="2"/>
  <c r="I37" i="2"/>
  <c r="H37" i="2"/>
  <c r="G37" i="2"/>
  <c r="F37" i="2"/>
  <c r="E37" i="2"/>
  <c r="D37" i="2"/>
  <c r="C37" i="2"/>
  <c r="B37" i="2"/>
  <c r="A37" i="2"/>
  <c r="J36" i="2"/>
  <c r="I36" i="2"/>
  <c r="H36" i="2"/>
  <c r="G36" i="2"/>
  <c r="F36" i="2"/>
  <c r="E36" i="2"/>
  <c r="D36" i="2"/>
  <c r="C36" i="2"/>
  <c r="B36" i="2"/>
  <c r="A36" i="2"/>
  <c r="J35" i="2"/>
  <c r="I35" i="2"/>
  <c r="H35" i="2"/>
  <c r="G35" i="2"/>
  <c r="F35" i="2"/>
  <c r="E35" i="2"/>
  <c r="D35" i="2"/>
  <c r="C35" i="2"/>
  <c r="B35" i="2"/>
  <c r="A35" i="2"/>
  <c r="J34" i="2"/>
  <c r="I34" i="2"/>
  <c r="H34" i="2"/>
  <c r="G34" i="2"/>
  <c r="F34" i="2"/>
  <c r="E34" i="2"/>
  <c r="D34" i="2"/>
  <c r="C34" i="2"/>
  <c r="B34" i="2"/>
  <c r="A34" i="2"/>
  <c r="J33" i="2"/>
  <c r="I33" i="2"/>
  <c r="H33" i="2"/>
  <c r="N33" i="2" s="1"/>
  <c r="G33" i="2"/>
  <c r="F33" i="2"/>
  <c r="E33" i="2"/>
  <c r="D33" i="2"/>
  <c r="C33" i="2"/>
  <c r="B33" i="2"/>
  <c r="A33" i="2"/>
  <c r="J32" i="2"/>
  <c r="I32" i="2"/>
  <c r="H32" i="2"/>
  <c r="N32" i="2" s="1"/>
  <c r="G32" i="2"/>
  <c r="F32" i="2"/>
  <c r="E32" i="2"/>
  <c r="D32" i="2"/>
  <c r="C32" i="2"/>
  <c r="B32" i="2"/>
  <c r="A32" i="2"/>
  <c r="J31" i="2"/>
  <c r="I31" i="2"/>
  <c r="H31" i="2"/>
  <c r="G31" i="2"/>
  <c r="F31" i="2"/>
  <c r="E31" i="2"/>
  <c r="D31" i="2"/>
  <c r="C31" i="2"/>
  <c r="B31" i="2"/>
  <c r="A31" i="2"/>
  <c r="J30" i="2"/>
  <c r="I30" i="2"/>
  <c r="H30" i="2"/>
  <c r="G30" i="2"/>
  <c r="F30" i="2"/>
  <c r="E30" i="2"/>
  <c r="D30" i="2"/>
  <c r="C30" i="2"/>
  <c r="B30" i="2"/>
  <c r="A30" i="2"/>
  <c r="J29" i="2"/>
  <c r="I29" i="2"/>
  <c r="H29" i="2"/>
  <c r="G29" i="2"/>
  <c r="F29" i="2"/>
  <c r="E29" i="2"/>
  <c r="D29" i="2"/>
  <c r="C29" i="2"/>
  <c r="B29" i="2"/>
  <c r="A29" i="2"/>
  <c r="J28" i="2"/>
  <c r="I28" i="2"/>
  <c r="H28" i="2"/>
  <c r="G28" i="2"/>
  <c r="F28" i="2"/>
  <c r="E28" i="2"/>
  <c r="D28" i="2"/>
  <c r="C28" i="2"/>
  <c r="B28" i="2"/>
  <c r="A28" i="2"/>
  <c r="J27" i="2"/>
  <c r="I27" i="2"/>
  <c r="H27" i="2"/>
  <c r="G27" i="2"/>
  <c r="F27" i="2"/>
  <c r="E27" i="2"/>
  <c r="D27" i="2"/>
  <c r="C27" i="2"/>
  <c r="B27" i="2"/>
  <c r="A27" i="2"/>
  <c r="J26" i="2"/>
  <c r="I26" i="2"/>
  <c r="H26" i="2"/>
  <c r="N26" i="2" s="1"/>
  <c r="G26" i="2"/>
  <c r="F26" i="2"/>
  <c r="E26" i="2"/>
  <c r="D26" i="2"/>
  <c r="C26" i="2"/>
  <c r="B26" i="2"/>
  <c r="A26" i="2"/>
  <c r="J25" i="2"/>
  <c r="I25" i="2"/>
  <c r="H25" i="2"/>
  <c r="G25" i="2"/>
  <c r="F25" i="2"/>
  <c r="E25" i="2"/>
  <c r="D25" i="2"/>
  <c r="C25" i="2"/>
  <c r="B25" i="2"/>
  <c r="A25" i="2"/>
  <c r="J24" i="2"/>
  <c r="I24" i="2"/>
  <c r="H24" i="2"/>
  <c r="G24" i="2"/>
  <c r="F24" i="2"/>
  <c r="E24" i="2"/>
  <c r="D24" i="2"/>
  <c r="C24" i="2"/>
  <c r="B24" i="2"/>
  <c r="A24" i="2"/>
  <c r="J23" i="2"/>
  <c r="I23" i="2"/>
  <c r="H23" i="2"/>
  <c r="G23" i="2"/>
  <c r="F23" i="2"/>
  <c r="E23" i="2"/>
  <c r="D23" i="2"/>
  <c r="C23" i="2"/>
  <c r="B23" i="2"/>
  <c r="A23" i="2"/>
  <c r="J22" i="2"/>
  <c r="I22" i="2"/>
  <c r="H22" i="2"/>
  <c r="G22" i="2"/>
  <c r="F22" i="2"/>
  <c r="E22" i="2"/>
  <c r="D22" i="2"/>
  <c r="C22" i="2"/>
  <c r="B22" i="2"/>
  <c r="A22" i="2"/>
  <c r="J21" i="2"/>
  <c r="I21" i="2"/>
  <c r="H21" i="2"/>
  <c r="G21" i="2"/>
  <c r="F21" i="2"/>
  <c r="E21" i="2"/>
  <c r="D21" i="2"/>
  <c r="C21" i="2"/>
  <c r="B21" i="2"/>
  <c r="A21" i="2"/>
  <c r="J20" i="2"/>
  <c r="I20" i="2"/>
  <c r="H20" i="2"/>
  <c r="G20" i="2"/>
  <c r="F20" i="2"/>
  <c r="E20" i="2"/>
  <c r="D20" i="2"/>
  <c r="C20" i="2"/>
  <c r="B20" i="2"/>
  <c r="A20" i="2"/>
  <c r="J19" i="2"/>
  <c r="I19" i="2"/>
  <c r="H19" i="2"/>
  <c r="G19" i="2"/>
  <c r="F19" i="2"/>
  <c r="E19" i="2"/>
  <c r="D19" i="2"/>
  <c r="C19" i="2"/>
  <c r="B19" i="2"/>
  <c r="A19" i="2"/>
  <c r="J18" i="2"/>
  <c r="I18" i="2"/>
  <c r="H18" i="2"/>
  <c r="G18" i="2"/>
  <c r="F18" i="2"/>
  <c r="E18" i="2"/>
  <c r="D18" i="2"/>
  <c r="C18" i="2"/>
  <c r="B18" i="2"/>
  <c r="A18" i="2"/>
  <c r="J17" i="2"/>
  <c r="I17" i="2"/>
  <c r="H17" i="2"/>
  <c r="G17" i="2"/>
  <c r="F17" i="2"/>
  <c r="E17" i="2"/>
  <c r="D17" i="2"/>
  <c r="C17" i="2"/>
  <c r="B17" i="2"/>
  <c r="A17" i="2"/>
  <c r="J16" i="2"/>
  <c r="I16" i="2"/>
  <c r="H16" i="2"/>
  <c r="G16" i="2"/>
  <c r="F16" i="2"/>
  <c r="E16" i="2"/>
  <c r="D16" i="2"/>
  <c r="C16" i="2"/>
  <c r="B16" i="2"/>
  <c r="A16" i="2"/>
  <c r="J15" i="2"/>
  <c r="I15" i="2"/>
  <c r="H15" i="2"/>
  <c r="N15" i="2" s="1"/>
  <c r="G15" i="2"/>
  <c r="F15" i="2"/>
  <c r="E15" i="2"/>
  <c r="D15" i="2"/>
  <c r="C15" i="2"/>
  <c r="B15" i="2"/>
  <c r="A15" i="2"/>
  <c r="J14" i="2"/>
  <c r="I14" i="2"/>
  <c r="H14" i="2"/>
  <c r="G14" i="2"/>
  <c r="F14" i="2"/>
  <c r="E14" i="2"/>
  <c r="D14" i="2"/>
  <c r="C14" i="2"/>
  <c r="B14" i="2"/>
  <c r="A14" i="2"/>
  <c r="J13" i="2"/>
  <c r="I13" i="2"/>
  <c r="H13" i="2"/>
  <c r="G13" i="2"/>
  <c r="F13" i="2"/>
  <c r="E13" i="2"/>
  <c r="D13" i="2"/>
  <c r="C13" i="2"/>
  <c r="B13" i="2"/>
  <c r="A13" i="2"/>
  <c r="J12" i="2"/>
  <c r="I12" i="2"/>
  <c r="H12" i="2"/>
  <c r="G12" i="2"/>
  <c r="F12" i="2"/>
  <c r="E12" i="2"/>
  <c r="D12" i="2"/>
  <c r="C12" i="2"/>
  <c r="B12" i="2"/>
  <c r="A12" i="2"/>
  <c r="J11" i="2"/>
  <c r="I11" i="2"/>
  <c r="H11" i="2"/>
  <c r="G11" i="2"/>
  <c r="F11" i="2"/>
  <c r="E11" i="2"/>
  <c r="D11" i="2"/>
  <c r="C11" i="2"/>
  <c r="B11" i="2"/>
  <c r="A11" i="2"/>
  <c r="J10" i="2"/>
  <c r="I10" i="2"/>
  <c r="H10" i="2"/>
  <c r="G10" i="2"/>
  <c r="F10" i="2"/>
  <c r="E10" i="2"/>
  <c r="D10" i="2"/>
  <c r="C10" i="2"/>
  <c r="B10" i="2"/>
  <c r="A10" i="2"/>
  <c r="J9" i="2"/>
  <c r="I9" i="2"/>
  <c r="H9" i="2"/>
  <c r="N9" i="2" s="1"/>
  <c r="G9" i="2"/>
  <c r="F9" i="2"/>
  <c r="E9" i="2"/>
  <c r="D9" i="2"/>
  <c r="C9" i="2"/>
  <c r="B9" i="2"/>
  <c r="A9" i="2"/>
  <c r="J8" i="2"/>
  <c r="I8" i="2"/>
  <c r="H8" i="2"/>
  <c r="G8" i="2"/>
  <c r="F8" i="2"/>
  <c r="E8" i="2"/>
  <c r="D8" i="2"/>
  <c r="C8" i="2"/>
  <c r="B8" i="2"/>
  <c r="A8" i="2"/>
  <c r="J7" i="2"/>
  <c r="I7" i="2"/>
  <c r="H7" i="2"/>
  <c r="G7" i="2"/>
  <c r="F7" i="2"/>
  <c r="E7" i="2"/>
  <c r="D7" i="2"/>
  <c r="C7" i="2"/>
  <c r="B7" i="2"/>
  <c r="A7" i="2"/>
  <c r="J6" i="2"/>
  <c r="I6" i="2"/>
  <c r="H6" i="2"/>
  <c r="G6" i="2"/>
  <c r="F6" i="2"/>
  <c r="E6" i="2"/>
  <c r="D6" i="2"/>
  <c r="C6" i="2"/>
  <c r="B6" i="2"/>
  <c r="A6" i="2"/>
  <c r="J5" i="2"/>
  <c r="I5" i="2"/>
  <c r="H5" i="2"/>
  <c r="G5" i="2"/>
  <c r="F5" i="2"/>
  <c r="E5" i="2"/>
  <c r="D5" i="2"/>
  <c r="C5" i="2"/>
  <c r="B5" i="2"/>
  <c r="A5" i="2"/>
  <c r="J4" i="2"/>
  <c r="I4" i="2"/>
  <c r="H4" i="2"/>
  <c r="G4" i="2"/>
  <c r="F4" i="2"/>
  <c r="E4" i="2"/>
  <c r="D4" i="2"/>
  <c r="C4" i="2"/>
  <c r="B4" i="2"/>
  <c r="A4" i="2"/>
  <c r="J3" i="2"/>
  <c r="I3" i="2"/>
  <c r="H3" i="2"/>
  <c r="G3" i="2"/>
  <c r="F3" i="2"/>
  <c r="E3" i="2"/>
  <c r="D3" i="2"/>
  <c r="C3" i="2"/>
  <c r="B3" i="2"/>
  <c r="A3" i="2"/>
  <c r="P2" i="2" a="1"/>
  <c r="N982" i="2"/>
  <c r="N977" i="2"/>
  <c r="N975" i="2"/>
  <c r="N949" i="2"/>
  <c r="N854" i="2"/>
  <c r="N853" i="2"/>
  <c r="N851" i="2"/>
  <c r="N818" i="2"/>
  <c r="N742" i="2"/>
  <c r="N741" i="2"/>
  <c r="N738" i="2"/>
  <c r="N712" i="2"/>
  <c r="N641" i="2"/>
  <c r="N640" i="2"/>
  <c r="N639" i="2"/>
  <c r="N611" i="2"/>
  <c r="N538" i="2"/>
  <c r="N537" i="2"/>
  <c r="N534" i="2"/>
  <c r="N509" i="2"/>
  <c r="N441" i="2"/>
  <c r="N440" i="2"/>
  <c r="N438" i="2"/>
  <c r="N416" i="2"/>
  <c r="N351" i="2"/>
  <c r="N348" i="2"/>
  <c r="N347" i="2"/>
  <c r="N323" i="2"/>
  <c r="N256" i="2"/>
  <c r="N255" i="2"/>
  <c r="N254" i="2"/>
  <c r="N231" i="2"/>
  <c r="N2" i="2" a="1"/>
  <c r="N963" i="2" s="1"/>
  <c r="M742" i="2"/>
  <c r="M736" i="2"/>
  <c r="M706" i="2"/>
  <c r="M705" i="2"/>
  <c r="M324" i="2"/>
  <c r="M291" i="2"/>
  <c r="M265" i="2"/>
  <c r="M200" i="2"/>
  <c r="M2" i="2" a="1"/>
  <c r="M847" i="2" s="1"/>
  <c r="J2" i="2"/>
  <c r="I2" i="2"/>
  <c r="H2" i="2"/>
  <c r="G2" i="2"/>
  <c r="F2" i="2"/>
  <c r="E2" i="2"/>
  <c r="D2" i="2"/>
  <c r="C2" i="2"/>
  <c r="B2" i="2"/>
  <c r="A2" i="2"/>
  <c r="J1" i="2"/>
  <c r="I1" i="2"/>
  <c r="H1" i="2"/>
  <c r="G1" i="2"/>
  <c r="F1" i="2"/>
  <c r="E1" i="2"/>
  <c r="D1" i="2"/>
  <c r="C1" i="2"/>
  <c r="B1" i="2"/>
  <c r="A1" i="2"/>
  <c r="N442" i="2" l="1"/>
  <c r="N867" i="2"/>
  <c r="N352" i="2"/>
  <c r="N642" i="2"/>
  <c r="N194" i="2"/>
  <c r="N373" i="2"/>
  <c r="N567" i="2"/>
  <c r="N772" i="2"/>
  <c r="M416" i="2"/>
  <c r="N195" i="2"/>
  <c r="N285" i="2"/>
  <c r="N374" i="2"/>
  <c r="N470" i="2"/>
  <c r="N568" i="2"/>
  <c r="N666" i="2"/>
  <c r="N774" i="2"/>
  <c r="N897" i="2"/>
  <c r="M385" i="2"/>
  <c r="N261" i="2"/>
  <c r="N544" i="2"/>
  <c r="N743" i="2"/>
  <c r="N983" i="2"/>
  <c r="M409" i="2"/>
  <c r="N284" i="2"/>
  <c r="N469" i="2"/>
  <c r="N665" i="2"/>
  <c r="N895" i="2"/>
  <c r="M418" i="2"/>
  <c r="N196" i="2"/>
  <c r="N286" i="2"/>
  <c r="N375" i="2"/>
  <c r="N471" i="2"/>
  <c r="N569" i="2"/>
  <c r="N671" i="2"/>
  <c r="N778" i="2"/>
  <c r="N898" i="2"/>
  <c r="N570" i="2"/>
  <c r="M556" i="2"/>
  <c r="N287" i="2"/>
  <c r="N472" i="2"/>
  <c r="N676" i="2"/>
  <c r="N899" i="2"/>
  <c r="M598" i="2"/>
  <c r="N218" i="2"/>
  <c r="N313" i="2"/>
  <c r="N402" i="2"/>
  <c r="N497" i="2"/>
  <c r="N600" i="2"/>
  <c r="N698" i="2"/>
  <c r="N815" i="2"/>
  <c r="N933" i="2"/>
  <c r="N198" i="2"/>
  <c r="N383" i="2"/>
  <c r="N789" i="2"/>
  <c r="M670" i="2"/>
  <c r="N219" i="2"/>
  <c r="N314" i="2"/>
  <c r="N404" i="2"/>
  <c r="N498" i="2"/>
  <c r="N601" i="2"/>
  <c r="N701" i="2"/>
  <c r="N816" i="2"/>
  <c r="N935" i="2"/>
  <c r="M704" i="2"/>
  <c r="N222" i="2"/>
  <c r="N316" i="2"/>
  <c r="N405" i="2"/>
  <c r="N501" i="2"/>
  <c r="N602" i="2"/>
  <c r="N702" i="2"/>
  <c r="N817" i="2"/>
  <c r="N936" i="2"/>
  <c r="N201" i="2"/>
  <c r="N233" i="2"/>
  <c r="N266" i="2"/>
  <c r="N290" i="2"/>
  <c r="N325" i="2"/>
  <c r="N356" i="2"/>
  <c r="N385" i="2"/>
  <c r="N418" i="2"/>
  <c r="N444" i="2"/>
  <c r="N477" i="2"/>
  <c r="N515" i="2"/>
  <c r="N549" i="2"/>
  <c r="N577" i="2"/>
  <c r="N613" i="2"/>
  <c r="N646" i="2"/>
  <c r="N678" i="2"/>
  <c r="N718" i="2"/>
  <c r="N754" i="2"/>
  <c r="N792" i="2"/>
  <c r="N829" i="2"/>
  <c r="N870" i="2"/>
  <c r="N908" i="2"/>
  <c r="N951" i="2"/>
  <c r="N200" i="2"/>
  <c r="N232" i="2"/>
  <c r="N262" i="2"/>
  <c r="N288" i="2"/>
  <c r="N324" i="2"/>
  <c r="N353" i="2"/>
  <c r="N384" i="2"/>
  <c r="N417" i="2"/>
  <c r="N443" i="2"/>
  <c r="N474" i="2"/>
  <c r="N514" i="2"/>
  <c r="N546" i="2"/>
  <c r="N573" i="2"/>
  <c r="N612" i="2"/>
  <c r="N645" i="2"/>
  <c r="N677" i="2"/>
  <c r="N713" i="2"/>
  <c r="N744" i="2"/>
  <c r="N790" i="2"/>
  <c r="N820" i="2"/>
  <c r="N869" i="2"/>
  <c r="N902" i="2"/>
  <c r="N950" i="2"/>
  <c r="N984" i="2"/>
  <c r="N212" i="2"/>
  <c r="N389" i="2"/>
  <c r="N550" i="2"/>
  <c r="N686" i="2"/>
  <c r="N830" i="2"/>
  <c r="N955" i="2"/>
  <c r="M442" i="2"/>
  <c r="M815" i="2"/>
  <c r="N213" i="2"/>
  <c r="N239" i="2"/>
  <c r="N268" i="2"/>
  <c r="N301" i="2"/>
  <c r="N332" i="2"/>
  <c r="N358" i="2"/>
  <c r="N390" i="2"/>
  <c r="N423" i="2"/>
  <c r="N453" i="2"/>
  <c r="N490" i="2"/>
  <c r="N518" i="2"/>
  <c r="N551" i="2"/>
  <c r="N587" i="2"/>
  <c r="N621" i="2"/>
  <c r="N649" i="2"/>
  <c r="N687" i="2"/>
  <c r="N721" i="2"/>
  <c r="N759" i="2"/>
  <c r="N796" i="2"/>
  <c r="N837" i="2"/>
  <c r="N872" i="2"/>
  <c r="N919" i="2"/>
  <c r="N956" i="2"/>
  <c r="N267" i="2"/>
  <c r="N357" i="2"/>
  <c r="N452" i="2"/>
  <c r="N586" i="2"/>
  <c r="N648" i="2"/>
  <c r="N793" i="2"/>
  <c r="N912" i="2"/>
  <c r="M444" i="2"/>
  <c r="N214" i="2"/>
  <c r="N240" i="2"/>
  <c r="N269" i="2"/>
  <c r="N303" i="2"/>
  <c r="N333" i="2"/>
  <c r="N359" i="2"/>
  <c r="N395" i="2"/>
  <c r="N424" i="2"/>
  <c r="N454" i="2"/>
  <c r="N491" i="2"/>
  <c r="N519" i="2"/>
  <c r="N552" i="2"/>
  <c r="N588" i="2"/>
  <c r="N624" i="2"/>
  <c r="N650" i="2"/>
  <c r="N688" i="2"/>
  <c r="N722" i="2"/>
  <c r="N760" i="2"/>
  <c r="N797" i="2"/>
  <c r="N838" i="2"/>
  <c r="N873" i="2"/>
  <c r="N920" i="2"/>
  <c r="N957" i="2"/>
  <c r="N238" i="2"/>
  <c r="N330" i="2"/>
  <c r="N419" i="2"/>
  <c r="N516" i="2"/>
  <c r="N618" i="2"/>
  <c r="N720" i="2"/>
  <c r="N871" i="2"/>
  <c r="M929" i="2"/>
  <c r="M879" i="2"/>
  <c r="M591" i="2"/>
  <c r="M320" i="2"/>
  <c r="M849" i="2"/>
  <c r="M560" i="2"/>
  <c r="M293" i="2"/>
  <c r="M848" i="2"/>
  <c r="M292" i="2"/>
  <c r="M521" i="2"/>
  <c r="M884" i="2"/>
  <c r="N215" i="2"/>
  <c r="N244" i="2"/>
  <c r="N280" i="2"/>
  <c r="N304" i="2"/>
  <c r="N334" i="2"/>
  <c r="N370" i="2"/>
  <c r="N399" i="2"/>
  <c r="N425" i="2"/>
  <c r="N458" i="2"/>
  <c r="N492" i="2"/>
  <c r="N525" i="2"/>
  <c r="N564" i="2"/>
  <c r="N592" i="2"/>
  <c r="N625" i="2"/>
  <c r="N662" i="2"/>
  <c r="N695" i="2"/>
  <c r="N724" i="2"/>
  <c r="N766" i="2"/>
  <c r="N801" i="2"/>
  <c r="N839" i="2"/>
  <c r="N879" i="2"/>
  <c r="N921" i="2"/>
  <c r="N960" i="2"/>
  <c r="N300" i="2"/>
  <c r="N486" i="2"/>
  <c r="N755" i="2"/>
  <c r="M199" i="2"/>
  <c r="M550" i="2"/>
  <c r="M961" i="2"/>
  <c r="N216" i="2"/>
  <c r="N245" i="2"/>
  <c r="N281" i="2"/>
  <c r="N305" i="2"/>
  <c r="N337" i="2"/>
  <c r="N371" i="2"/>
  <c r="N400" i="2"/>
  <c r="N426" i="2"/>
  <c r="N460" i="2"/>
  <c r="N493" i="2"/>
  <c r="N526" i="2"/>
  <c r="N565" i="2"/>
  <c r="N593" i="2"/>
  <c r="N626" i="2"/>
  <c r="N663" i="2"/>
  <c r="N696" i="2"/>
  <c r="N725" i="2"/>
  <c r="N770" i="2"/>
  <c r="N802" i="2"/>
  <c r="N846" i="2"/>
  <c r="N882" i="2"/>
  <c r="N931" i="2"/>
  <c r="N985" i="2"/>
  <c r="N972" i="2"/>
  <c r="N942" i="2"/>
  <c r="N918" i="2"/>
  <c r="N890" i="2"/>
  <c r="N860" i="2"/>
  <c r="N834" i="2"/>
  <c r="N813" i="2"/>
  <c r="N783" i="2"/>
  <c r="N758" i="2"/>
  <c r="N736" i="2"/>
  <c r="N708" i="2"/>
  <c r="N683" i="2"/>
  <c r="N660" i="2"/>
  <c r="N630" i="2"/>
  <c r="N610" i="2"/>
  <c r="N585" i="2"/>
  <c r="N555" i="2"/>
  <c r="N533" i="2"/>
  <c r="N508" i="2"/>
  <c r="N482" i="2"/>
  <c r="N457" i="2"/>
  <c r="N437" i="2"/>
  <c r="N411" i="2"/>
  <c r="N388" i="2"/>
  <c r="N369" i="2"/>
  <c r="N342" i="2"/>
  <c r="N320" i="2"/>
  <c r="N299" i="2"/>
  <c r="N273" i="2"/>
  <c r="N253" i="2"/>
  <c r="N230" i="2"/>
  <c r="N204" i="2"/>
  <c r="N970" i="2"/>
  <c r="N937" i="2"/>
  <c r="N886" i="2"/>
  <c r="N831" i="2"/>
  <c r="N781" i="2"/>
  <c r="N734" i="2"/>
  <c r="N681" i="2"/>
  <c r="N628" i="2"/>
  <c r="N581" i="2"/>
  <c r="N530" i="2"/>
  <c r="N478" i="2"/>
  <c r="N432" i="2"/>
  <c r="N386" i="2"/>
  <c r="N339" i="2"/>
  <c r="N297" i="2"/>
  <c r="N248" i="2"/>
  <c r="N202" i="2"/>
  <c r="N971" i="2"/>
  <c r="N938" i="2"/>
  <c r="N917" i="2"/>
  <c r="N889" i="2"/>
  <c r="N857" i="2"/>
  <c r="N832" i="2"/>
  <c r="N808" i="2"/>
  <c r="N782" i="2"/>
  <c r="N757" i="2"/>
  <c r="N735" i="2"/>
  <c r="N707" i="2"/>
  <c r="N682" i="2"/>
  <c r="N659" i="2"/>
  <c r="N629" i="2"/>
  <c r="N609" i="2"/>
  <c r="N582" i="2"/>
  <c r="N554" i="2"/>
  <c r="N532" i="2"/>
  <c r="N507" i="2"/>
  <c r="N479" i="2"/>
  <c r="N456" i="2"/>
  <c r="N434" i="2"/>
  <c r="N410" i="2"/>
  <c r="N387" i="2"/>
  <c r="N366" i="2"/>
  <c r="N340" i="2"/>
  <c r="N318" i="2"/>
  <c r="N298" i="2"/>
  <c r="N272" i="2"/>
  <c r="N252" i="2"/>
  <c r="N229" i="2"/>
  <c r="N203" i="2"/>
  <c r="N915" i="2"/>
  <c r="N855" i="2"/>
  <c r="N807" i="2"/>
  <c r="N756" i="2"/>
  <c r="N706" i="2"/>
  <c r="N658" i="2"/>
  <c r="N604" i="2"/>
  <c r="N553" i="2"/>
  <c r="N506" i="2"/>
  <c r="N455" i="2"/>
  <c r="N409" i="2"/>
  <c r="N365" i="2"/>
  <c r="N317" i="2"/>
  <c r="N270" i="2"/>
  <c r="N228" i="2"/>
  <c r="N989" i="2"/>
  <c r="N958" i="2"/>
  <c r="N934" i="2"/>
  <c r="N907" i="2"/>
  <c r="N878" i="2"/>
  <c r="N852" i="2"/>
  <c r="N828" i="2"/>
  <c r="N798" i="2"/>
  <c r="N773" i="2"/>
  <c r="N753" i="2"/>
  <c r="N723" i="2"/>
  <c r="N217" i="2"/>
  <c r="N246" i="2"/>
  <c r="N282" i="2"/>
  <c r="N309" i="2"/>
  <c r="N338" i="2"/>
  <c r="N372" i="2"/>
  <c r="N401" i="2"/>
  <c r="N428" i="2"/>
  <c r="N461" i="2"/>
  <c r="N494" i="2"/>
  <c r="N529" i="2"/>
  <c r="N566" i="2"/>
  <c r="N594" i="2"/>
  <c r="N627" i="2"/>
  <c r="N664" i="2"/>
  <c r="N697" i="2"/>
  <c r="N737" i="2"/>
  <c r="N771" i="2"/>
  <c r="N814" i="2"/>
  <c r="N847" i="2"/>
  <c r="N891" i="2"/>
  <c r="N932" i="2"/>
  <c r="N973" i="2"/>
  <c r="N4" i="2"/>
  <c r="N10" i="2"/>
  <c r="N16" i="2"/>
  <c r="N28" i="2"/>
  <c r="N46" i="2"/>
  <c r="N58" i="2"/>
  <c r="N76" i="2"/>
  <c r="N82" i="2"/>
  <c r="N100" i="2"/>
  <c r="N112" i="2"/>
  <c r="N118" i="2"/>
  <c r="N130" i="2"/>
  <c r="N142" i="2"/>
  <c r="N148" i="2"/>
  <c r="N154" i="2"/>
  <c r="N160" i="2"/>
  <c r="N152" i="2"/>
  <c r="N170" i="2"/>
  <c r="N176" i="2"/>
  <c r="N182" i="2"/>
  <c r="N188" i="2"/>
  <c r="N13" i="2"/>
  <c r="N25" i="2"/>
  <c r="N61" i="2"/>
  <c r="N73" i="2"/>
  <c r="N85" i="2"/>
  <c r="N97" i="2"/>
  <c r="N109" i="2"/>
  <c r="N133" i="2"/>
  <c r="M144" i="2"/>
  <c r="N169" i="2"/>
  <c r="N181" i="2"/>
  <c r="N186" i="2"/>
  <c r="N30" i="2"/>
  <c r="N48" i="2"/>
  <c r="N60" i="2"/>
  <c r="N90" i="2"/>
  <c r="N126" i="2"/>
  <c r="N144" i="2"/>
  <c r="N168" i="2"/>
  <c r="N12" i="2"/>
  <c r="N24" i="2"/>
  <c r="N42" i="2"/>
  <c r="M59" i="2"/>
  <c r="N84" i="2"/>
  <c r="N96" i="2"/>
  <c r="N114" i="2"/>
  <c r="N162" i="2"/>
  <c r="M167" i="2"/>
  <c r="M173" i="2"/>
  <c r="N180" i="2"/>
  <c r="N5" i="2"/>
  <c r="N11" i="2"/>
  <c r="N23" i="2"/>
  <c r="N29" i="2"/>
  <c r="N41" i="2"/>
  <c r="N47" i="2"/>
  <c r="M58" i="2"/>
  <c r="N59" i="2"/>
  <c r="N65" i="2"/>
  <c r="N83" i="2"/>
  <c r="M88" i="2"/>
  <c r="N89" i="2"/>
  <c r="N95" i="2"/>
  <c r="N101" i="2"/>
  <c r="N113" i="2"/>
  <c r="N125" i="2"/>
  <c r="N131" i="2"/>
  <c r="N137" i="2"/>
  <c r="N143" i="2"/>
  <c r="N161" i="2"/>
  <c r="N167" i="2"/>
  <c r="N185" i="2"/>
  <c r="K2" i="2" a="1"/>
  <c r="K871" i="2" s="1"/>
  <c r="N166" i="2"/>
  <c r="P148" i="2"/>
  <c r="P132" i="2"/>
  <c r="P650" i="2"/>
  <c r="P147" i="2"/>
  <c r="P668" i="2"/>
  <c r="P806" i="2"/>
  <c r="P286" i="2"/>
  <c r="P438" i="2"/>
  <c r="P50" i="2"/>
  <c r="P570" i="2"/>
  <c r="P188" i="2"/>
  <c r="P948" i="2"/>
  <c r="P567" i="2"/>
  <c r="P149" i="2"/>
  <c r="P981" i="2"/>
  <c r="P809" i="2"/>
  <c r="P672" i="2"/>
  <c r="P309" i="2"/>
  <c r="P671" i="2"/>
  <c r="P437" i="2"/>
  <c r="P48" i="2"/>
  <c r="P789" i="2"/>
  <c r="P804" i="2"/>
  <c r="P805" i="2"/>
  <c r="M91" i="2"/>
  <c r="M202" i="2"/>
  <c r="M325" i="2"/>
  <c r="M451" i="2"/>
  <c r="M601" i="2"/>
  <c r="M743" i="2"/>
  <c r="M891" i="2"/>
  <c r="P375" i="2"/>
  <c r="P891" i="2"/>
  <c r="P652" i="2"/>
  <c r="P897" i="2"/>
  <c r="M3" i="2"/>
  <c r="M119" i="2"/>
  <c r="M232" i="2"/>
  <c r="M350" i="2"/>
  <c r="M485" i="2"/>
  <c r="M628" i="2"/>
  <c r="M773" i="2"/>
  <c r="M928" i="2"/>
  <c r="P418" i="2"/>
  <c r="M10" i="2"/>
  <c r="M120" i="2"/>
  <c r="M233" i="2"/>
  <c r="M354" i="2"/>
  <c r="M487" i="2"/>
  <c r="M631" i="2"/>
  <c r="M779" i="2"/>
  <c r="P518" i="2"/>
  <c r="P274" i="2"/>
  <c r="P275" i="2"/>
  <c r="P278" i="2"/>
  <c r="M984" i="2"/>
  <c r="M972" i="2"/>
  <c r="M960" i="2"/>
  <c r="M948" i="2"/>
  <c r="M936" i="2"/>
  <c r="M924" i="2"/>
  <c r="M912" i="2"/>
  <c r="M900" i="2"/>
  <c r="M888" i="2"/>
  <c r="M876" i="2"/>
  <c r="M864" i="2"/>
  <c r="M852" i="2"/>
  <c r="M840" i="2"/>
  <c r="M828" i="2"/>
  <c r="M816" i="2"/>
  <c r="M804" i="2"/>
  <c r="M792" i="2"/>
  <c r="M780" i="2"/>
  <c r="M768" i="2"/>
  <c r="M756" i="2"/>
  <c r="M744" i="2"/>
  <c r="M732" i="2"/>
  <c r="M720" i="2"/>
  <c r="M708" i="2"/>
  <c r="M696" i="2"/>
  <c r="M684" i="2"/>
  <c r="M672" i="2"/>
  <c r="M660" i="2"/>
  <c r="M648" i="2"/>
  <c r="M636" i="2"/>
  <c r="M624" i="2"/>
  <c r="M612" i="2"/>
  <c r="M600" i="2"/>
  <c r="M588" i="2"/>
  <c r="M576" i="2"/>
  <c r="M564" i="2"/>
  <c r="M552" i="2"/>
  <c r="M540" i="2"/>
  <c r="M528" i="2"/>
  <c r="M516" i="2"/>
  <c r="M504" i="2"/>
  <c r="M492" i="2"/>
  <c r="M480" i="2"/>
  <c r="M468" i="2"/>
  <c r="M456" i="2"/>
  <c r="M977" i="2"/>
  <c r="M964" i="2"/>
  <c r="M951" i="2"/>
  <c r="M938" i="2"/>
  <c r="M925" i="2"/>
  <c r="M911" i="2"/>
  <c r="M898" i="2"/>
  <c r="M885" i="2"/>
  <c r="M872" i="2"/>
  <c r="M859" i="2"/>
  <c r="M846" i="2"/>
  <c r="M833" i="2"/>
  <c r="M820" i="2"/>
  <c r="M807" i="2"/>
  <c r="M794" i="2"/>
  <c r="M781" i="2"/>
  <c r="M767" i="2"/>
  <c r="M754" i="2"/>
  <c r="M741" i="2"/>
  <c r="M728" i="2"/>
  <c r="M715" i="2"/>
  <c r="M702" i="2"/>
  <c r="M689" i="2"/>
  <c r="M676" i="2"/>
  <c r="M663" i="2"/>
  <c r="M650" i="2"/>
  <c r="M637" i="2"/>
  <c r="M623" i="2"/>
  <c r="M610" i="2"/>
  <c r="M597" i="2"/>
  <c r="M584" i="2"/>
  <c r="M571" i="2"/>
  <c r="M558" i="2"/>
  <c r="M545" i="2"/>
  <c r="M532" i="2"/>
  <c r="M519" i="2"/>
  <c r="M506" i="2"/>
  <c r="M493" i="2"/>
  <c r="M479" i="2"/>
  <c r="M466" i="2"/>
  <c r="M453" i="2"/>
  <c r="M441" i="2"/>
  <c r="M429" i="2"/>
  <c r="M417" i="2"/>
  <c r="M405" i="2"/>
  <c r="M393" i="2"/>
  <c r="M381" i="2"/>
  <c r="M369" i="2"/>
  <c r="M357" i="2"/>
  <c r="M345" i="2"/>
  <c r="M333" i="2"/>
  <c r="M321" i="2"/>
  <c r="M309" i="2"/>
  <c r="M297" i="2"/>
  <c r="M285" i="2"/>
  <c r="M273" i="2"/>
  <c r="M261" i="2"/>
  <c r="M249" i="2"/>
  <c r="M237" i="2"/>
  <c r="M225" i="2"/>
  <c r="M213" i="2"/>
  <c r="M201" i="2"/>
  <c r="M189" i="2"/>
  <c r="M177" i="2"/>
  <c r="M165" i="2"/>
  <c r="M153" i="2"/>
  <c r="M141" i="2"/>
  <c r="M129" i="2"/>
  <c r="M117" i="2"/>
  <c r="M105" i="2"/>
  <c r="M93" i="2"/>
  <c r="M81" i="2"/>
  <c r="M69" i="2"/>
  <c r="M57" i="2"/>
  <c r="M45" i="2"/>
  <c r="M33" i="2"/>
  <c r="M21" i="2"/>
  <c r="M9" i="2"/>
  <c r="M982" i="2"/>
  <c r="M968" i="2"/>
  <c r="M954" i="2"/>
  <c r="M940" i="2"/>
  <c r="M926" i="2"/>
  <c r="M910" i="2"/>
  <c r="M896" i="2"/>
  <c r="M882" i="2"/>
  <c r="M868" i="2"/>
  <c r="M854" i="2"/>
  <c r="M839" i="2"/>
  <c r="M825" i="2"/>
  <c r="M811" i="2"/>
  <c r="M797" i="2"/>
  <c r="M783" i="2"/>
  <c r="M769" i="2"/>
  <c r="M753" i="2"/>
  <c r="M739" i="2"/>
  <c r="M725" i="2"/>
  <c r="M711" i="2"/>
  <c r="M697" i="2"/>
  <c r="M682" i="2"/>
  <c r="M668" i="2"/>
  <c r="M654" i="2"/>
  <c r="M640" i="2"/>
  <c r="M626" i="2"/>
  <c r="M611" i="2"/>
  <c r="M596" i="2"/>
  <c r="M582" i="2"/>
  <c r="M568" i="2"/>
  <c r="M554" i="2"/>
  <c r="M539" i="2"/>
  <c r="M525" i="2"/>
  <c r="M511" i="2"/>
  <c r="M497" i="2"/>
  <c r="M483" i="2"/>
  <c r="M469" i="2"/>
  <c r="M454" i="2"/>
  <c r="M440" i="2"/>
  <c r="M427" i="2"/>
  <c r="M414" i="2"/>
  <c r="M401" i="2"/>
  <c r="M388" i="2"/>
  <c r="M375" i="2"/>
  <c r="M362" i="2"/>
  <c r="M349" i="2"/>
  <c r="M336" i="2"/>
  <c r="M323" i="2"/>
  <c r="M310" i="2"/>
  <c r="M296" i="2"/>
  <c r="M283" i="2"/>
  <c r="M270" i="2"/>
  <c r="M257" i="2"/>
  <c r="M244" i="2"/>
  <c r="M231" i="2"/>
  <c r="M218" i="2"/>
  <c r="M205" i="2"/>
  <c r="M192" i="2"/>
  <c r="M179" i="2"/>
  <c r="M166" i="2"/>
  <c r="M152" i="2"/>
  <c r="M139" i="2"/>
  <c r="M126" i="2"/>
  <c r="M113" i="2"/>
  <c r="M100" i="2"/>
  <c r="M87" i="2"/>
  <c r="M74" i="2"/>
  <c r="M61" i="2"/>
  <c r="M48" i="2"/>
  <c r="M35" i="2"/>
  <c r="M22" i="2"/>
  <c r="M8" i="2"/>
  <c r="M981" i="2"/>
  <c r="M967" i="2"/>
  <c r="M953" i="2"/>
  <c r="M939" i="2"/>
  <c r="M923" i="2"/>
  <c r="M909" i="2"/>
  <c r="M895" i="2"/>
  <c r="M881" i="2"/>
  <c r="M867" i="2"/>
  <c r="M853" i="2"/>
  <c r="M838" i="2"/>
  <c r="M824" i="2"/>
  <c r="M810" i="2"/>
  <c r="M796" i="2"/>
  <c r="M782" i="2"/>
  <c r="M766" i="2"/>
  <c r="M752" i="2"/>
  <c r="M738" i="2"/>
  <c r="M724" i="2"/>
  <c r="M710" i="2"/>
  <c r="M695" i="2"/>
  <c r="M681" i="2"/>
  <c r="M667" i="2"/>
  <c r="M653" i="2"/>
  <c r="M639" i="2"/>
  <c r="M625" i="2"/>
  <c r="M609" i="2"/>
  <c r="M595" i="2"/>
  <c r="M581" i="2"/>
  <c r="M567" i="2"/>
  <c r="M553" i="2"/>
  <c r="M538" i="2"/>
  <c r="M524" i="2"/>
  <c r="M510" i="2"/>
  <c r="M496" i="2"/>
  <c r="M482" i="2"/>
  <c r="M467" i="2"/>
  <c r="M452" i="2"/>
  <c r="M439" i="2"/>
  <c r="M426" i="2"/>
  <c r="M413" i="2"/>
  <c r="M400" i="2"/>
  <c r="M387" i="2"/>
  <c r="M374" i="2"/>
  <c r="M361" i="2"/>
  <c r="M348" i="2"/>
  <c r="M335" i="2"/>
  <c r="M322" i="2"/>
  <c r="M308" i="2"/>
  <c r="M295" i="2"/>
  <c r="M282" i="2"/>
  <c r="M269" i="2"/>
  <c r="M256" i="2"/>
  <c r="M243" i="2"/>
  <c r="M230" i="2"/>
  <c r="M217" i="2"/>
  <c r="M204" i="2"/>
  <c r="M191" i="2"/>
  <c r="M178" i="2"/>
  <c r="M164" i="2"/>
  <c r="M151" i="2"/>
  <c r="M138" i="2"/>
  <c r="M125" i="2"/>
  <c r="M112" i="2"/>
  <c r="M99" i="2"/>
  <c r="M86" i="2"/>
  <c r="M73" i="2"/>
  <c r="M60" i="2"/>
  <c r="M47" i="2"/>
  <c r="M34" i="2"/>
  <c r="M20" i="2"/>
  <c r="M7" i="2"/>
  <c r="M975" i="2"/>
  <c r="M958" i="2"/>
  <c r="M942" i="2"/>
  <c r="M922" i="2"/>
  <c r="M906" i="2"/>
  <c r="M890" i="2"/>
  <c r="M873" i="2"/>
  <c r="M856" i="2"/>
  <c r="M837" i="2"/>
  <c r="M821" i="2"/>
  <c r="M803" i="2"/>
  <c r="M787" i="2"/>
  <c r="M771" i="2"/>
  <c r="M751" i="2"/>
  <c r="M735" i="2"/>
  <c r="M718" i="2"/>
  <c r="M701" i="2"/>
  <c r="M685" i="2"/>
  <c r="M666" i="2"/>
  <c r="M649" i="2"/>
  <c r="M632" i="2"/>
  <c r="M616" i="2"/>
  <c r="M599" i="2"/>
  <c r="M580" i="2"/>
  <c r="M563" i="2"/>
  <c r="M547" i="2"/>
  <c r="M530" i="2"/>
  <c r="M513" i="2"/>
  <c r="M495" i="2"/>
  <c r="M477" i="2"/>
  <c r="M461" i="2"/>
  <c r="M445" i="2"/>
  <c r="M430" i="2"/>
  <c r="M412" i="2"/>
  <c r="M397" i="2"/>
  <c r="M382" i="2"/>
  <c r="M366" i="2"/>
  <c r="M351" i="2"/>
  <c r="M334" i="2"/>
  <c r="M318" i="2"/>
  <c r="M303" i="2"/>
  <c r="M288" i="2"/>
  <c r="M272" i="2"/>
  <c r="M255" i="2"/>
  <c r="M240" i="2"/>
  <c r="M224" i="2"/>
  <c r="M209" i="2"/>
  <c r="M194" i="2"/>
  <c r="M176" i="2"/>
  <c r="M161" i="2"/>
  <c r="M146" i="2"/>
  <c r="M131" i="2"/>
  <c r="M115" i="2"/>
  <c r="M98" i="2"/>
  <c r="M83" i="2"/>
  <c r="M67" i="2"/>
  <c r="M52" i="2"/>
  <c r="M37" i="2"/>
  <c r="M19" i="2"/>
  <c r="M4" i="2"/>
  <c r="M989" i="2"/>
  <c r="M973" i="2"/>
  <c r="M956" i="2"/>
  <c r="M937" i="2"/>
  <c r="M920" i="2"/>
  <c r="M904" i="2"/>
  <c r="M887" i="2"/>
  <c r="M870" i="2"/>
  <c r="M851" i="2"/>
  <c r="M835" i="2"/>
  <c r="M818" i="2"/>
  <c r="M801" i="2"/>
  <c r="M785" i="2"/>
  <c r="M765" i="2"/>
  <c r="M749" i="2"/>
  <c r="M733" i="2"/>
  <c r="M716" i="2"/>
  <c r="M699" i="2"/>
  <c r="M680" i="2"/>
  <c r="M664" i="2"/>
  <c r="M646" i="2"/>
  <c r="M630" i="2"/>
  <c r="M614" i="2"/>
  <c r="M594" i="2"/>
  <c r="M578" i="2"/>
  <c r="M561" i="2"/>
  <c r="M544" i="2"/>
  <c r="M527" i="2"/>
  <c r="M509" i="2"/>
  <c r="M491" i="2"/>
  <c r="M475" i="2"/>
  <c r="M459" i="2"/>
  <c r="M443" i="2"/>
  <c r="M425" i="2"/>
  <c r="M410" i="2"/>
  <c r="M395" i="2"/>
  <c r="M379" i="2"/>
  <c r="M364" i="2"/>
  <c r="M347" i="2"/>
  <c r="M331" i="2"/>
  <c r="M316" i="2"/>
  <c r="M301" i="2"/>
  <c r="M286" i="2"/>
  <c r="M268" i="2"/>
  <c r="M253" i="2"/>
  <c r="M238" i="2"/>
  <c r="M222" i="2"/>
  <c r="M207" i="2"/>
  <c r="M190" i="2"/>
  <c r="M174" i="2"/>
  <c r="M986" i="2"/>
  <c r="M965" i="2"/>
  <c r="M945" i="2"/>
  <c r="M927" i="2"/>
  <c r="M903" i="2"/>
  <c r="M883" i="2"/>
  <c r="M862" i="2"/>
  <c r="M843" i="2"/>
  <c r="M822" i="2"/>
  <c r="M800" i="2"/>
  <c r="M778" i="2"/>
  <c r="M760" i="2"/>
  <c r="M740" i="2"/>
  <c r="M719" i="2"/>
  <c r="M698" i="2"/>
  <c r="M677" i="2"/>
  <c r="M657" i="2"/>
  <c r="M635" i="2"/>
  <c r="M617" i="2"/>
  <c r="M593" i="2"/>
  <c r="M574" i="2"/>
  <c r="M555" i="2"/>
  <c r="M534" i="2"/>
  <c r="M514" i="2"/>
  <c r="M490" i="2"/>
  <c r="M472" i="2"/>
  <c r="M450" i="2"/>
  <c r="M433" i="2"/>
  <c r="M415" i="2"/>
  <c r="M394" i="2"/>
  <c r="M376" i="2"/>
  <c r="M356" i="2"/>
  <c r="M339" i="2"/>
  <c r="M319" i="2"/>
  <c r="M300" i="2"/>
  <c r="M280" i="2"/>
  <c r="M263" i="2"/>
  <c r="M245" i="2"/>
  <c r="M226" i="2"/>
  <c r="M206" i="2"/>
  <c r="M186" i="2"/>
  <c r="M169" i="2"/>
  <c r="M150" i="2"/>
  <c r="M134" i="2"/>
  <c r="M118" i="2"/>
  <c r="M101" i="2"/>
  <c r="M82" i="2"/>
  <c r="M65" i="2"/>
  <c r="M49" i="2"/>
  <c r="M30" i="2"/>
  <c r="M14" i="2"/>
  <c r="M985" i="2"/>
  <c r="M963" i="2"/>
  <c r="M944" i="2"/>
  <c r="M921" i="2"/>
  <c r="M902" i="2"/>
  <c r="M880" i="2"/>
  <c r="M861" i="2"/>
  <c r="M842" i="2"/>
  <c r="M819" i="2"/>
  <c r="M799" i="2"/>
  <c r="M777" i="2"/>
  <c r="M759" i="2"/>
  <c r="M737" i="2"/>
  <c r="M717" i="2"/>
  <c r="M694" i="2"/>
  <c r="M675" i="2"/>
  <c r="M656" i="2"/>
  <c r="M634" i="2"/>
  <c r="M615" i="2"/>
  <c r="M592" i="2"/>
  <c r="M573" i="2"/>
  <c r="M551" i="2"/>
  <c r="M533" i="2"/>
  <c r="M512" i="2"/>
  <c r="M489" i="2"/>
  <c r="M471" i="2"/>
  <c r="M449" i="2"/>
  <c r="M432" i="2"/>
  <c r="M411" i="2"/>
  <c r="M392" i="2"/>
  <c r="M373" i="2"/>
  <c r="M355" i="2"/>
  <c r="M338" i="2"/>
  <c r="M317" i="2"/>
  <c r="M299" i="2"/>
  <c r="M279" i="2"/>
  <c r="M262" i="2"/>
  <c r="M242" i="2"/>
  <c r="M223" i="2"/>
  <c r="M203" i="2"/>
  <c r="M185" i="2"/>
  <c r="M168" i="2"/>
  <c r="M149" i="2"/>
  <c r="M133" i="2"/>
  <c r="M116" i="2"/>
  <c r="M97" i="2"/>
  <c r="M80" i="2"/>
  <c r="M64" i="2"/>
  <c r="M46" i="2"/>
  <c r="M29" i="2"/>
  <c r="M13" i="2"/>
  <c r="M979" i="2"/>
  <c r="M959" i="2"/>
  <c r="M935" i="2"/>
  <c r="M917" i="2"/>
  <c r="M897" i="2"/>
  <c r="M877" i="2"/>
  <c r="M857" i="2"/>
  <c r="M834" i="2"/>
  <c r="M814" i="2"/>
  <c r="M793" i="2"/>
  <c r="M774" i="2"/>
  <c r="M755" i="2"/>
  <c r="M731" i="2"/>
  <c r="M712" i="2"/>
  <c r="M691" i="2"/>
  <c r="M671" i="2"/>
  <c r="M651" i="2"/>
  <c r="M629" i="2"/>
  <c r="M607" i="2"/>
  <c r="M589" i="2"/>
  <c r="M569" i="2"/>
  <c r="M548" i="2"/>
  <c r="M526" i="2"/>
  <c r="M505" i="2"/>
  <c r="M486" i="2"/>
  <c r="M464" i="2"/>
  <c r="M446" i="2"/>
  <c r="M424" i="2"/>
  <c r="M407" i="2"/>
  <c r="M974" i="2"/>
  <c r="M947" i="2"/>
  <c r="M918" i="2"/>
  <c r="M892" i="2"/>
  <c r="M865" i="2"/>
  <c r="M836" i="2"/>
  <c r="M809" i="2"/>
  <c r="M784" i="2"/>
  <c r="M757" i="2"/>
  <c r="M727" i="2"/>
  <c r="M703" i="2"/>
  <c r="M673" i="2"/>
  <c r="M644" i="2"/>
  <c r="M619" i="2"/>
  <c r="M590" i="2"/>
  <c r="M562" i="2"/>
  <c r="M536" i="2"/>
  <c r="M507" i="2"/>
  <c r="M481" i="2"/>
  <c r="M455" i="2"/>
  <c r="M428" i="2"/>
  <c r="M403" i="2"/>
  <c r="M380" i="2"/>
  <c r="M358" i="2"/>
  <c r="M332" i="2"/>
  <c r="M312" i="2"/>
  <c r="M290" i="2"/>
  <c r="M266" i="2"/>
  <c r="M246" i="2"/>
  <c r="M220" i="2"/>
  <c r="M198" i="2"/>
  <c r="M175" i="2"/>
  <c r="M156" i="2"/>
  <c r="M135" i="2"/>
  <c r="M111" i="2"/>
  <c r="M92" i="2"/>
  <c r="M72" i="2"/>
  <c r="M53" i="2"/>
  <c r="M31" i="2"/>
  <c r="M11" i="2"/>
  <c r="M970" i="2"/>
  <c r="M943" i="2"/>
  <c r="M915" i="2"/>
  <c r="M889" i="2"/>
  <c r="M860" i="2"/>
  <c r="M831" i="2"/>
  <c r="M806" i="2"/>
  <c r="M776" i="2"/>
  <c r="M748" i="2"/>
  <c r="M723" i="2"/>
  <c r="M693" i="2"/>
  <c r="M669" i="2"/>
  <c r="M642" i="2"/>
  <c r="M613" i="2"/>
  <c r="M586" i="2"/>
  <c r="M559" i="2"/>
  <c r="M531" i="2"/>
  <c r="M502" i="2"/>
  <c r="M476" i="2"/>
  <c r="M448" i="2"/>
  <c r="M422" i="2"/>
  <c r="M399" i="2"/>
  <c r="M377" i="2"/>
  <c r="M353" i="2"/>
  <c r="M329" i="2"/>
  <c r="M307" i="2"/>
  <c r="M287" i="2"/>
  <c r="M264" i="2"/>
  <c r="M239" i="2"/>
  <c r="M216" i="2"/>
  <c r="M196" i="2"/>
  <c r="M172" i="2"/>
  <c r="M154" i="2"/>
  <c r="M130" i="2"/>
  <c r="M109" i="2"/>
  <c r="M90" i="2"/>
  <c r="M70" i="2"/>
  <c r="M50" i="2"/>
  <c r="M27" i="2"/>
  <c r="M6" i="2"/>
  <c r="M969" i="2"/>
  <c r="M941" i="2"/>
  <c r="M914" i="2"/>
  <c r="M886" i="2"/>
  <c r="M858" i="2"/>
  <c r="M830" i="2"/>
  <c r="M805" i="2"/>
  <c r="M775" i="2"/>
  <c r="M747" i="2"/>
  <c r="M722" i="2"/>
  <c r="M692" i="2"/>
  <c r="M665" i="2"/>
  <c r="M641" i="2"/>
  <c r="M608" i="2"/>
  <c r="M585" i="2"/>
  <c r="M557" i="2"/>
  <c r="M529" i="2"/>
  <c r="M501" i="2"/>
  <c r="M474" i="2"/>
  <c r="M447" i="2"/>
  <c r="M421" i="2"/>
  <c r="M398" i="2"/>
  <c r="M372" i="2"/>
  <c r="M352" i="2"/>
  <c r="M328" i="2"/>
  <c r="M306" i="2"/>
  <c r="M284" i="2"/>
  <c r="M260" i="2"/>
  <c r="M236" i="2"/>
  <c r="M215" i="2"/>
  <c r="M195" i="2"/>
  <c r="M171" i="2"/>
  <c r="M148" i="2"/>
  <c r="M128" i="2"/>
  <c r="M108" i="2"/>
  <c r="M89" i="2"/>
  <c r="M68" i="2"/>
  <c r="M44" i="2"/>
  <c r="M26" i="2"/>
  <c r="M5" i="2"/>
  <c r="M988" i="2"/>
  <c r="M952" i="2"/>
  <c r="M916" i="2"/>
  <c r="M878" i="2"/>
  <c r="M845" i="2"/>
  <c r="M808" i="2"/>
  <c r="M770" i="2"/>
  <c r="M734" i="2"/>
  <c r="M700" i="2"/>
  <c r="M659" i="2"/>
  <c r="M622" i="2"/>
  <c r="M587" i="2"/>
  <c r="M549" i="2"/>
  <c r="M517" i="2"/>
  <c r="M478" i="2"/>
  <c r="M438" i="2"/>
  <c r="M408" i="2"/>
  <c r="M378" i="2"/>
  <c r="M344" i="2"/>
  <c r="M315" i="2"/>
  <c r="M289" i="2"/>
  <c r="M254" i="2"/>
  <c r="M228" i="2"/>
  <c r="M197" i="2"/>
  <c r="M163" i="2"/>
  <c r="M140" i="2"/>
  <c r="M110" i="2"/>
  <c r="M84" i="2"/>
  <c r="M56" i="2"/>
  <c r="M28" i="2"/>
  <c r="M2" i="2"/>
  <c r="M987" i="2"/>
  <c r="M950" i="2"/>
  <c r="M913" i="2"/>
  <c r="M875" i="2"/>
  <c r="M844" i="2"/>
  <c r="M802" i="2"/>
  <c r="M764" i="2"/>
  <c r="M730" i="2"/>
  <c r="M690" i="2"/>
  <c r="M658" i="2"/>
  <c r="M621" i="2"/>
  <c r="M583" i="2"/>
  <c r="M546" i="2"/>
  <c r="M515" i="2"/>
  <c r="M473" i="2"/>
  <c r="M437" i="2"/>
  <c r="M406" i="2"/>
  <c r="M371" i="2"/>
  <c r="M343" i="2"/>
  <c r="M314" i="2"/>
  <c r="M281" i="2"/>
  <c r="M252" i="2"/>
  <c r="M227" i="2"/>
  <c r="M193" i="2"/>
  <c r="M162" i="2"/>
  <c r="M137" i="2"/>
  <c r="M107" i="2"/>
  <c r="M79" i="2"/>
  <c r="M55" i="2"/>
  <c r="M25" i="2"/>
  <c r="M980" i="2"/>
  <c r="M946" i="2"/>
  <c r="M907" i="2"/>
  <c r="M871" i="2"/>
  <c r="M832" i="2"/>
  <c r="M795" i="2"/>
  <c r="M762" i="2"/>
  <c r="M726" i="2"/>
  <c r="M687" i="2"/>
  <c r="M652" i="2"/>
  <c r="M618" i="2"/>
  <c r="M577" i="2"/>
  <c r="M542" i="2"/>
  <c r="M503" i="2"/>
  <c r="M465" i="2"/>
  <c r="M435" i="2"/>
  <c r="M402" i="2"/>
  <c r="M368" i="2"/>
  <c r="M341" i="2"/>
  <c r="M311" i="2"/>
  <c r="M277" i="2"/>
  <c r="M250" i="2"/>
  <c r="M219" i="2"/>
  <c r="M187" i="2"/>
  <c r="M159" i="2"/>
  <c r="M132" i="2"/>
  <c r="M104" i="2"/>
  <c r="M77" i="2"/>
  <c r="M51" i="2"/>
  <c r="M23" i="2"/>
  <c r="M978" i="2"/>
  <c r="M934" i="2"/>
  <c r="M905" i="2"/>
  <c r="M869" i="2"/>
  <c r="M829" i="2"/>
  <c r="M791" i="2"/>
  <c r="M761" i="2"/>
  <c r="M721" i="2"/>
  <c r="M686" i="2"/>
  <c r="M647" i="2"/>
  <c r="M606" i="2"/>
  <c r="M575" i="2"/>
  <c r="M541" i="2"/>
  <c r="M500" i="2"/>
  <c r="M463" i="2"/>
  <c r="M434" i="2"/>
  <c r="M396" i="2"/>
  <c r="M367" i="2"/>
  <c r="M340" i="2"/>
  <c r="M305" i="2"/>
  <c r="M276" i="2"/>
  <c r="M248" i="2"/>
  <c r="M214" i="2"/>
  <c r="M184" i="2"/>
  <c r="M158" i="2"/>
  <c r="M127" i="2"/>
  <c r="M103" i="2"/>
  <c r="M76" i="2"/>
  <c r="M43" i="2"/>
  <c r="M18" i="2"/>
  <c r="M971" i="2"/>
  <c r="M932" i="2"/>
  <c r="M899" i="2"/>
  <c r="M863" i="2"/>
  <c r="M826" i="2"/>
  <c r="M789" i="2"/>
  <c r="M750" i="2"/>
  <c r="M713" i="2"/>
  <c r="M679" i="2"/>
  <c r="M643" i="2"/>
  <c r="M604" i="2"/>
  <c r="M570" i="2"/>
  <c r="M535" i="2"/>
  <c r="M498" i="2"/>
  <c r="M460" i="2"/>
  <c r="M423" i="2"/>
  <c r="M390" i="2"/>
  <c r="M363" i="2"/>
  <c r="M330" i="2"/>
  <c r="M302" i="2"/>
  <c r="M274" i="2"/>
  <c r="M241" i="2"/>
  <c r="M211" i="2"/>
  <c r="M182" i="2"/>
  <c r="M155" i="2"/>
  <c r="M123" i="2"/>
  <c r="M96" i="2"/>
  <c r="M71" i="2"/>
  <c r="M41" i="2"/>
  <c r="M16" i="2"/>
  <c r="M966" i="2"/>
  <c r="M931" i="2"/>
  <c r="M894" i="2"/>
  <c r="M855" i="2"/>
  <c r="M823" i="2"/>
  <c r="M788" i="2"/>
  <c r="M746" i="2"/>
  <c r="M709" i="2"/>
  <c r="M678" i="2"/>
  <c r="M638" i="2"/>
  <c r="M603" i="2"/>
  <c r="M566" i="2"/>
  <c r="M523" i="2"/>
  <c r="M494" i="2"/>
  <c r="M458" i="2"/>
  <c r="M420" i="2"/>
  <c r="M389" i="2"/>
  <c r="M360" i="2"/>
  <c r="M327" i="2"/>
  <c r="M298" i="2"/>
  <c r="M271" i="2"/>
  <c r="M235" i="2"/>
  <c r="M210" i="2"/>
  <c r="M181" i="2"/>
  <c r="M147" i="2"/>
  <c r="M122" i="2"/>
  <c r="M95" i="2"/>
  <c r="M66" i="2"/>
  <c r="M40" i="2"/>
  <c r="M15" i="2"/>
  <c r="M962" i="2"/>
  <c r="M930" i="2"/>
  <c r="M893" i="2"/>
  <c r="M850" i="2"/>
  <c r="M817" i="2"/>
  <c r="M786" i="2"/>
  <c r="M745" i="2"/>
  <c r="M707" i="2"/>
  <c r="M674" i="2"/>
  <c r="M633" i="2"/>
  <c r="M602" i="2"/>
  <c r="M565" i="2"/>
  <c r="M522" i="2"/>
  <c r="M488" i="2"/>
  <c r="M457" i="2"/>
  <c r="M419" i="2"/>
  <c r="M386" i="2"/>
  <c r="M359" i="2"/>
  <c r="M326" i="2"/>
  <c r="M294" i="2"/>
  <c r="M267" i="2"/>
  <c r="M234" i="2"/>
  <c r="M208" i="2"/>
  <c r="M180" i="2"/>
  <c r="M145" i="2"/>
  <c r="M121" i="2"/>
  <c r="M94" i="2"/>
  <c r="M63" i="2"/>
  <c r="M39" i="2"/>
  <c r="M12" i="2"/>
  <c r="M983" i="2"/>
  <c r="M949" i="2"/>
  <c r="M908" i="2"/>
  <c r="M874" i="2"/>
  <c r="M841" i="2"/>
  <c r="M798" i="2"/>
  <c r="M763" i="2"/>
  <c r="M729" i="2"/>
  <c r="M688" i="2"/>
  <c r="M655" i="2"/>
  <c r="M620" i="2"/>
  <c r="M579" i="2"/>
  <c r="M543" i="2"/>
  <c r="M508" i="2"/>
  <c r="M470" i="2"/>
  <c r="M436" i="2"/>
  <c r="M404" i="2"/>
  <c r="M370" i="2"/>
  <c r="M342" i="2"/>
  <c r="M313" i="2"/>
  <c r="M278" i="2"/>
  <c r="M251" i="2"/>
  <c r="M221" i="2"/>
  <c r="M188" i="2"/>
  <c r="M160" i="2"/>
  <c r="M136" i="2"/>
  <c r="M106" i="2"/>
  <c r="M78" i="2"/>
  <c r="M54" i="2"/>
  <c r="M24" i="2"/>
  <c r="M976" i="2"/>
  <c r="M933" i="2"/>
  <c r="M901" i="2"/>
  <c r="M866" i="2"/>
  <c r="M827" i="2"/>
  <c r="M790" i="2"/>
  <c r="M758" i="2"/>
  <c r="M714" i="2"/>
  <c r="M683" i="2"/>
  <c r="M645" i="2"/>
  <c r="M605" i="2"/>
  <c r="M572" i="2"/>
  <c r="M537" i="2"/>
  <c r="M499" i="2"/>
  <c r="M462" i="2"/>
  <c r="M431" i="2"/>
  <c r="M391" i="2"/>
  <c r="M365" i="2"/>
  <c r="M337" i="2"/>
  <c r="M304" i="2"/>
  <c r="M275" i="2"/>
  <c r="M247" i="2"/>
  <c r="M212" i="2"/>
  <c r="M183" i="2"/>
  <c r="M157" i="2"/>
  <c r="M124" i="2"/>
  <c r="M102" i="2"/>
  <c r="M75" i="2"/>
  <c r="M42" i="2"/>
  <c r="M17" i="2"/>
  <c r="M114" i="2"/>
  <c r="M229" i="2"/>
  <c r="M346" i="2"/>
  <c r="M484" i="2"/>
  <c r="M627" i="2"/>
  <c r="M772" i="2"/>
  <c r="M919" i="2"/>
  <c r="P407" i="2"/>
  <c r="P944" i="2"/>
  <c r="M32" i="2"/>
  <c r="M142" i="2"/>
  <c r="M258" i="2"/>
  <c r="M383" i="2"/>
  <c r="M518" i="2"/>
  <c r="M661" i="2"/>
  <c r="M812" i="2"/>
  <c r="M955" i="2"/>
  <c r="P519" i="2"/>
  <c r="M36" i="2"/>
  <c r="M143" i="2"/>
  <c r="M259" i="2"/>
  <c r="M384" i="2"/>
  <c r="M520" i="2"/>
  <c r="M662" i="2"/>
  <c r="M813" i="2"/>
  <c r="M957" i="2"/>
  <c r="P47" i="2"/>
  <c r="P528" i="2"/>
  <c r="P986" i="2"/>
  <c r="P837" i="2"/>
  <c r="P681" i="2"/>
  <c r="P537" i="2"/>
  <c r="P393" i="2"/>
  <c r="P229" i="2"/>
  <c r="P89" i="2"/>
  <c r="P918" i="2"/>
  <c r="P752" i="2"/>
  <c r="P614" i="2"/>
  <c r="P457" i="2"/>
  <c r="P314" i="2"/>
  <c r="P152" i="2"/>
  <c r="P11" i="2"/>
  <c r="P51" i="2"/>
  <c r="P189" i="2"/>
  <c r="P310" i="2"/>
  <c r="P445" i="2"/>
  <c r="P578" i="2"/>
  <c r="P708" i="2"/>
  <c r="P833" i="2"/>
  <c r="P982" i="2"/>
  <c r="P52" i="2"/>
  <c r="P191" i="2"/>
  <c r="P345" i="2"/>
  <c r="P446" i="2"/>
  <c r="P581" i="2"/>
  <c r="P713" i="2"/>
  <c r="P836" i="2"/>
  <c r="P983" i="2"/>
  <c r="P216" i="2"/>
  <c r="P447" i="2"/>
  <c r="P722" i="2"/>
  <c r="P217" i="2"/>
  <c r="P485" i="2"/>
  <c r="P742" i="2"/>
  <c r="P985" i="2"/>
  <c r="P108" i="2"/>
  <c r="P218" i="2"/>
  <c r="P357" i="2"/>
  <c r="P486" i="2"/>
  <c r="P610" i="2"/>
  <c r="P748" i="2"/>
  <c r="P876" i="2"/>
  <c r="L2" i="2" a="1"/>
  <c r="P988" i="2"/>
  <c r="P65" i="2"/>
  <c r="P352" i="2"/>
  <c r="P585" i="2"/>
  <c r="P873" i="2"/>
  <c r="P984" i="2"/>
  <c r="P85" i="2"/>
  <c r="P353" i="2"/>
  <c r="P588" i="2"/>
  <c r="P875" i="2"/>
  <c r="P124" i="2"/>
  <c r="P228" i="2"/>
  <c r="P358" i="2"/>
  <c r="P490" i="2"/>
  <c r="P639" i="2"/>
  <c r="P749" i="2"/>
  <c r="P889" i="2"/>
  <c r="P131" i="2"/>
  <c r="P261" i="2"/>
  <c r="P361" i="2"/>
  <c r="P506" i="2"/>
  <c r="P649" i="2"/>
  <c r="P750" i="2"/>
  <c r="P890" i="2"/>
  <c r="P14" i="2"/>
  <c r="P90" i="2"/>
  <c r="P174" i="2"/>
  <c r="P233" i="2"/>
  <c r="P315" i="2"/>
  <c r="P394" i="2"/>
  <c r="P459" i="2"/>
  <c r="P542" i="2"/>
  <c r="P618" i="2"/>
  <c r="P702" i="2"/>
  <c r="P753" i="2"/>
  <c r="P838" i="2"/>
  <c r="P922" i="2"/>
  <c r="P960" i="2"/>
  <c r="P917" i="2"/>
  <c r="P872" i="2"/>
  <c r="P818" i="2"/>
  <c r="P785" i="2"/>
  <c r="P735" i="2"/>
  <c r="P689" i="2"/>
  <c r="P648" i="2"/>
  <c r="P609" i="2"/>
  <c r="P562" i="2"/>
  <c r="P517" i="2"/>
  <c r="P478" i="2"/>
  <c r="P424" i="2"/>
  <c r="P381" i="2"/>
  <c r="P344" i="2"/>
  <c r="P293" i="2"/>
  <c r="P256" i="2"/>
  <c r="P210" i="2"/>
  <c r="P159" i="2"/>
  <c r="P123" i="2"/>
  <c r="P78" i="2"/>
  <c r="P33" i="2"/>
  <c r="P959" i="2"/>
  <c r="P912" i="2"/>
  <c r="P870" i="2"/>
  <c r="P817" i="2"/>
  <c r="P776" i="2"/>
  <c r="P734" i="2"/>
  <c r="P686" i="2"/>
  <c r="P647" i="2"/>
  <c r="P603" i="2"/>
  <c r="P561" i="2"/>
  <c r="P516" i="2"/>
  <c r="P477" i="2"/>
  <c r="P423" i="2"/>
  <c r="P380" i="2"/>
  <c r="P342" i="2"/>
  <c r="P292" i="2"/>
  <c r="P253" i="2"/>
  <c r="P209" i="2"/>
  <c r="P158" i="2"/>
  <c r="P119" i="2"/>
  <c r="P74" i="2"/>
  <c r="P29" i="2"/>
  <c r="P956" i="2"/>
  <c r="P909" i="2"/>
  <c r="P867" i="2"/>
  <c r="P816" i="2"/>
  <c r="P774" i="2"/>
  <c r="P733" i="2"/>
  <c r="P685" i="2"/>
  <c r="P646" i="2"/>
  <c r="P602" i="2"/>
  <c r="P558" i="2"/>
  <c r="P509" i="2"/>
  <c r="P476" i="2"/>
  <c r="P422" i="2"/>
  <c r="P378" i="2"/>
  <c r="P339" i="2"/>
  <c r="P291" i="2"/>
  <c r="P250" i="2"/>
  <c r="P208" i="2"/>
  <c r="P157" i="2"/>
  <c r="P118" i="2"/>
  <c r="P73" i="2"/>
  <c r="P28" i="2"/>
  <c r="P989" i="2"/>
  <c r="P954" i="2"/>
  <c r="P904" i="2"/>
  <c r="P856" i="2"/>
  <c r="P810" i="2"/>
  <c r="P773" i="2"/>
  <c r="P723" i="2"/>
  <c r="P682" i="2"/>
  <c r="P645" i="2"/>
  <c r="P589" i="2"/>
  <c r="P548" i="2"/>
  <c r="P508" i="2"/>
  <c r="P460" i="2"/>
  <c r="P421" i="2"/>
  <c r="P377" i="2"/>
  <c r="P323" i="2"/>
  <c r="P290" i="2"/>
  <c r="P242" i="2"/>
  <c r="P200" i="2"/>
  <c r="P153" i="2"/>
  <c r="P117" i="2"/>
  <c r="P66" i="2"/>
  <c r="P22" i="2"/>
  <c r="P987" i="2"/>
  <c r="P945" i="2"/>
  <c r="P896" i="2"/>
  <c r="P850" i="2"/>
  <c r="P807" i="2"/>
  <c r="P766" i="2"/>
  <c r="P721" i="2"/>
  <c r="P673" i="2"/>
  <c r="P637" i="2"/>
  <c r="P587" i="2"/>
  <c r="P544" i="2"/>
  <c r="P503" i="2"/>
  <c r="P458" i="2"/>
  <c r="P413" i="2"/>
  <c r="P374" i="2"/>
  <c r="P321" i="2"/>
  <c r="P279" i="2"/>
  <c r="P238" i="2"/>
  <c r="P190" i="2"/>
  <c r="P150" i="2"/>
  <c r="P107" i="2"/>
  <c r="P64" i="2"/>
  <c r="P16" i="2"/>
  <c r="P15" i="2"/>
  <c r="P92" i="2"/>
  <c r="P176" i="2"/>
  <c r="P239" i="2"/>
  <c r="P318" i="2"/>
  <c r="P395" i="2"/>
  <c r="P479" i="2"/>
  <c r="P543" i="2"/>
  <c r="P620" i="2"/>
  <c r="P705" i="2"/>
  <c r="P767" i="2"/>
  <c r="P844" i="2"/>
  <c r="P923" i="2"/>
  <c r="P21" i="2"/>
  <c r="P95" i="2"/>
  <c r="P177" i="2"/>
  <c r="P257" i="2"/>
  <c r="P320" i="2"/>
  <c r="P405" i="2"/>
  <c r="P480" i="2"/>
  <c r="P545" i="2"/>
  <c r="P621" i="2"/>
  <c r="P706" i="2"/>
  <c r="P786" i="2"/>
  <c r="P845" i="2"/>
  <c r="P935" i="2"/>
  <c r="P46" i="2"/>
  <c r="P96" i="2"/>
  <c r="P181" i="2"/>
  <c r="P260" i="2"/>
  <c r="P322" i="2"/>
  <c r="P406" i="2"/>
  <c r="P482" i="2"/>
  <c r="P566" i="2"/>
  <c r="P622" i="2"/>
  <c r="P707" i="2"/>
  <c r="P788" i="2"/>
  <c r="P851" i="2"/>
  <c r="P936" i="2"/>
  <c r="N17" i="2"/>
  <c r="N34" i="2"/>
  <c r="N52" i="2"/>
  <c r="N70" i="2"/>
  <c r="N86" i="2"/>
  <c r="N102" i="2"/>
  <c r="N120" i="2"/>
  <c r="N138" i="2"/>
  <c r="N155" i="2"/>
  <c r="N172" i="2"/>
  <c r="N189" i="2"/>
  <c r="N205" i="2"/>
  <c r="N225" i="2"/>
  <c r="N241" i="2"/>
  <c r="N257" i="2"/>
  <c r="N274" i="2"/>
  <c r="N291" i="2"/>
  <c r="N310" i="2"/>
  <c r="N326" i="2"/>
  <c r="N344" i="2"/>
  <c r="N360" i="2"/>
  <c r="N376" i="2"/>
  <c r="N396" i="2"/>
  <c r="N412" i="2"/>
  <c r="N429" i="2"/>
  <c r="N445" i="2"/>
  <c r="N462" i="2"/>
  <c r="N483" i="2"/>
  <c r="N502" i="2"/>
  <c r="N520" i="2"/>
  <c r="N539" i="2"/>
  <c r="N556" i="2"/>
  <c r="N578" i="2"/>
  <c r="N597" i="2"/>
  <c r="N614" i="2"/>
  <c r="N634" i="2"/>
  <c r="N651" i="2"/>
  <c r="N672" i="2"/>
  <c r="N690" i="2"/>
  <c r="N709" i="2"/>
  <c r="N726" i="2"/>
  <c r="N745" i="2"/>
  <c r="N767" i="2"/>
  <c r="N784" i="2"/>
  <c r="N803" i="2"/>
  <c r="N821" i="2"/>
  <c r="N840" i="2"/>
  <c r="N863" i="2"/>
  <c r="N883" i="2"/>
  <c r="N903" i="2"/>
  <c r="N922" i="2"/>
  <c r="N943" i="2"/>
  <c r="N965" i="2"/>
  <c r="P979" i="2"/>
  <c r="P967" i="2"/>
  <c r="P955" i="2"/>
  <c r="P943" i="2"/>
  <c r="P931" i="2"/>
  <c r="P919" i="2"/>
  <c r="P907" i="2"/>
  <c r="P895" i="2"/>
  <c r="P883" i="2"/>
  <c r="P871" i="2"/>
  <c r="P859" i="2"/>
  <c r="P847" i="2"/>
  <c r="P835" i="2"/>
  <c r="P823" i="2"/>
  <c r="P811" i="2"/>
  <c r="P799" i="2"/>
  <c r="P787" i="2"/>
  <c r="P775" i="2"/>
  <c r="P763" i="2"/>
  <c r="P751" i="2"/>
  <c r="P739" i="2"/>
  <c r="P727" i="2"/>
  <c r="P715" i="2"/>
  <c r="P703" i="2"/>
  <c r="P691" i="2"/>
  <c r="P679" i="2"/>
  <c r="P667" i="2"/>
  <c r="P655" i="2"/>
  <c r="P643" i="2"/>
  <c r="P631" i="2"/>
  <c r="P619" i="2"/>
  <c r="P607" i="2"/>
  <c r="P595" i="2"/>
  <c r="P583" i="2"/>
  <c r="P571" i="2"/>
  <c r="P559" i="2"/>
  <c r="P547" i="2"/>
  <c r="P535" i="2"/>
  <c r="P523" i="2"/>
  <c r="P511" i="2"/>
  <c r="P499" i="2"/>
  <c r="P487" i="2"/>
  <c r="P475" i="2"/>
  <c r="P463" i="2"/>
  <c r="P451" i="2"/>
  <c r="P439" i="2"/>
  <c r="P427" i="2"/>
  <c r="P415" i="2"/>
  <c r="P403" i="2"/>
  <c r="P391" i="2"/>
  <c r="P379" i="2"/>
  <c r="P367" i="2"/>
  <c r="P355" i="2"/>
  <c r="P343" i="2"/>
  <c r="P331" i="2"/>
  <c r="P319" i="2"/>
  <c r="P307" i="2"/>
  <c r="P295" i="2"/>
  <c r="P283" i="2"/>
  <c r="P271" i="2"/>
  <c r="P259" i="2"/>
  <c r="P247" i="2"/>
  <c r="P235" i="2"/>
  <c r="P223" i="2"/>
  <c r="P211" i="2"/>
  <c r="P199" i="2"/>
  <c r="P187" i="2"/>
  <c r="P175" i="2"/>
  <c r="P163" i="2"/>
  <c r="P151" i="2"/>
  <c r="P139" i="2"/>
  <c r="P127" i="2"/>
  <c r="P115" i="2"/>
  <c r="P103" i="2"/>
  <c r="P91" i="2"/>
  <c r="P79" i="2"/>
  <c r="P67" i="2"/>
  <c r="P55" i="2"/>
  <c r="P43" i="2"/>
  <c r="P31" i="2"/>
  <c r="P19" i="2"/>
  <c r="P7" i="2"/>
  <c r="P980" i="2"/>
  <c r="P966" i="2"/>
  <c r="P953" i="2"/>
  <c r="P940" i="2"/>
  <c r="P927" i="2"/>
  <c r="P914" i="2"/>
  <c r="P901" i="2"/>
  <c r="P888" i="2"/>
  <c r="P978" i="2"/>
  <c r="P965" i="2"/>
  <c r="P952" i="2"/>
  <c r="P939" i="2"/>
  <c r="P926" i="2"/>
  <c r="P913" i="2"/>
  <c r="P900" i="2"/>
  <c r="P887" i="2"/>
  <c r="P874" i="2"/>
  <c r="P861" i="2"/>
  <c r="P848" i="2"/>
  <c r="P834" i="2"/>
  <c r="P821" i="2"/>
  <c r="P808" i="2"/>
  <c r="P795" i="2"/>
  <c r="P782" i="2"/>
  <c r="P769" i="2"/>
  <c r="P756" i="2"/>
  <c r="P743" i="2"/>
  <c r="P730" i="2"/>
  <c r="P717" i="2"/>
  <c r="P704" i="2"/>
  <c r="P690" i="2"/>
  <c r="P677" i="2"/>
  <c r="P664" i="2"/>
  <c r="P651" i="2"/>
  <c r="P638" i="2"/>
  <c r="P625" i="2"/>
  <c r="P612" i="2"/>
  <c r="P599" i="2"/>
  <c r="P586" i="2"/>
  <c r="P573" i="2"/>
  <c r="P560" i="2"/>
  <c r="P546" i="2"/>
  <c r="P533" i="2"/>
  <c r="P520" i="2"/>
  <c r="P507" i="2"/>
  <c r="P494" i="2"/>
  <c r="P481" i="2"/>
  <c r="P468" i="2"/>
  <c r="P455" i="2"/>
  <c r="P442" i="2"/>
  <c r="P429" i="2"/>
  <c r="P416" i="2"/>
  <c r="P402" i="2"/>
  <c r="P389" i="2"/>
  <c r="P376" i="2"/>
  <c r="P363" i="2"/>
  <c r="P350" i="2"/>
  <c r="P337" i="2"/>
  <c r="P324" i="2"/>
  <c r="P311" i="2"/>
  <c r="P298" i="2"/>
  <c r="P285" i="2"/>
  <c r="P272" i="2"/>
  <c r="P258" i="2"/>
  <c r="P245" i="2"/>
  <c r="P232" i="2"/>
  <c r="P219" i="2"/>
  <c r="P206" i="2"/>
  <c r="P193" i="2"/>
  <c r="P180" i="2"/>
  <c r="P167" i="2"/>
  <c r="P154" i="2"/>
  <c r="P141" i="2"/>
  <c r="P128" i="2"/>
  <c r="P114" i="2"/>
  <c r="P101" i="2"/>
  <c r="P88" i="2"/>
  <c r="P75" i="2"/>
  <c r="P62" i="2"/>
  <c r="P49" i="2"/>
  <c r="P36" i="2"/>
  <c r="P23" i="2"/>
  <c r="P10" i="2"/>
  <c r="P977" i="2"/>
  <c r="P962" i="2"/>
  <c r="P947" i="2"/>
  <c r="P932" i="2"/>
  <c r="P916" i="2"/>
  <c r="P899" i="2"/>
  <c r="P884" i="2"/>
  <c r="P869" i="2"/>
  <c r="P855" i="2"/>
  <c r="P841" i="2"/>
  <c r="P827" i="2"/>
  <c r="P813" i="2"/>
  <c r="P798" i="2"/>
  <c r="P784" i="2"/>
  <c r="P770" i="2"/>
  <c r="P755" i="2"/>
  <c r="P741" i="2"/>
  <c r="P726" i="2"/>
  <c r="P712" i="2"/>
  <c r="P698" i="2"/>
  <c r="P684" i="2"/>
  <c r="P670" i="2"/>
  <c r="P656" i="2"/>
  <c r="P641" i="2"/>
  <c r="P627" i="2"/>
  <c r="P613" i="2"/>
  <c r="P598" i="2"/>
  <c r="P584" i="2"/>
  <c r="P569" i="2"/>
  <c r="P555" i="2"/>
  <c r="P541" i="2"/>
  <c r="P527" i="2"/>
  <c r="P513" i="2"/>
  <c r="P498" i="2"/>
  <c r="P484" i="2"/>
  <c r="P470" i="2"/>
  <c r="P456" i="2"/>
  <c r="P441" i="2"/>
  <c r="P426" i="2"/>
  <c r="P412" i="2"/>
  <c r="P398" i="2"/>
  <c r="P384" i="2"/>
  <c r="P370" i="2"/>
  <c r="P356" i="2"/>
  <c r="P341" i="2"/>
  <c r="P327" i="2"/>
  <c r="P313" i="2"/>
  <c r="P299" i="2"/>
  <c r="P284" i="2"/>
  <c r="P269" i="2"/>
  <c r="P255" i="2"/>
  <c r="P241" i="2"/>
  <c r="P227" i="2"/>
  <c r="P213" i="2"/>
  <c r="P198" i="2"/>
  <c r="P184" i="2"/>
  <c r="P170" i="2"/>
  <c r="P156" i="2"/>
  <c r="P142" i="2"/>
  <c r="P126" i="2"/>
  <c r="P112" i="2"/>
  <c r="P98" i="2"/>
  <c r="P84" i="2"/>
  <c r="P70" i="2"/>
  <c r="P56" i="2"/>
  <c r="P41" i="2"/>
  <c r="P27" i="2"/>
  <c r="P13" i="2"/>
  <c r="P976" i="2"/>
  <c r="P961" i="2"/>
  <c r="P946" i="2"/>
  <c r="P930" i="2"/>
  <c r="P915" i="2"/>
  <c r="P898" i="2"/>
  <c r="P882" i="2"/>
  <c r="P868" i="2"/>
  <c r="P854" i="2"/>
  <c r="P840" i="2"/>
  <c r="P826" i="2"/>
  <c r="P812" i="2"/>
  <c r="P797" i="2"/>
  <c r="P783" i="2"/>
  <c r="P768" i="2"/>
  <c r="P754" i="2"/>
  <c r="P740" i="2"/>
  <c r="P725" i="2"/>
  <c r="P711" i="2"/>
  <c r="P697" i="2"/>
  <c r="P683" i="2"/>
  <c r="P669" i="2"/>
  <c r="P654" i="2"/>
  <c r="P640" i="2"/>
  <c r="P626" i="2"/>
  <c r="P611" i="2"/>
  <c r="P597" i="2"/>
  <c r="P582" i="2"/>
  <c r="P568" i="2"/>
  <c r="P554" i="2"/>
  <c r="P540" i="2"/>
  <c r="P526" i="2"/>
  <c r="P512" i="2"/>
  <c r="P497" i="2"/>
  <c r="P483" i="2"/>
  <c r="P469" i="2"/>
  <c r="P454" i="2"/>
  <c r="P440" i="2"/>
  <c r="P425" i="2"/>
  <c r="P411" i="2"/>
  <c r="P397" i="2"/>
  <c r="P383" i="2"/>
  <c r="P369" i="2"/>
  <c r="P354" i="2"/>
  <c r="P340" i="2"/>
  <c r="P326" i="2"/>
  <c r="P312" i="2"/>
  <c r="P297" i="2"/>
  <c r="P282" i="2"/>
  <c r="P268" i="2"/>
  <c r="P254" i="2"/>
  <c r="P240" i="2"/>
  <c r="P226" i="2"/>
  <c r="P212" i="2"/>
  <c r="P197" i="2"/>
  <c r="P183" i="2"/>
  <c r="P169" i="2"/>
  <c r="P155" i="2"/>
  <c r="P140" i="2"/>
  <c r="P125" i="2"/>
  <c r="P111" i="2"/>
  <c r="P97" i="2"/>
  <c r="P83" i="2"/>
  <c r="P69" i="2"/>
  <c r="P54" i="2"/>
  <c r="P40" i="2"/>
  <c r="P26" i="2"/>
  <c r="P12" i="2"/>
  <c r="P975" i="2"/>
  <c r="P958" i="2"/>
  <c r="P938" i="2"/>
  <c r="P921" i="2"/>
  <c r="P903" i="2"/>
  <c r="P881" i="2"/>
  <c r="P865" i="2"/>
  <c r="P849" i="2"/>
  <c r="P831" i="2"/>
  <c r="P815" i="2"/>
  <c r="P796" i="2"/>
  <c r="P779" i="2"/>
  <c r="P762" i="2"/>
  <c r="P746" i="2"/>
  <c r="P729" i="2"/>
  <c r="P710" i="2"/>
  <c r="P694" i="2"/>
  <c r="P676" i="2"/>
  <c r="P660" i="2"/>
  <c r="P644" i="2"/>
  <c r="P624" i="2"/>
  <c r="P608" i="2"/>
  <c r="P591" i="2"/>
  <c r="P575" i="2"/>
  <c r="P557" i="2"/>
  <c r="P539" i="2"/>
  <c r="P522" i="2"/>
  <c r="P505" i="2"/>
  <c r="P489" i="2"/>
  <c r="P472" i="2"/>
  <c r="P453" i="2"/>
  <c r="P436" i="2"/>
  <c r="P420" i="2"/>
  <c r="P404" i="2"/>
  <c r="P386" i="2"/>
  <c r="P368" i="2"/>
  <c r="P351" i="2"/>
  <c r="P334" i="2"/>
  <c r="P317" i="2"/>
  <c r="P301" i="2"/>
  <c r="P281" i="2"/>
  <c r="P265" i="2"/>
  <c r="P249" i="2"/>
  <c r="P231" i="2"/>
  <c r="P215" i="2"/>
  <c r="P196" i="2"/>
  <c r="P179" i="2"/>
  <c r="P162" i="2"/>
  <c r="P146" i="2"/>
  <c r="P130" i="2"/>
  <c r="P110" i="2"/>
  <c r="P94" i="2"/>
  <c r="P77" i="2"/>
  <c r="P60" i="2"/>
  <c r="P44" i="2"/>
  <c r="P25" i="2"/>
  <c r="P8" i="2"/>
  <c r="P974" i="2"/>
  <c r="P957" i="2"/>
  <c r="P937" i="2"/>
  <c r="P920" i="2"/>
  <c r="P902" i="2"/>
  <c r="P880" i="2"/>
  <c r="P864" i="2"/>
  <c r="P846" i="2"/>
  <c r="P830" i="2"/>
  <c r="P814" i="2"/>
  <c r="P794" i="2"/>
  <c r="P778" i="2"/>
  <c r="P761" i="2"/>
  <c r="P745" i="2"/>
  <c r="P728" i="2"/>
  <c r="P709" i="2"/>
  <c r="P693" i="2"/>
  <c r="P675" i="2"/>
  <c r="P659" i="2"/>
  <c r="P642" i="2"/>
  <c r="P623" i="2"/>
  <c r="P606" i="2"/>
  <c r="P590" i="2"/>
  <c r="P574" i="2"/>
  <c r="P556" i="2"/>
  <c r="P538" i="2"/>
  <c r="P521" i="2"/>
  <c r="P504" i="2"/>
  <c r="P488" i="2"/>
  <c r="P471" i="2"/>
  <c r="P452" i="2"/>
  <c r="P435" i="2"/>
  <c r="P419" i="2"/>
  <c r="P401" i="2"/>
  <c r="P385" i="2"/>
  <c r="P366" i="2"/>
  <c r="P349" i="2"/>
  <c r="P333" i="2"/>
  <c r="P316" i="2"/>
  <c r="P300" i="2"/>
  <c r="P280" i="2"/>
  <c r="P264" i="2"/>
  <c r="P248" i="2"/>
  <c r="P230" i="2"/>
  <c r="P214" i="2"/>
  <c r="P195" i="2"/>
  <c r="P178" i="2"/>
  <c r="P161" i="2"/>
  <c r="P145" i="2"/>
  <c r="P129" i="2"/>
  <c r="P109" i="2"/>
  <c r="P93" i="2"/>
  <c r="P76" i="2"/>
  <c r="P59" i="2"/>
  <c r="P42" i="2"/>
  <c r="P24" i="2"/>
  <c r="P6" i="2"/>
  <c r="P973" i="2"/>
  <c r="P951" i="2"/>
  <c r="P929" i="2"/>
  <c r="P908" i="2"/>
  <c r="P886" i="2"/>
  <c r="P863" i="2"/>
  <c r="P843" i="2"/>
  <c r="P822" i="2"/>
  <c r="P803" i="2"/>
  <c r="P781" i="2"/>
  <c r="P760" i="2"/>
  <c r="P738" i="2"/>
  <c r="P720" i="2"/>
  <c r="P700" i="2"/>
  <c r="P680" i="2"/>
  <c r="P658" i="2"/>
  <c r="P636" i="2"/>
  <c r="P617" i="2"/>
  <c r="P596" i="2"/>
  <c r="P577" i="2"/>
  <c r="P553" i="2"/>
  <c r="P534" i="2"/>
  <c r="P515" i="2"/>
  <c r="P493" i="2"/>
  <c r="P474" i="2"/>
  <c r="P450" i="2"/>
  <c r="P432" i="2"/>
  <c r="P410" i="2"/>
  <c r="P392" i="2"/>
  <c r="P372" i="2"/>
  <c r="P348" i="2"/>
  <c r="P329" i="2"/>
  <c r="P308" i="2"/>
  <c r="P289" i="2"/>
  <c r="P267" i="2"/>
  <c r="P246" i="2"/>
  <c r="P225" i="2"/>
  <c r="P205" i="2"/>
  <c r="P186" i="2"/>
  <c r="P165" i="2"/>
  <c r="P144" i="2"/>
  <c r="P122" i="2"/>
  <c r="P104" i="2"/>
  <c r="P82" i="2"/>
  <c r="P63" i="2"/>
  <c r="P39" i="2"/>
  <c r="P20" i="2"/>
  <c r="P2" i="2"/>
  <c r="P972" i="2"/>
  <c r="P950" i="2"/>
  <c r="P928" i="2"/>
  <c r="P906" i="2"/>
  <c r="P885" i="2"/>
  <c r="P862" i="2"/>
  <c r="P842" i="2"/>
  <c r="P820" i="2"/>
  <c r="P802" i="2"/>
  <c r="P780" i="2"/>
  <c r="P759" i="2"/>
  <c r="P737" i="2"/>
  <c r="P719" i="2"/>
  <c r="P699" i="2"/>
  <c r="P678" i="2"/>
  <c r="P657" i="2"/>
  <c r="P635" i="2"/>
  <c r="P616" i="2"/>
  <c r="P594" i="2"/>
  <c r="P576" i="2"/>
  <c r="P552" i="2"/>
  <c r="P532" i="2"/>
  <c r="P514" i="2"/>
  <c r="P492" i="2"/>
  <c r="P473" i="2"/>
  <c r="P449" i="2"/>
  <c r="P431" i="2"/>
  <c r="P409" i="2"/>
  <c r="P390" i="2"/>
  <c r="P371" i="2"/>
  <c r="P347" i="2"/>
  <c r="P328" i="2"/>
  <c r="P306" i="2"/>
  <c r="P288" i="2"/>
  <c r="P266" i="2"/>
  <c r="P244" i="2"/>
  <c r="P224" i="2"/>
  <c r="P204" i="2"/>
  <c r="P185" i="2"/>
  <c r="P164" i="2"/>
  <c r="P143" i="2"/>
  <c r="P121" i="2"/>
  <c r="P102" i="2"/>
  <c r="P81" i="2"/>
  <c r="P61" i="2"/>
  <c r="P38" i="2"/>
  <c r="P18" i="2"/>
  <c r="P971" i="2"/>
  <c r="P949" i="2"/>
  <c r="P925" i="2"/>
  <c r="P905" i="2"/>
  <c r="P879" i="2"/>
  <c r="P860" i="2"/>
  <c r="P839" i="2"/>
  <c r="P819" i="2"/>
  <c r="P801" i="2"/>
  <c r="P777" i="2"/>
  <c r="P758" i="2"/>
  <c r="P736" i="2"/>
  <c r="P718" i="2"/>
  <c r="P696" i="2"/>
  <c r="P674" i="2"/>
  <c r="P653" i="2"/>
  <c r="P634" i="2"/>
  <c r="P615" i="2"/>
  <c r="P593" i="2"/>
  <c r="P572" i="2"/>
  <c r="P551" i="2"/>
  <c r="P531" i="2"/>
  <c r="P510" i="2"/>
  <c r="P491" i="2"/>
  <c r="P467" i="2"/>
  <c r="P448" i="2"/>
  <c r="P430" i="2"/>
  <c r="P408" i="2"/>
  <c r="P388" i="2"/>
  <c r="P365" i="2"/>
  <c r="P346" i="2"/>
  <c r="P325" i="2"/>
  <c r="P305" i="2"/>
  <c r="P287" i="2"/>
  <c r="P263" i="2"/>
  <c r="P243" i="2"/>
  <c r="P222" i="2"/>
  <c r="P203" i="2"/>
  <c r="P182" i="2"/>
  <c r="P160" i="2"/>
  <c r="P138" i="2"/>
  <c r="P120" i="2"/>
  <c r="P100" i="2"/>
  <c r="P80" i="2"/>
  <c r="P58" i="2"/>
  <c r="P37" i="2"/>
  <c r="P17" i="2"/>
  <c r="P970" i="2"/>
  <c r="P942" i="2"/>
  <c r="P911" i="2"/>
  <c r="P878" i="2"/>
  <c r="P853" i="2"/>
  <c r="P828" i="2"/>
  <c r="P800" i="2"/>
  <c r="P772" i="2"/>
  <c r="P747" i="2"/>
  <c r="P716" i="2"/>
  <c r="P688" i="2"/>
  <c r="P663" i="2"/>
  <c r="P633" i="2"/>
  <c r="P605" i="2"/>
  <c r="P580" i="2"/>
  <c r="P550" i="2"/>
  <c r="P525" i="2"/>
  <c r="P500" i="2"/>
  <c r="P466" i="2"/>
  <c r="P444" i="2"/>
  <c r="P417" i="2"/>
  <c r="P387" i="2"/>
  <c r="P360" i="2"/>
  <c r="P335" i="2"/>
  <c r="P304" i="2"/>
  <c r="P277" i="2"/>
  <c r="P252" i="2"/>
  <c r="P221" i="2"/>
  <c r="P194" i="2"/>
  <c r="P171" i="2"/>
  <c r="P137" i="2"/>
  <c r="P116" i="2"/>
  <c r="P87" i="2"/>
  <c r="P57" i="2"/>
  <c r="P32" i="2"/>
  <c r="P4" i="2"/>
  <c r="P969" i="2"/>
  <c r="P941" i="2"/>
  <c r="P910" i="2"/>
  <c r="P877" i="2"/>
  <c r="P852" i="2"/>
  <c r="P825" i="2"/>
  <c r="P793" i="2"/>
  <c r="P771" i="2"/>
  <c r="P744" i="2"/>
  <c r="P714" i="2"/>
  <c r="P687" i="2"/>
  <c r="P662" i="2"/>
  <c r="P632" i="2"/>
  <c r="P604" i="2"/>
  <c r="P579" i="2"/>
  <c r="P549" i="2"/>
  <c r="P524" i="2"/>
  <c r="P496" i="2"/>
  <c r="P465" i="2"/>
  <c r="P443" i="2"/>
  <c r="P414" i="2"/>
  <c r="P382" i="2"/>
  <c r="P359" i="2"/>
  <c r="P332" i="2"/>
  <c r="P303" i="2"/>
  <c r="P276" i="2"/>
  <c r="P251" i="2"/>
  <c r="P220" i="2"/>
  <c r="P192" i="2"/>
  <c r="P168" i="2"/>
  <c r="P136" i="2"/>
  <c r="P113" i="2"/>
  <c r="P86" i="2"/>
  <c r="P53" i="2"/>
  <c r="P30" i="2"/>
  <c r="P3" i="2"/>
  <c r="P34" i="2"/>
  <c r="P68" i="2"/>
  <c r="P99" i="2"/>
  <c r="P133" i="2"/>
  <c r="P166" i="2"/>
  <c r="P201" i="2"/>
  <c r="P234" i="2"/>
  <c r="P262" i="2"/>
  <c r="P294" i="2"/>
  <c r="P330" i="2"/>
  <c r="P362" i="2"/>
  <c r="P396" i="2"/>
  <c r="P428" i="2"/>
  <c r="P461" i="2"/>
  <c r="P495" i="2"/>
  <c r="P529" i="2"/>
  <c r="P563" i="2"/>
  <c r="P592" i="2"/>
  <c r="P628" i="2"/>
  <c r="P661" i="2"/>
  <c r="P692" i="2"/>
  <c r="P724" i="2"/>
  <c r="P757" i="2"/>
  <c r="P790" i="2"/>
  <c r="P824" i="2"/>
  <c r="P857" i="2"/>
  <c r="P892" i="2"/>
  <c r="P924" i="2"/>
  <c r="P963" i="2"/>
  <c r="N988" i="2"/>
  <c r="N976" i="2"/>
  <c r="N964" i="2"/>
  <c r="N952" i="2"/>
  <c r="N940" i="2"/>
  <c r="N928" i="2"/>
  <c r="N916" i="2"/>
  <c r="N904" i="2"/>
  <c r="N892" i="2"/>
  <c r="N880" i="2"/>
  <c r="N868" i="2"/>
  <c r="N856" i="2"/>
  <c r="N844" i="2"/>
  <c r="N980" i="2"/>
  <c r="N967" i="2"/>
  <c r="N954" i="2"/>
  <c r="N941" i="2"/>
  <c r="N927" i="2"/>
  <c r="N914" i="2"/>
  <c r="N901" i="2"/>
  <c r="N888" i="2"/>
  <c r="N875" i="2"/>
  <c r="N862" i="2"/>
  <c r="N849" i="2"/>
  <c r="N836" i="2"/>
  <c r="N824" i="2"/>
  <c r="N812" i="2"/>
  <c r="N800" i="2"/>
  <c r="N788" i="2"/>
  <c r="N776" i="2"/>
  <c r="N764" i="2"/>
  <c r="N752" i="2"/>
  <c r="N740" i="2"/>
  <c r="N728" i="2"/>
  <c r="N716" i="2"/>
  <c r="N704" i="2"/>
  <c r="N692" i="2"/>
  <c r="N680" i="2"/>
  <c r="N668" i="2"/>
  <c r="N656" i="2"/>
  <c r="N644" i="2"/>
  <c r="N632" i="2"/>
  <c r="N620" i="2"/>
  <c r="N608" i="2"/>
  <c r="N596" i="2"/>
  <c r="N584" i="2"/>
  <c r="N572" i="2"/>
  <c r="N560" i="2"/>
  <c r="N548" i="2"/>
  <c r="N536" i="2"/>
  <c r="N524" i="2"/>
  <c r="N512" i="2"/>
  <c r="N500" i="2"/>
  <c r="N488" i="2"/>
  <c r="N476" i="2"/>
  <c r="N464" i="2"/>
  <c r="N979" i="2"/>
  <c r="N966" i="2"/>
  <c r="N953" i="2"/>
  <c r="N939" i="2"/>
  <c r="N926" i="2"/>
  <c r="N913" i="2"/>
  <c r="N900" i="2"/>
  <c r="N887" i="2"/>
  <c r="N874" i="2"/>
  <c r="N861" i="2"/>
  <c r="N848" i="2"/>
  <c r="N835" i="2"/>
  <c r="N823" i="2"/>
  <c r="N811" i="2"/>
  <c r="N799" i="2"/>
  <c r="N787" i="2"/>
  <c r="N775" i="2"/>
  <c r="N763" i="2"/>
  <c r="N751" i="2"/>
  <c r="N739" i="2"/>
  <c r="N727" i="2"/>
  <c r="N715" i="2"/>
  <c r="N703" i="2"/>
  <c r="N691" i="2"/>
  <c r="N679" i="2"/>
  <c r="N667" i="2"/>
  <c r="N655" i="2"/>
  <c r="N643" i="2"/>
  <c r="N631" i="2"/>
  <c r="N619" i="2"/>
  <c r="N607" i="2"/>
  <c r="N595" i="2"/>
  <c r="N583" i="2"/>
  <c r="N571" i="2"/>
  <c r="N559" i="2"/>
  <c r="N547" i="2"/>
  <c r="N535" i="2"/>
  <c r="N523" i="2"/>
  <c r="N511" i="2"/>
  <c r="N499" i="2"/>
  <c r="N487" i="2"/>
  <c r="N475" i="2"/>
  <c r="N463" i="2"/>
  <c r="N451" i="2"/>
  <c r="N439" i="2"/>
  <c r="N427" i="2"/>
  <c r="N415" i="2"/>
  <c r="N403" i="2"/>
  <c r="N391" i="2"/>
  <c r="N379" i="2"/>
  <c r="N367" i="2"/>
  <c r="N355" i="2"/>
  <c r="N343" i="2"/>
  <c r="N331" i="2"/>
  <c r="N319" i="2"/>
  <c r="N307" i="2"/>
  <c r="N295" i="2"/>
  <c r="N283" i="2"/>
  <c r="N271" i="2"/>
  <c r="N259" i="2"/>
  <c r="N247" i="2"/>
  <c r="N235" i="2"/>
  <c r="N223" i="2"/>
  <c r="N211" i="2"/>
  <c r="N199" i="2"/>
  <c r="N187" i="2"/>
  <c r="N175" i="2"/>
  <c r="N163" i="2"/>
  <c r="N151" i="2"/>
  <c r="N139" i="2"/>
  <c r="N127" i="2"/>
  <c r="N115" i="2"/>
  <c r="N103" i="2"/>
  <c r="N91" i="2"/>
  <c r="N79" i="2"/>
  <c r="N67" i="2"/>
  <c r="N55" i="2"/>
  <c r="N43" i="2"/>
  <c r="N31" i="2"/>
  <c r="N19" i="2"/>
  <c r="N7" i="2"/>
  <c r="N974" i="2"/>
  <c r="N959" i="2"/>
  <c r="N944" i="2"/>
  <c r="N929" i="2"/>
  <c r="N911" i="2"/>
  <c r="N896" i="2"/>
  <c r="N881" i="2"/>
  <c r="N865" i="2"/>
  <c r="N850" i="2"/>
  <c r="N833" i="2"/>
  <c r="N819" i="2"/>
  <c r="N805" i="2"/>
  <c r="N791" i="2"/>
  <c r="N777" i="2"/>
  <c r="N761" i="2"/>
  <c r="N747" i="2"/>
  <c r="N733" i="2"/>
  <c r="N719" i="2"/>
  <c r="N705" i="2"/>
  <c r="N689" i="2"/>
  <c r="N675" i="2"/>
  <c r="N661" i="2"/>
  <c r="N647" i="2"/>
  <c r="N633" i="2"/>
  <c r="N617" i="2"/>
  <c r="N603" i="2"/>
  <c r="N589" i="2"/>
  <c r="N575" i="2"/>
  <c r="N561" i="2"/>
  <c r="N545" i="2"/>
  <c r="N531" i="2"/>
  <c r="N517" i="2"/>
  <c r="N503" i="2"/>
  <c r="N489" i="2"/>
  <c r="N473" i="2"/>
  <c r="N459" i="2"/>
  <c r="N446" i="2"/>
  <c r="N433" i="2"/>
  <c r="N420" i="2"/>
  <c r="N407" i="2"/>
  <c r="N394" i="2"/>
  <c r="N381" i="2"/>
  <c r="N368" i="2"/>
  <c r="N354" i="2"/>
  <c r="N341" i="2"/>
  <c r="N328" i="2"/>
  <c r="N315" i="2"/>
  <c r="N302" i="2"/>
  <c r="N289" i="2"/>
  <c r="N276" i="2"/>
  <c r="N263" i="2"/>
  <c r="N250" i="2"/>
  <c r="N237" i="2"/>
  <c r="N224" i="2"/>
  <c r="N210" i="2"/>
  <c r="N197" i="2"/>
  <c r="N184" i="2"/>
  <c r="N171" i="2"/>
  <c r="N158" i="2"/>
  <c r="N145" i="2"/>
  <c r="N132" i="2"/>
  <c r="N119" i="2"/>
  <c r="N106" i="2"/>
  <c r="N93" i="2"/>
  <c r="N80" i="2"/>
  <c r="N66" i="2"/>
  <c r="N53" i="2"/>
  <c r="N40" i="2"/>
  <c r="N27" i="2"/>
  <c r="N14" i="2"/>
  <c r="N2" i="2"/>
  <c r="N981" i="2"/>
  <c r="N962" i="2"/>
  <c r="N946" i="2"/>
  <c r="N930" i="2"/>
  <c r="N910" i="2"/>
  <c r="N894" i="2"/>
  <c r="N877" i="2"/>
  <c r="N859" i="2"/>
  <c r="N842" i="2"/>
  <c r="N827" i="2"/>
  <c r="N810" i="2"/>
  <c r="N795" i="2"/>
  <c r="N780" i="2"/>
  <c r="N765" i="2"/>
  <c r="N748" i="2"/>
  <c r="N732" i="2"/>
  <c r="N717" i="2"/>
  <c r="N700" i="2"/>
  <c r="N685" i="2"/>
  <c r="N670" i="2"/>
  <c r="N653" i="2"/>
  <c r="N638" i="2"/>
  <c r="N623" i="2"/>
  <c r="N606" i="2"/>
  <c r="N591" i="2"/>
  <c r="N576" i="2"/>
  <c r="N558" i="2"/>
  <c r="N543" i="2"/>
  <c r="N528" i="2"/>
  <c r="N513" i="2"/>
  <c r="N496" i="2"/>
  <c r="N481" i="2"/>
  <c r="N466" i="2"/>
  <c r="N450" i="2"/>
  <c r="N436" i="2"/>
  <c r="N422" i="2"/>
  <c r="N408" i="2"/>
  <c r="N393" i="2"/>
  <c r="N378" i="2"/>
  <c r="N364" i="2"/>
  <c r="N350" i="2"/>
  <c r="N336" i="2"/>
  <c r="N322" i="2"/>
  <c r="N308" i="2"/>
  <c r="N293" i="2"/>
  <c r="N279" i="2"/>
  <c r="N265" i="2"/>
  <c r="N251" i="2"/>
  <c r="N236" i="2"/>
  <c r="N221" i="2"/>
  <c r="N207" i="2"/>
  <c r="N193" i="2"/>
  <c r="N179" i="2"/>
  <c r="N165" i="2"/>
  <c r="N150" i="2"/>
  <c r="N136" i="2"/>
  <c r="N122" i="2"/>
  <c r="N108" i="2"/>
  <c r="N94" i="2"/>
  <c r="N78" i="2"/>
  <c r="N64" i="2"/>
  <c r="N50" i="2"/>
  <c r="N36" i="2"/>
  <c r="N22" i="2"/>
  <c r="N8" i="2"/>
  <c r="N978" i="2"/>
  <c r="N961" i="2"/>
  <c r="N945" i="2"/>
  <c r="N925" i="2"/>
  <c r="N909" i="2"/>
  <c r="N893" i="2"/>
  <c r="N876" i="2"/>
  <c r="N858" i="2"/>
  <c r="N841" i="2"/>
  <c r="N826" i="2"/>
  <c r="N809" i="2"/>
  <c r="N794" i="2"/>
  <c r="N779" i="2"/>
  <c r="N762" i="2"/>
  <c r="N746" i="2"/>
  <c r="N731" i="2"/>
  <c r="N714" i="2"/>
  <c r="N699" i="2"/>
  <c r="N684" i="2"/>
  <c r="N669" i="2"/>
  <c r="N652" i="2"/>
  <c r="N637" i="2"/>
  <c r="N622" i="2"/>
  <c r="N605" i="2"/>
  <c r="N590" i="2"/>
  <c r="N574" i="2"/>
  <c r="N557" i="2"/>
  <c r="N542" i="2"/>
  <c r="N527" i="2"/>
  <c r="N510" i="2"/>
  <c r="N495" i="2"/>
  <c r="N480" i="2"/>
  <c r="N465" i="2"/>
  <c r="N449" i="2"/>
  <c r="N435" i="2"/>
  <c r="N421" i="2"/>
  <c r="N406" i="2"/>
  <c r="N392" i="2"/>
  <c r="N377" i="2"/>
  <c r="N363" i="2"/>
  <c r="N349" i="2"/>
  <c r="N335" i="2"/>
  <c r="N321" i="2"/>
  <c r="N306" i="2"/>
  <c r="N292" i="2"/>
  <c r="N278" i="2"/>
  <c r="N264" i="2"/>
  <c r="N249" i="2"/>
  <c r="N234" i="2"/>
  <c r="N220" i="2"/>
  <c r="N206" i="2"/>
  <c r="N192" i="2"/>
  <c r="N178" i="2"/>
  <c r="N164" i="2"/>
  <c r="N149" i="2"/>
  <c r="N135" i="2"/>
  <c r="N121" i="2"/>
  <c r="N107" i="2"/>
  <c r="N92" i="2"/>
  <c r="N77" i="2"/>
  <c r="N63" i="2"/>
  <c r="N49" i="2"/>
  <c r="N35" i="2"/>
  <c r="N21" i="2"/>
  <c r="N6" i="2"/>
  <c r="N18" i="2"/>
  <c r="N37" i="2"/>
  <c r="N54" i="2"/>
  <c r="N71" i="2"/>
  <c r="N87" i="2"/>
  <c r="N104" i="2"/>
  <c r="N123" i="2"/>
  <c r="N140" i="2"/>
  <c r="N156" i="2"/>
  <c r="N173" i="2"/>
  <c r="N190" i="2"/>
  <c r="N208" i="2"/>
  <c r="N226" i="2"/>
  <c r="N242" i="2"/>
  <c r="N258" i="2"/>
  <c r="N275" i="2"/>
  <c r="N294" i="2"/>
  <c r="N311" i="2"/>
  <c r="N327" i="2"/>
  <c r="N345" i="2"/>
  <c r="N361" i="2"/>
  <c r="N380" i="2"/>
  <c r="N397" i="2"/>
  <c r="N413" i="2"/>
  <c r="N430" i="2"/>
  <c r="N447" i="2"/>
  <c r="N467" i="2"/>
  <c r="N484" i="2"/>
  <c r="N504" i="2"/>
  <c r="N521" i="2"/>
  <c r="N540" i="2"/>
  <c r="N562" i="2"/>
  <c r="N579" i="2"/>
  <c r="N598" i="2"/>
  <c r="N615" i="2"/>
  <c r="N635" i="2"/>
  <c r="N654" i="2"/>
  <c r="N673" i="2"/>
  <c r="N693" i="2"/>
  <c r="N710" i="2"/>
  <c r="N729" i="2"/>
  <c r="N749" i="2"/>
  <c r="N768" i="2"/>
  <c r="N785" i="2"/>
  <c r="N804" i="2"/>
  <c r="N822" i="2"/>
  <c r="N843" i="2"/>
  <c r="N864" i="2"/>
  <c r="N884" i="2"/>
  <c r="N905" i="2"/>
  <c r="N923" i="2"/>
  <c r="N947" i="2"/>
  <c r="N968" i="2"/>
  <c r="N986" i="2"/>
  <c r="P5" i="2"/>
  <c r="P35" i="2"/>
  <c r="P71" i="2"/>
  <c r="P105" i="2"/>
  <c r="P134" i="2"/>
  <c r="P172" i="2"/>
  <c r="P202" i="2"/>
  <c r="P236" i="2"/>
  <c r="P270" i="2"/>
  <c r="P296" i="2"/>
  <c r="P336" i="2"/>
  <c r="P364" i="2"/>
  <c r="P399" i="2"/>
  <c r="P433" i="2"/>
  <c r="P462" i="2"/>
  <c r="P501" i="2"/>
  <c r="P530" i="2"/>
  <c r="P564" i="2"/>
  <c r="P600" i="2"/>
  <c r="P629" i="2"/>
  <c r="P665" i="2"/>
  <c r="P695" i="2"/>
  <c r="P731" i="2"/>
  <c r="P764" i="2"/>
  <c r="P791" i="2"/>
  <c r="P829" i="2"/>
  <c r="P858" i="2"/>
  <c r="P893" i="2"/>
  <c r="P933" i="2"/>
  <c r="P964" i="2"/>
  <c r="N3" i="2"/>
  <c r="N20" i="2"/>
  <c r="N38" i="2"/>
  <c r="N56" i="2"/>
  <c r="N72" i="2"/>
  <c r="N88" i="2"/>
  <c r="N105" i="2"/>
  <c r="N124" i="2"/>
  <c r="N141" i="2"/>
  <c r="N157" i="2"/>
  <c r="N174" i="2"/>
  <c r="N191" i="2"/>
  <c r="N209" i="2"/>
  <c r="N227" i="2"/>
  <c r="N243" i="2"/>
  <c r="N260" i="2"/>
  <c r="N277" i="2"/>
  <c r="N296" i="2"/>
  <c r="N312" i="2"/>
  <c r="N329" i="2"/>
  <c r="N346" i="2"/>
  <c r="N362" i="2"/>
  <c r="N382" i="2"/>
  <c r="N398" i="2"/>
  <c r="N414" i="2"/>
  <c r="N431" i="2"/>
  <c r="N448" i="2"/>
  <c r="N468" i="2"/>
  <c r="N485" i="2"/>
  <c r="N505" i="2"/>
  <c r="N522" i="2"/>
  <c r="N541" i="2"/>
  <c r="N563" i="2"/>
  <c r="N580" i="2"/>
  <c r="N599" i="2"/>
  <c r="N616" i="2"/>
  <c r="N636" i="2"/>
  <c r="N657" i="2"/>
  <c r="N674" i="2"/>
  <c r="N694" i="2"/>
  <c r="N711" i="2"/>
  <c r="N730" i="2"/>
  <c r="N750" i="2"/>
  <c r="N769" i="2"/>
  <c r="N786" i="2"/>
  <c r="N806" i="2"/>
  <c r="N825" i="2"/>
  <c r="N845" i="2"/>
  <c r="N866" i="2"/>
  <c r="N885" i="2"/>
  <c r="N906" i="2"/>
  <c r="N924" i="2"/>
  <c r="N948" i="2"/>
  <c r="N969" i="2"/>
  <c r="N987" i="2"/>
  <c r="P9" i="2"/>
  <c r="P45" i="2"/>
  <c r="P72" i="2"/>
  <c r="P106" i="2"/>
  <c r="P135" i="2"/>
  <c r="P173" i="2"/>
  <c r="P207" i="2"/>
  <c r="P237" i="2"/>
  <c r="P273" i="2"/>
  <c r="P302" i="2"/>
  <c r="P338" i="2"/>
  <c r="P373" i="2"/>
  <c r="P400" i="2"/>
  <c r="P434" i="2"/>
  <c r="P464" i="2"/>
  <c r="P502" i="2"/>
  <c r="P536" i="2"/>
  <c r="P565" i="2"/>
  <c r="P601" i="2"/>
  <c r="P630" i="2"/>
  <c r="P666" i="2"/>
  <c r="P701" i="2"/>
  <c r="P732" i="2"/>
  <c r="P765" i="2"/>
  <c r="P792" i="2"/>
  <c r="P832" i="2"/>
  <c r="P866" i="2"/>
  <c r="P894" i="2"/>
  <c r="P934" i="2"/>
  <c r="P968" i="2"/>
  <c r="K17" i="2" l="1"/>
  <c r="K251" i="2"/>
  <c r="K92" i="2"/>
  <c r="K202" i="2"/>
  <c r="K520" i="2"/>
  <c r="K649" i="2"/>
  <c r="K780" i="2"/>
  <c r="K910" i="2"/>
  <c r="K15" i="2"/>
  <c r="K122" i="2"/>
  <c r="K161" i="2"/>
  <c r="K20" i="2"/>
  <c r="K845" i="2"/>
  <c r="K680" i="2"/>
  <c r="K415" i="2"/>
  <c r="K155" i="2"/>
  <c r="K855" i="2"/>
  <c r="K489" i="2"/>
  <c r="K582" i="2"/>
  <c r="K595" i="2"/>
  <c r="K743" i="2"/>
  <c r="K87" i="2"/>
  <c r="K421" i="2"/>
  <c r="K362" i="2"/>
  <c r="K483" i="2"/>
  <c r="K851" i="2"/>
  <c r="K974" i="2"/>
  <c r="K94" i="2"/>
  <c r="K200" i="2"/>
  <c r="K287" i="2"/>
  <c r="K394" i="2"/>
  <c r="K366" i="2"/>
  <c r="K226" i="2"/>
  <c r="K86" i="2"/>
  <c r="K925" i="2"/>
  <c r="K620" i="2"/>
  <c r="K325" i="2"/>
  <c r="K57" i="2"/>
  <c r="K675" i="2"/>
  <c r="K738" i="2"/>
  <c r="K751" i="2"/>
  <c r="K645" i="2"/>
  <c r="K26" i="2"/>
  <c r="K355" i="2"/>
  <c r="K343" i="2"/>
  <c r="K458" i="2"/>
  <c r="K821" i="2"/>
  <c r="K952" i="2"/>
  <c r="K73" i="2"/>
  <c r="K179" i="2"/>
  <c r="K266" i="2"/>
  <c r="K373" i="2"/>
  <c r="K349" i="2"/>
  <c r="K210" i="2"/>
  <c r="K71" i="2"/>
  <c r="K908" i="2"/>
  <c r="K602" i="2"/>
  <c r="K312" i="2"/>
  <c r="K45" i="2"/>
  <c r="K661" i="2"/>
  <c r="K726" i="2"/>
  <c r="K739" i="2"/>
  <c r="K843" i="2"/>
  <c r="K150" i="2"/>
  <c r="K519" i="2"/>
  <c r="K386" i="2"/>
  <c r="K513" i="2"/>
  <c r="K875" i="2"/>
  <c r="K6" i="2"/>
  <c r="K112" i="2"/>
  <c r="K221" i="2"/>
  <c r="K308" i="2"/>
  <c r="K414" i="2"/>
  <c r="K382" i="2"/>
  <c r="K241" i="2"/>
  <c r="K103" i="2"/>
  <c r="K944" i="2"/>
  <c r="K635" i="2"/>
  <c r="K338" i="2"/>
  <c r="K69" i="2"/>
  <c r="K689" i="2"/>
  <c r="K750" i="2"/>
  <c r="K763" i="2"/>
  <c r="K671" i="2"/>
  <c r="K331" i="2"/>
  <c r="K208" i="2"/>
  <c r="K628" i="2"/>
  <c r="K784" i="2"/>
  <c r="K109" i="2"/>
  <c r="K216" i="2"/>
  <c r="K326" i="2"/>
  <c r="K434" i="2"/>
  <c r="K537" i="2"/>
  <c r="K664" i="2"/>
  <c r="K563" i="2"/>
  <c r="K398" i="2"/>
  <c r="K260" i="2"/>
  <c r="K101" i="2"/>
  <c r="K792" i="2"/>
  <c r="K479" i="2"/>
  <c r="K189" i="2"/>
  <c r="K833" i="2"/>
  <c r="K870" i="2"/>
  <c r="K883" i="2"/>
  <c r="K771" i="2"/>
  <c r="K399" i="2"/>
  <c r="K293" i="2"/>
  <c r="K653" i="2"/>
  <c r="K814" i="2"/>
  <c r="K130" i="2"/>
  <c r="K236" i="2"/>
  <c r="K344" i="2"/>
  <c r="K457" i="2"/>
  <c r="K562" i="2"/>
  <c r="K688" i="2"/>
  <c r="K580" i="2"/>
  <c r="K413" i="2"/>
  <c r="K276" i="2"/>
  <c r="K114" i="2"/>
  <c r="K807" i="2"/>
  <c r="K494" i="2"/>
  <c r="K201" i="2"/>
  <c r="K849" i="2"/>
  <c r="K882" i="2"/>
  <c r="K895" i="2"/>
  <c r="K874" i="2"/>
  <c r="K496" i="2"/>
  <c r="K375" i="2"/>
  <c r="K681" i="2"/>
  <c r="K837" i="2"/>
  <c r="K151" i="2"/>
  <c r="K257" i="2"/>
  <c r="K365" i="2"/>
  <c r="K482" i="2"/>
  <c r="K590" i="2"/>
  <c r="K717" i="2"/>
  <c r="K599" i="2"/>
  <c r="K433" i="2"/>
  <c r="K291" i="2"/>
  <c r="K127" i="2"/>
  <c r="K824" i="2"/>
  <c r="K509" i="2"/>
  <c r="K213" i="2"/>
  <c r="K863" i="2"/>
  <c r="K894" i="2"/>
  <c r="K907" i="2"/>
  <c r="K332" i="2"/>
  <c r="K550" i="2"/>
  <c r="K34" i="2"/>
  <c r="K865" i="2"/>
  <c r="K594" i="2"/>
  <c r="K2" i="2"/>
  <c r="K395" i="2"/>
  <c r="K252" i="2"/>
  <c r="K929" i="2"/>
  <c r="K234" i="2"/>
  <c r="K360" i="2"/>
  <c r="K477" i="2"/>
  <c r="K609" i="2"/>
  <c r="K735" i="2"/>
  <c r="K838" i="2"/>
  <c r="K969" i="2"/>
  <c r="K788" i="2"/>
  <c r="K622" i="2"/>
  <c r="K454" i="2"/>
  <c r="K258" i="2"/>
  <c r="K981" i="2"/>
  <c r="K668" i="2"/>
  <c r="K333" i="2"/>
  <c r="K438" i="2"/>
  <c r="K451" i="2"/>
  <c r="K80" i="2"/>
  <c r="K111" i="2"/>
  <c r="K222" i="2"/>
  <c r="K673" i="2"/>
  <c r="K802" i="2"/>
  <c r="K932" i="2"/>
  <c r="K143" i="2"/>
  <c r="K176" i="2"/>
  <c r="K38" i="2"/>
  <c r="K699" i="2"/>
  <c r="K430" i="2"/>
  <c r="K168" i="2"/>
  <c r="K872" i="2"/>
  <c r="K503" i="2"/>
  <c r="K607" i="2"/>
  <c r="K144" i="2"/>
  <c r="K419" i="2"/>
  <c r="K135" i="2"/>
  <c r="K244" i="2"/>
  <c r="K574" i="2"/>
  <c r="K701" i="2"/>
  <c r="K829" i="2"/>
  <c r="K957" i="2"/>
  <c r="K58" i="2"/>
  <c r="K163" i="2"/>
  <c r="K192" i="2"/>
  <c r="K53" i="2"/>
  <c r="K884" i="2"/>
  <c r="K718" i="2"/>
  <c r="K446" i="2"/>
  <c r="K181" i="2"/>
  <c r="K887" i="2"/>
  <c r="K517" i="2"/>
  <c r="K606" i="2"/>
  <c r="K619" i="2"/>
  <c r="K64" i="2"/>
  <c r="K492" i="2"/>
  <c r="K336" i="2"/>
  <c r="K956" i="2"/>
  <c r="K253" i="2"/>
  <c r="K380" i="2"/>
  <c r="K501" i="2"/>
  <c r="K629" i="2"/>
  <c r="K758" i="2"/>
  <c r="K862" i="2"/>
  <c r="K989" i="2"/>
  <c r="K806" i="2"/>
  <c r="K639" i="2"/>
  <c r="K471" i="2"/>
  <c r="K271" i="2"/>
  <c r="K11" i="2"/>
  <c r="K683" i="2"/>
  <c r="K345" i="2"/>
  <c r="K450" i="2"/>
  <c r="K463" i="2"/>
  <c r="K125" i="2"/>
  <c r="K592" i="2"/>
  <c r="K420" i="2"/>
  <c r="K984" i="2"/>
  <c r="K277" i="2"/>
  <c r="K404" i="2"/>
  <c r="K528" i="2"/>
  <c r="K656" i="2"/>
  <c r="K783" i="2"/>
  <c r="K890" i="2"/>
  <c r="K4" i="2"/>
  <c r="K827" i="2"/>
  <c r="K658" i="2"/>
  <c r="K491" i="2"/>
  <c r="K284" i="2"/>
  <c r="K24" i="2"/>
  <c r="K698" i="2"/>
  <c r="K357" i="2"/>
  <c r="K462" i="2"/>
  <c r="K475" i="2"/>
  <c r="K946" i="2"/>
  <c r="K972" i="2"/>
  <c r="K205" i="2"/>
  <c r="K211" i="2"/>
  <c r="K231" i="2"/>
  <c r="K596" i="2"/>
  <c r="K692" i="2"/>
  <c r="K516" i="2"/>
  <c r="K623" i="2"/>
  <c r="K466" i="2"/>
  <c r="K518" i="2"/>
  <c r="K156" i="2"/>
  <c r="K407" i="2"/>
  <c r="K706" i="2"/>
  <c r="K14" i="2"/>
  <c r="K265" i="2"/>
  <c r="K536" i="2"/>
  <c r="K861" i="2"/>
  <c r="K295" i="2"/>
  <c r="K597" i="2"/>
  <c r="K898" i="2"/>
  <c r="K172" i="2"/>
  <c r="K423" i="2"/>
  <c r="K724" i="2"/>
  <c r="K28" i="2"/>
  <c r="K279" i="2"/>
  <c r="K552" i="2"/>
  <c r="K853" i="2"/>
  <c r="K136" i="2"/>
  <c r="K387" i="2"/>
  <c r="K684" i="2"/>
  <c r="K985" i="2"/>
  <c r="K242" i="2"/>
  <c r="K507" i="2"/>
  <c r="K812" i="2"/>
  <c r="K78" i="2"/>
  <c r="K329" i="2"/>
  <c r="K612" i="2"/>
  <c r="K913" i="2"/>
  <c r="K185" i="2"/>
  <c r="K440" i="2"/>
  <c r="K741" i="2"/>
  <c r="K19" i="2"/>
  <c r="K209" i="2"/>
  <c r="K397" i="2"/>
  <c r="K616" i="2"/>
  <c r="K844" i="2"/>
  <c r="K68" i="2"/>
  <c r="K256" i="2"/>
  <c r="K452" i="2"/>
  <c r="K676" i="2"/>
  <c r="K903" i="2"/>
  <c r="K119" i="2"/>
  <c r="K306" i="2"/>
  <c r="K512" i="2"/>
  <c r="K736" i="2"/>
  <c r="K961" i="2"/>
  <c r="K140" i="2"/>
  <c r="K298" i="2"/>
  <c r="K461" i="2"/>
  <c r="K650" i="2"/>
  <c r="K839" i="2"/>
  <c r="K37" i="2"/>
  <c r="K194" i="2"/>
  <c r="K351" i="2"/>
  <c r="K526" i="2"/>
  <c r="K713" i="2"/>
  <c r="K902" i="2"/>
  <c r="K81" i="2"/>
  <c r="K225" i="2"/>
  <c r="K369" i="2"/>
  <c r="K531" i="2"/>
  <c r="K705" i="2"/>
  <c r="K877" i="2"/>
  <c r="K474" i="2"/>
  <c r="K618" i="2"/>
  <c r="K762" i="2"/>
  <c r="K906" i="2"/>
  <c r="K487" i="2"/>
  <c r="K631" i="2"/>
  <c r="K775" i="2"/>
  <c r="K919" i="2"/>
  <c r="K18" i="2"/>
  <c r="K60" i="2"/>
  <c r="K292" i="2"/>
  <c r="K294" i="2"/>
  <c r="K315" i="2"/>
  <c r="K696" i="2"/>
  <c r="K795" i="2"/>
  <c r="K614" i="2"/>
  <c r="K722" i="2"/>
  <c r="K567" i="2"/>
  <c r="K615" i="2"/>
  <c r="K174" i="2"/>
  <c r="K425" i="2"/>
  <c r="K728" i="2"/>
  <c r="K32" i="2"/>
  <c r="K283" i="2"/>
  <c r="K560" i="2"/>
  <c r="K889" i="2"/>
  <c r="K316" i="2"/>
  <c r="K625" i="2"/>
  <c r="K926" i="2"/>
  <c r="K191" i="2"/>
  <c r="K448" i="2"/>
  <c r="K749" i="2"/>
  <c r="K47" i="2"/>
  <c r="K300" i="2"/>
  <c r="K577" i="2"/>
  <c r="K878" i="2"/>
  <c r="K157" i="2"/>
  <c r="K408" i="2"/>
  <c r="K707" i="2"/>
  <c r="K13" i="2"/>
  <c r="K264" i="2"/>
  <c r="K533" i="2"/>
  <c r="K836" i="2"/>
  <c r="K97" i="2"/>
  <c r="K348" i="2"/>
  <c r="K637" i="2"/>
  <c r="K938" i="2"/>
  <c r="K204" i="2"/>
  <c r="K465" i="2"/>
  <c r="K766" i="2"/>
  <c r="K35" i="2"/>
  <c r="K224" i="2"/>
  <c r="K412" i="2"/>
  <c r="K638" i="2"/>
  <c r="K864" i="2"/>
  <c r="K84" i="2"/>
  <c r="K274" i="2"/>
  <c r="K469" i="2"/>
  <c r="K695" i="2"/>
  <c r="K923" i="2"/>
  <c r="K134" i="2"/>
  <c r="K322" i="2"/>
  <c r="K529" i="2"/>
  <c r="K755" i="2"/>
  <c r="K983" i="2"/>
  <c r="K154" i="2"/>
  <c r="K311" i="2"/>
  <c r="K478" i="2"/>
  <c r="K665" i="2"/>
  <c r="K854" i="2"/>
  <c r="K50" i="2"/>
  <c r="K207" i="2"/>
  <c r="K364" i="2"/>
  <c r="K541" i="2"/>
  <c r="K730" i="2"/>
  <c r="K917" i="2"/>
  <c r="K93" i="2"/>
  <c r="K237" i="2"/>
  <c r="K381" i="2"/>
  <c r="K545" i="2"/>
  <c r="K719" i="2"/>
  <c r="K891" i="2"/>
  <c r="K486" i="2"/>
  <c r="K630" i="2"/>
  <c r="K774" i="2"/>
  <c r="K918" i="2"/>
  <c r="K499" i="2"/>
  <c r="K643" i="2"/>
  <c r="K787" i="2"/>
  <c r="K931" i="2"/>
  <c r="K61" i="2"/>
  <c r="K82" i="2"/>
  <c r="K187" i="2"/>
  <c r="K374" i="2"/>
  <c r="K378" i="2"/>
  <c r="K396" i="2"/>
  <c r="K797" i="2"/>
  <c r="K893" i="2"/>
  <c r="K720" i="2"/>
  <c r="K820" i="2"/>
  <c r="K669" i="2"/>
  <c r="K721" i="2"/>
  <c r="K198" i="2"/>
  <c r="K455" i="2"/>
  <c r="K756" i="2"/>
  <c r="K56" i="2"/>
  <c r="K307" i="2"/>
  <c r="K586" i="2"/>
  <c r="K912" i="2"/>
  <c r="K340" i="2"/>
  <c r="K648" i="2"/>
  <c r="K951" i="2"/>
  <c r="K215" i="2"/>
  <c r="K476" i="2"/>
  <c r="K779" i="2"/>
  <c r="K70" i="2"/>
  <c r="K320" i="2"/>
  <c r="K601" i="2"/>
  <c r="K904" i="2"/>
  <c r="K175" i="2"/>
  <c r="K428" i="2"/>
  <c r="K731" i="2"/>
  <c r="K31" i="2"/>
  <c r="K282" i="2"/>
  <c r="K557" i="2"/>
  <c r="K860" i="2"/>
  <c r="K121" i="2"/>
  <c r="K372" i="2"/>
  <c r="K663" i="2"/>
  <c r="K968" i="2"/>
  <c r="K227" i="2"/>
  <c r="K490" i="2"/>
  <c r="K790" i="2"/>
  <c r="K52" i="2"/>
  <c r="K240" i="2"/>
  <c r="K429" i="2"/>
  <c r="K657" i="2"/>
  <c r="K881" i="2"/>
  <c r="K99" i="2"/>
  <c r="K289" i="2"/>
  <c r="K488" i="2"/>
  <c r="K716" i="2"/>
  <c r="K940" i="2"/>
  <c r="K149" i="2"/>
  <c r="K339" i="2"/>
  <c r="K549" i="2"/>
  <c r="K772" i="2"/>
  <c r="K10" i="2"/>
  <c r="K167" i="2"/>
  <c r="K324" i="2"/>
  <c r="K493" i="2"/>
  <c r="K682" i="2"/>
  <c r="K869" i="2"/>
  <c r="K63" i="2"/>
  <c r="K220" i="2"/>
  <c r="K377" i="2"/>
  <c r="K556" i="2"/>
  <c r="K745" i="2"/>
  <c r="K934" i="2"/>
  <c r="K105" i="2"/>
  <c r="K249" i="2"/>
  <c r="K393" i="2"/>
  <c r="K561" i="2"/>
  <c r="K733" i="2"/>
  <c r="K905" i="2"/>
  <c r="K498" i="2"/>
  <c r="K642" i="2"/>
  <c r="K786" i="2"/>
  <c r="K930" i="2"/>
  <c r="K511" i="2"/>
  <c r="K655" i="2"/>
  <c r="K799" i="2"/>
  <c r="K943" i="2"/>
  <c r="K124" i="2"/>
  <c r="K145" i="2"/>
  <c r="K269" i="2"/>
  <c r="K443" i="2"/>
  <c r="K467" i="2"/>
  <c r="K495" i="2"/>
  <c r="K897" i="2"/>
  <c r="K41" i="2"/>
  <c r="K817" i="2"/>
  <c r="K924" i="2"/>
  <c r="K767" i="2"/>
  <c r="K818" i="2"/>
  <c r="K217" i="2"/>
  <c r="K480" i="2"/>
  <c r="K781" i="2"/>
  <c r="K77" i="2"/>
  <c r="K328" i="2"/>
  <c r="K611" i="2"/>
  <c r="K937" i="2"/>
  <c r="K359" i="2"/>
  <c r="K672" i="2"/>
  <c r="K973" i="2"/>
  <c r="K235" i="2"/>
  <c r="K500" i="2"/>
  <c r="K801" i="2"/>
  <c r="K91" i="2"/>
  <c r="K342" i="2"/>
  <c r="K627" i="2"/>
  <c r="K928" i="2"/>
  <c r="K199" i="2"/>
  <c r="K456" i="2"/>
  <c r="K757" i="2"/>
  <c r="K54" i="2"/>
  <c r="K305" i="2"/>
  <c r="K584" i="2"/>
  <c r="K885" i="2"/>
  <c r="K139" i="2"/>
  <c r="K392" i="2"/>
  <c r="K687" i="2"/>
  <c r="K988" i="2"/>
  <c r="K248" i="2"/>
  <c r="K515" i="2"/>
  <c r="K816" i="2"/>
  <c r="K67" i="2"/>
  <c r="K255" i="2"/>
  <c r="K449" i="2"/>
  <c r="K674" i="2"/>
  <c r="K900" i="2"/>
  <c r="K116" i="2"/>
  <c r="K304" i="2"/>
  <c r="K506" i="2"/>
  <c r="K734" i="2"/>
  <c r="K959" i="2"/>
  <c r="K164" i="2"/>
  <c r="K354" i="2"/>
  <c r="K566" i="2"/>
  <c r="K794" i="2"/>
  <c r="K23" i="2"/>
  <c r="K180" i="2"/>
  <c r="K337" i="2"/>
  <c r="K508" i="2"/>
  <c r="K697" i="2"/>
  <c r="K886" i="2"/>
  <c r="K76" i="2"/>
  <c r="K233" i="2"/>
  <c r="K390" i="2"/>
  <c r="K573" i="2"/>
  <c r="K760" i="2"/>
  <c r="K950" i="2"/>
  <c r="K117" i="2"/>
  <c r="K261" i="2"/>
  <c r="K405" i="2"/>
  <c r="K575" i="2"/>
  <c r="K747" i="2"/>
  <c r="K921" i="2"/>
  <c r="K510" i="2"/>
  <c r="K654" i="2"/>
  <c r="K798" i="2"/>
  <c r="K942" i="2"/>
  <c r="K523" i="2"/>
  <c r="K667" i="2"/>
  <c r="K811" i="2"/>
  <c r="K955" i="2"/>
  <c r="K188" i="2"/>
  <c r="K229" i="2"/>
  <c r="K356" i="2"/>
  <c r="K548" i="2"/>
  <c r="K568" i="2"/>
  <c r="K593" i="2"/>
  <c r="K22" i="2"/>
  <c r="K104" i="2"/>
  <c r="K915" i="2"/>
  <c r="K123" i="2"/>
  <c r="K868" i="2"/>
  <c r="K920" i="2"/>
  <c r="K238" i="2"/>
  <c r="K502" i="2"/>
  <c r="K803" i="2"/>
  <c r="K96" i="2"/>
  <c r="K347" i="2"/>
  <c r="K662" i="2"/>
  <c r="K962" i="2"/>
  <c r="K401" i="2"/>
  <c r="K700" i="2"/>
  <c r="K3" i="2"/>
  <c r="K254" i="2"/>
  <c r="K521" i="2"/>
  <c r="K826" i="2"/>
  <c r="K110" i="2"/>
  <c r="K361" i="2"/>
  <c r="K652" i="2"/>
  <c r="K953" i="2"/>
  <c r="K218" i="2"/>
  <c r="K481" i="2"/>
  <c r="K782" i="2"/>
  <c r="K74" i="2"/>
  <c r="K327" i="2"/>
  <c r="K610" i="2"/>
  <c r="K911" i="2"/>
  <c r="K160" i="2"/>
  <c r="K411" i="2"/>
  <c r="K710" i="2"/>
  <c r="K16" i="2"/>
  <c r="K267" i="2"/>
  <c r="K538" i="2"/>
  <c r="K841" i="2"/>
  <c r="K83" i="2"/>
  <c r="K270" i="2"/>
  <c r="K468" i="2"/>
  <c r="K694" i="2"/>
  <c r="K922" i="2"/>
  <c r="K132" i="2"/>
  <c r="K319" i="2"/>
  <c r="K527" i="2"/>
  <c r="K753" i="2"/>
  <c r="K976" i="2"/>
  <c r="K182" i="2"/>
  <c r="K370" i="2"/>
  <c r="K585" i="2"/>
  <c r="K813" i="2"/>
  <c r="K36" i="2"/>
  <c r="K193" i="2"/>
  <c r="K350" i="2"/>
  <c r="K525" i="2"/>
  <c r="K712" i="2"/>
  <c r="K901" i="2"/>
  <c r="K89" i="2"/>
  <c r="K246" i="2"/>
  <c r="K403" i="2"/>
  <c r="K588" i="2"/>
  <c r="K778" i="2"/>
  <c r="K965" i="2"/>
  <c r="K129" i="2"/>
  <c r="K273" i="2"/>
  <c r="K417" i="2"/>
  <c r="K589" i="2"/>
  <c r="K761" i="2"/>
  <c r="K935" i="2"/>
  <c r="K522" i="2"/>
  <c r="K666" i="2"/>
  <c r="K810" i="2"/>
  <c r="K954" i="2"/>
  <c r="K535" i="2"/>
  <c r="K679" i="2"/>
  <c r="K823" i="2"/>
  <c r="K967" i="2"/>
  <c r="K275" i="2"/>
  <c r="K313" i="2"/>
  <c r="K539" i="2"/>
  <c r="K646" i="2"/>
  <c r="K670" i="2"/>
  <c r="K693" i="2"/>
  <c r="K85" i="2"/>
  <c r="K250" i="2"/>
  <c r="K44" i="2"/>
  <c r="K441" i="2"/>
  <c r="K970" i="2"/>
  <c r="K8" i="2"/>
  <c r="K262" i="2"/>
  <c r="K530" i="2"/>
  <c r="K831" i="2"/>
  <c r="K120" i="2"/>
  <c r="K371" i="2"/>
  <c r="K686" i="2"/>
  <c r="K987" i="2"/>
  <c r="K422" i="2"/>
  <c r="K723" i="2"/>
  <c r="K27" i="2"/>
  <c r="K278" i="2"/>
  <c r="K551" i="2"/>
  <c r="K852" i="2"/>
  <c r="K133" i="2"/>
  <c r="K384" i="2"/>
  <c r="K677" i="2"/>
  <c r="K980" i="2"/>
  <c r="K239" i="2"/>
  <c r="K504" i="2"/>
  <c r="K804" i="2"/>
  <c r="K95" i="2"/>
  <c r="K346" i="2"/>
  <c r="K632" i="2"/>
  <c r="K936" i="2"/>
  <c r="K184" i="2"/>
  <c r="K437" i="2"/>
  <c r="K740" i="2"/>
  <c r="K39" i="2"/>
  <c r="K290" i="2"/>
  <c r="K565" i="2"/>
  <c r="K866" i="2"/>
  <c r="K98" i="2"/>
  <c r="K288" i="2"/>
  <c r="K485" i="2"/>
  <c r="K711" i="2"/>
  <c r="K939" i="2"/>
  <c r="K147" i="2"/>
  <c r="K335" i="2"/>
  <c r="K544" i="2"/>
  <c r="K770" i="2"/>
  <c r="K7" i="2"/>
  <c r="K197" i="2"/>
  <c r="K385" i="2"/>
  <c r="K605" i="2"/>
  <c r="K830" i="2"/>
  <c r="K49" i="2"/>
  <c r="K206" i="2"/>
  <c r="K363" i="2"/>
  <c r="K540" i="2"/>
  <c r="K729" i="2"/>
  <c r="K916" i="2"/>
  <c r="K102" i="2"/>
  <c r="K259" i="2"/>
  <c r="K416" i="2"/>
  <c r="K604" i="2"/>
  <c r="K793" i="2"/>
  <c r="K982" i="2"/>
  <c r="K141" i="2"/>
  <c r="K285" i="2"/>
  <c r="K431" i="2"/>
  <c r="K603" i="2"/>
  <c r="K777" i="2"/>
  <c r="K949" i="2"/>
  <c r="K534" i="2"/>
  <c r="K678" i="2"/>
  <c r="K822" i="2"/>
  <c r="K966" i="2"/>
  <c r="K547" i="2"/>
  <c r="K691" i="2"/>
  <c r="K835" i="2"/>
  <c r="K979" i="2"/>
  <c r="K358" i="2"/>
  <c r="K379" i="2"/>
  <c r="K644" i="2"/>
  <c r="K746" i="2"/>
  <c r="K768" i="2"/>
  <c r="K796" i="2"/>
  <c r="K148" i="2"/>
  <c r="K42" i="2"/>
  <c r="K108" i="2"/>
  <c r="K842" i="2"/>
  <c r="K43" i="2"/>
  <c r="K29" i="2"/>
  <c r="K280" i="2"/>
  <c r="K553" i="2"/>
  <c r="K856" i="2"/>
  <c r="K138" i="2"/>
  <c r="K391" i="2"/>
  <c r="K709" i="2"/>
  <c r="K171" i="2"/>
  <c r="K444" i="2"/>
  <c r="K748" i="2"/>
  <c r="K46" i="2"/>
  <c r="K296" i="2"/>
  <c r="K576" i="2"/>
  <c r="K876" i="2"/>
  <c r="K152" i="2"/>
  <c r="K406" i="2"/>
  <c r="K704" i="2"/>
  <c r="K12" i="2"/>
  <c r="K263" i="2"/>
  <c r="K532" i="2"/>
  <c r="K832" i="2"/>
  <c r="K118" i="2"/>
  <c r="K368" i="2"/>
  <c r="K659" i="2"/>
  <c r="K960" i="2"/>
  <c r="K203" i="2"/>
  <c r="K460" i="2"/>
  <c r="K765" i="2"/>
  <c r="K59" i="2"/>
  <c r="K310" i="2"/>
  <c r="K591" i="2"/>
  <c r="K892" i="2"/>
  <c r="K113" i="2"/>
  <c r="K303" i="2"/>
  <c r="K505" i="2"/>
  <c r="K732" i="2"/>
  <c r="K958" i="2"/>
  <c r="K162" i="2"/>
  <c r="K352" i="2"/>
  <c r="K564" i="2"/>
  <c r="K789" i="2"/>
  <c r="K25" i="2"/>
  <c r="K212" i="2"/>
  <c r="K400" i="2"/>
  <c r="K624" i="2"/>
  <c r="K850" i="2"/>
  <c r="K62" i="2"/>
  <c r="K219" i="2"/>
  <c r="K376" i="2"/>
  <c r="K555" i="2"/>
  <c r="K744" i="2"/>
  <c r="K933" i="2"/>
  <c r="K115" i="2"/>
  <c r="K272" i="2"/>
  <c r="K432" i="2"/>
  <c r="K621" i="2"/>
  <c r="K808" i="2"/>
  <c r="K9" i="2"/>
  <c r="K153" i="2"/>
  <c r="K297" i="2"/>
  <c r="K445" i="2"/>
  <c r="K617" i="2"/>
  <c r="K791" i="2"/>
  <c r="K963" i="2"/>
  <c r="K546" i="2"/>
  <c r="K690" i="2"/>
  <c r="K834" i="2"/>
  <c r="K978" i="2"/>
  <c r="K559" i="2"/>
  <c r="K703" i="2"/>
  <c r="K847" i="2"/>
  <c r="K442" i="2"/>
  <c r="K470" i="2"/>
  <c r="K742" i="2"/>
  <c r="K848" i="2"/>
  <c r="K873" i="2"/>
  <c r="K896" i="2"/>
  <c r="K230" i="2"/>
  <c r="K106" i="2"/>
  <c r="K186" i="2"/>
  <c r="K65" i="2"/>
  <c r="K107" i="2"/>
  <c r="K48" i="2"/>
  <c r="K301" i="2"/>
  <c r="K578" i="2"/>
  <c r="K879" i="2"/>
  <c r="K159" i="2"/>
  <c r="K410" i="2"/>
  <c r="K737" i="2"/>
  <c r="K190" i="2"/>
  <c r="K472" i="2"/>
  <c r="K773" i="2"/>
  <c r="K66" i="2"/>
  <c r="K317" i="2"/>
  <c r="K598" i="2"/>
  <c r="K899" i="2"/>
  <c r="K173" i="2"/>
  <c r="K424" i="2"/>
  <c r="K725" i="2"/>
  <c r="K30" i="2"/>
  <c r="K281" i="2"/>
  <c r="K554" i="2"/>
  <c r="K857" i="2"/>
  <c r="K137" i="2"/>
  <c r="K388" i="2"/>
  <c r="K685" i="2"/>
  <c r="K986" i="2"/>
  <c r="K223" i="2"/>
  <c r="K484" i="2"/>
  <c r="K785" i="2"/>
  <c r="K79" i="2"/>
  <c r="K330" i="2"/>
  <c r="K613" i="2"/>
  <c r="K914" i="2"/>
  <c r="K131" i="2"/>
  <c r="K318" i="2"/>
  <c r="K524" i="2"/>
  <c r="K752" i="2"/>
  <c r="K975" i="2"/>
  <c r="K178" i="2"/>
  <c r="K367" i="2"/>
  <c r="K581" i="2"/>
  <c r="K809" i="2"/>
  <c r="K40" i="2"/>
  <c r="K228" i="2"/>
  <c r="K418" i="2"/>
  <c r="K641" i="2"/>
  <c r="K867" i="2"/>
  <c r="K75" i="2"/>
  <c r="K232" i="2"/>
  <c r="K389" i="2"/>
  <c r="K572" i="2"/>
  <c r="K759" i="2"/>
  <c r="K948" i="2"/>
  <c r="K128" i="2"/>
  <c r="K286" i="2"/>
  <c r="K447" i="2"/>
  <c r="K636" i="2"/>
  <c r="K825" i="2"/>
  <c r="K21" i="2"/>
  <c r="K165" i="2"/>
  <c r="K309" i="2"/>
  <c r="K459" i="2"/>
  <c r="K633" i="2"/>
  <c r="K805" i="2"/>
  <c r="K977" i="2"/>
  <c r="K558" i="2"/>
  <c r="K702" i="2"/>
  <c r="K846" i="2"/>
  <c r="K427" i="2"/>
  <c r="K571" i="2"/>
  <c r="K715" i="2"/>
  <c r="K859" i="2"/>
  <c r="K542" i="2"/>
  <c r="K569" i="2"/>
  <c r="K945" i="2"/>
  <c r="K947" i="2"/>
  <c r="K971" i="2"/>
  <c r="K166" i="2"/>
  <c r="K314" i="2"/>
  <c r="K169" i="2"/>
  <c r="K268" i="2"/>
  <c r="K126" i="2"/>
  <c r="K170" i="2"/>
  <c r="K72" i="2"/>
  <c r="K323" i="2"/>
  <c r="K608" i="2"/>
  <c r="K909" i="2"/>
  <c r="K183" i="2"/>
  <c r="K436" i="2"/>
  <c r="K764" i="2"/>
  <c r="K214" i="2"/>
  <c r="K497" i="2"/>
  <c r="K800" i="2"/>
  <c r="K90" i="2"/>
  <c r="K341" i="2"/>
  <c r="K626" i="2"/>
  <c r="K927" i="2"/>
  <c r="K196" i="2"/>
  <c r="K453" i="2"/>
  <c r="K754" i="2"/>
  <c r="K51" i="2"/>
  <c r="K302" i="2"/>
  <c r="K579" i="2"/>
  <c r="K880" i="2"/>
  <c r="K158" i="2"/>
  <c r="K409" i="2"/>
  <c r="K708" i="2"/>
  <c r="K634" i="2"/>
  <c r="K247" i="2"/>
  <c r="K514" i="2"/>
  <c r="K815" i="2"/>
  <c r="K100" i="2"/>
  <c r="K353" i="2"/>
  <c r="K640" i="2"/>
  <c r="K941" i="2"/>
  <c r="K146" i="2"/>
  <c r="K334" i="2"/>
  <c r="K543" i="2"/>
  <c r="K769" i="2"/>
  <c r="K5" i="2"/>
  <c r="K195" i="2"/>
  <c r="K383" i="2"/>
  <c r="K600" i="2"/>
  <c r="K828" i="2"/>
  <c r="K55" i="2"/>
  <c r="K243" i="2"/>
  <c r="K435" i="2"/>
  <c r="K660" i="2"/>
  <c r="K888" i="2"/>
  <c r="K88" i="2"/>
  <c r="K245" i="2"/>
  <c r="K402" i="2"/>
  <c r="K587" i="2"/>
  <c r="K776" i="2"/>
  <c r="K964" i="2"/>
  <c r="K142" i="2"/>
  <c r="K299" i="2"/>
  <c r="K464" i="2"/>
  <c r="K651" i="2"/>
  <c r="K840" i="2"/>
  <c r="K33" i="2"/>
  <c r="K177" i="2"/>
  <c r="K321" i="2"/>
  <c r="K473" i="2"/>
  <c r="K647" i="2"/>
  <c r="K819" i="2"/>
  <c r="K426" i="2"/>
  <c r="K570" i="2"/>
  <c r="K714" i="2"/>
  <c r="K858" i="2"/>
  <c r="K439" i="2"/>
  <c r="K583" i="2"/>
  <c r="K727" i="2"/>
  <c r="L986" i="2"/>
  <c r="L974" i="2"/>
  <c r="L962" i="2"/>
  <c r="L950" i="2"/>
  <c r="L938" i="2"/>
  <c r="L926" i="2"/>
  <c r="L914" i="2"/>
  <c r="L902" i="2"/>
  <c r="L890" i="2"/>
  <c r="L878" i="2"/>
  <c r="L866" i="2"/>
  <c r="L854" i="2"/>
  <c r="L842" i="2"/>
  <c r="L830" i="2"/>
  <c r="L818" i="2"/>
  <c r="L806" i="2"/>
  <c r="L794" i="2"/>
  <c r="L782" i="2"/>
  <c r="L770" i="2"/>
  <c r="L758" i="2"/>
  <c r="L746" i="2"/>
  <c r="L734" i="2"/>
  <c r="L722" i="2"/>
  <c r="L710" i="2"/>
  <c r="L698" i="2"/>
  <c r="L686" i="2"/>
  <c r="L674" i="2"/>
  <c r="L662" i="2"/>
  <c r="L650" i="2"/>
  <c r="L638" i="2"/>
  <c r="L626" i="2"/>
  <c r="L614" i="2"/>
  <c r="L602" i="2"/>
  <c r="L590" i="2"/>
  <c r="L578" i="2"/>
  <c r="L566" i="2"/>
  <c r="L554" i="2"/>
  <c r="L542" i="2"/>
  <c r="L530" i="2"/>
  <c r="L518" i="2"/>
  <c r="L506" i="2"/>
  <c r="L494" i="2"/>
  <c r="L482" i="2"/>
  <c r="L470" i="2"/>
  <c r="L458" i="2"/>
  <c r="L446" i="2"/>
  <c r="L434" i="2"/>
  <c r="L422" i="2"/>
  <c r="L410" i="2"/>
  <c r="L398" i="2"/>
  <c r="L386" i="2"/>
  <c r="L374" i="2"/>
  <c r="L362" i="2"/>
  <c r="L350" i="2"/>
  <c r="L338" i="2"/>
  <c r="L326" i="2"/>
  <c r="L314" i="2"/>
  <c r="L302" i="2"/>
  <c r="L290" i="2"/>
  <c r="L278" i="2"/>
  <c r="L266" i="2"/>
  <c r="L254" i="2"/>
  <c r="L242" i="2"/>
  <c r="L230" i="2"/>
  <c r="L218" i="2"/>
  <c r="L206" i="2"/>
  <c r="L194" i="2"/>
  <c r="L182" i="2"/>
  <c r="L170" i="2"/>
  <c r="L158" i="2"/>
  <c r="L146" i="2"/>
  <c r="L134" i="2"/>
  <c r="L122" i="2"/>
  <c r="L110" i="2"/>
  <c r="L98" i="2"/>
  <c r="L86" i="2"/>
  <c r="L74" i="2"/>
  <c r="L62" i="2"/>
  <c r="L50" i="2"/>
  <c r="L38" i="2"/>
  <c r="L26" i="2"/>
  <c r="L14" i="2"/>
  <c r="L984" i="2"/>
  <c r="L971" i="2"/>
  <c r="L958" i="2"/>
  <c r="L945" i="2"/>
  <c r="L932" i="2"/>
  <c r="L919" i="2"/>
  <c r="L906" i="2"/>
  <c r="L893" i="2"/>
  <c r="L880" i="2"/>
  <c r="L867" i="2"/>
  <c r="L853" i="2"/>
  <c r="L840" i="2"/>
  <c r="L827" i="2"/>
  <c r="L814" i="2"/>
  <c r="L801" i="2"/>
  <c r="L788" i="2"/>
  <c r="L775" i="2"/>
  <c r="L762" i="2"/>
  <c r="L749" i="2"/>
  <c r="L736" i="2"/>
  <c r="L723" i="2"/>
  <c r="L709" i="2"/>
  <c r="L696" i="2"/>
  <c r="L683" i="2"/>
  <c r="L670" i="2"/>
  <c r="L657" i="2"/>
  <c r="L644" i="2"/>
  <c r="L631" i="2"/>
  <c r="L618" i="2"/>
  <c r="L605" i="2"/>
  <c r="L592" i="2"/>
  <c r="L579" i="2"/>
  <c r="L565" i="2"/>
  <c r="L552" i="2"/>
  <c r="L539" i="2"/>
  <c r="L526" i="2"/>
  <c r="L513" i="2"/>
  <c r="L500" i="2"/>
  <c r="L487" i="2"/>
  <c r="L474" i="2"/>
  <c r="L461" i="2"/>
  <c r="L448" i="2"/>
  <c r="L435" i="2"/>
  <c r="L421" i="2"/>
  <c r="L408" i="2"/>
  <c r="L395" i="2"/>
  <c r="L382" i="2"/>
  <c r="L369" i="2"/>
  <c r="L356" i="2"/>
  <c r="L343" i="2"/>
  <c r="L330" i="2"/>
  <c r="L317" i="2"/>
  <c r="L304" i="2"/>
  <c r="L291" i="2"/>
  <c r="L277" i="2"/>
  <c r="L264" i="2"/>
  <c r="L251" i="2"/>
  <c r="L238" i="2"/>
  <c r="L225" i="2"/>
  <c r="L212" i="2"/>
  <c r="L199" i="2"/>
  <c r="L186" i="2"/>
  <c r="L173" i="2"/>
  <c r="L160" i="2"/>
  <c r="L147" i="2"/>
  <c r="L133" i="2"/>
  <c r="L120" i="2"/>
  <c r="L107" i="2"/>
  <c r="L94" i="2"/>
  <c r="L81" i="2"/>
  <c r="L68" i="2"/>
  <c r="L55" i="2"/>
  <c r="L42" i="2"/>
  <c r="L29" i="2"/>
  <c r="L16" i="2"/>
  <c r="L3" i="2"/>
  <c r="L983" i="2"/>
  <c r="L970" i="2"/>
  <c r="L957" i="2"/>
  <c r="L944" i="2"/>
  <c r="L931" i="2"/>
  <c r="L918" i="2"/>
  <c r="L905" i="2"/>
  <c r="L892" i="2"/>
  <c r="L879" i="2"/>
  <c r="L865" i="2"/>
  <c r="L852" i="2"/>
  <c r="L839" i="2"/>
  <c r="L826" i="2"/>
  <c r="L813" i="2"/>
  <c r="L800" i="2"/>
  <c r="L787" i="2"/>
  <c r="L774" i="2"/>
  <c r="L761" i="2"/>
  <c r="L748" i="2"/>
  <c r="L735" i="2"/>
  <c r="L721" i="2"/>
  <c r="L708" i="2"/>
  <c r="L695" i="2"/>
  <c r="L682" i="2"/>
  <c r="L669" i="2"/>
  <c r="L656" i="2"/>
  <c r="L643" i="2"/>
  <c r="L630" i="2"/>
  <c r="L617" i="2"/>
  <c r="L604" i="2"/>
  <c r="L591" i="2"/>
  <c r="L577" i="2"/>
  <c r="L564" i="2"/>
  <c r="L551" i="2"/>
  <c r="L538" i="2"/>
  <c r="L525" i="2"/>
  <c r="L512" i="2"/>
  <c r="L499" i="2"/>
  <c r="L486" i="2"/>
  <c r="L473" i="2"/>
  <c r="L460" i="2"/>
  <c r="L447" i="2"/>
  <c r="L433" i="2"/>
  <c r="L420" i="2"/>
  <c r="L407" i="2"/>
  <c r="L394" i="2"/>
  <c r="L381" i="2"/>
  <c r="L368" i="2"/>
  <c r="L355" i="2"/>
  <c r="L342" i="2"/>
  <c r="L329" i="2"/>
  <c r="L316" i="2"/>
  <c r="L303" i="2"/>
  <c r="L289" i="2"/>
  <c r="L276" i="2"/>
  <c r="L263" i="2"/>
  <c r="L250" i="2"/>
  <c r="L237" i="2"/>
  <c r="L224" i="2"/>
  <c r="L211" i="2"/>
  <c r="L198" i="2"/>
  <c r="L185" i="2"/>
  <c r="L172" i="2"/>
  <c r="L159" i="2"/>
  <c r="L145" i="2"/>
  <c r="L132" i="2"/>
  <c r="L119" i="2"/>
  <c r="L106" i="2"/>
  <c r="L93" i="2"/>
  <c r="L80" i="2"/>
  <c r="L67" i="2"/>
  <c r="L54" i="2"/>
  <c r="L41" i="2"/>
  <c r="L28" i="2"/>
  <c r="L15" i="2"/>
  <c r="L2" i="2"/>
  <c r="L978" i="2"/>
  <c r="L963" i="2"/>
  <c r="L947" i="2"/>
  <c r="L930" i="2"/>
  <c r="L915" i="2"/>
  <c r="L899" i="2"/>
  <c r="L884" i="2"/>
  <c r="L869" i="2"/>
  <c r="L851" i="2"/>
  <c r="L836" i="2"/>
  <c r="L821" i="2"/>
  <c r="L805" i="2"/>
  <c r="L790" i="2"/>
  <c r="L773" i="2"/>
  <c r="L757" i="2"/>
  <c r="L742" i="2"/>
  <c r="L727" i="2"/>
  <c r="L712" i="2"/>
  <c r="L694" i="2"/>
  <c r="L679" i="2"/>
  <c r="L664" i="2"/>
  <c r="L648" i="2"/>
  <c r="L633" i="2"/>
  <c r="L616" i="2"/>
  <c r="L600" i="2"/>
  <c r="L585" i="2"/>
  <c r="L570" i="2"/>
  <c r="L555" i="2"/>
  <c r="L537" i="2"/>
  <c r="L522" i="2"/>
  <c r="L507" i="2"/>
  <c r="L491" i="2"/>
  <c r="L476" i="2"/>
  <c r="L459" i="2"/>
  <c r="L443" i="2"/>
  <c r="L428" i="2"/>
  <c r="L413" i="2"/>
  <c r="L397" i="2"/>
  <c r="L380" i="2"/>
  <c r="L365" i="2"/>
  <c r="L349" i="2"/>
  <c r="L334" i="2"/>
  <c r="L319" i="2"/>
  <c r="L301" i="2"/>
  <c r="L286" i="2"/>
  <c r="L271" i="2"/>
  <c r="L256" i="2"/>
  <c r="L240" i="2"/>
  <c r="L223" i="2"/>
  <c r="L208" i="2"/>
  <c r="L192" i="2"/>
  <c r="L177" i="2"/>
  <c r="L162" i="2"/>
  <c r="L144" i="2"/>
  <c r="L129" i="2"/>
  <c r="L114" i="2"/>
  <c r="L99" i="2"/>
  <c r="L83" i="2"/>
  <c r="L66" i="2"/>
  <c r="L51" i="2"/>
  <c r="L35" i="2"/>
  <c r="L20" i="2"/>
  <c r="L5" i="2"/>
  <c r="L987" i="2"/>
  <c r="L968" i="2"/>
  <c r="L952" i="2"/>
  <c r="L935" i="2"/>
  <c r="L917" i="2"/>
  <c r="L900" i="2"/>
  <c r="L883" i="2"/>
  <c r="L864" i="2"/>
  <c r="L848" i="2"/>
  <c r="L832" i="2"/>
  <c r="L815" i="2"/>
  <c r="L797" i="2"/>
  <c r="L780" i="2"/>
  <c r="L764" i="2"/>
  <c r="L745" i="2"/>
  <c r="L729" i="2"/>
  <c r="L713" i="2"/>
  <c r="L693" i="2"/>
  <c r="L677" i="2"/>
  <c r="L660" i="2"/>
  <c r="L642" i="2"/>
  <c r="L625" i="2"/>
  <c r="L609" i="2"/>
  <c r="L593" i="2"/>
  <c r="L574" i="2"/>
  <c r="L558" i="2"/>
  <c r="L541" i="2"/>
  <c r="L523" i="2"/>
  <c r="L505" i="2"/>
  <c r="L489" i="2"/>
  <c r="L471" i="2"/>
  <c r="L454" i="2"/>
  <c r="L438" i="2"/>
  <c r="L419" i="2"/>
  <c r="L403" i="2"/>
  <c r="L387" i="2"/>
  <c r="L370" i="2"/>
  <c r="L352" i="2"/>
  <c r="L335" i="2"/>
  <c r="L318" i="2"/>
  <c r="L299" i="2"/>
  <c r="L283" i="2"/>
  <c r="L267" i="2"/>
  <c r="L248" i="2"/>
  <c r="L232" i="2"/>
  <c r="L215" i="2"/>
  <c r="L197" i="2"/>
  <c r="L180" i="2"/>
  <c r="L164" i="2"/>
  <c r="L148" i="2"/>
  <c r="L128" i="2"/>
  <c r="L112" i="2"/>
  <c r="L95" i="2"/>
  <c r="L77" i="2"/>
  <c r="L60" i="2"/>
  <c r="L44" i="2"/>
  <c r="L25" i="2"/>
  <c r="L9" i="2"/>
  <c r="L985" i="2"/>
  <c r="L967" i="2"/>
  <c r="L951" i="2"/>
  <c r="L934" i="2"/>
  <c r="L916" i="2"/>
  <c r="L898" i="2"/>
  <c r="L882" i="2"/>
  <c r="L863" i="2"/>
  <c r="L847" i="2"/>
  <c r="L831" i="2"/>
  <c r="L812" i="2"/>
  <c r="L796" i="2"/>
  <c r="L779" i="2"/>
  <c r="L763" i="2"/>
  <c r="L744" i="2"/>
  <c r="L728" i="2"/>
  <c r="L711" i="2"/>
  <c r="L692" i="2"/>
  <c r="L676" i="2"/>
  <c r="L659" i="2"/>
  <c r="L641" i="2"/>
  <c r="L624" i="2"/>
  <c r="L608" i="2"/>
  <c r="L589" i="2"/>
  <c r="L573" i="2"/>
  <c r="L557" i="2"/>
  <c r="L540" i="2"/>
  <c r="L521" i="2"/>
  <c r="L504" i="2"/>
  <c r="L488" i="2"/>
  <c r="L469" i="2"/>
  <c r="L453" i="2"/>
  <c r="L437" i="2"/>
  <c r="L418" i="2"/>
  <c r="L402" i="2"/>
  <c r="L385" i="2"/>
  <c r="L367" i="2"/>
  <c r="L351" i="2"/>
  <c r="L333" i="2"/>
  <c r="L315" i="2"/>
  <c r="L298" i="2"/>
  <c r="L282" i="2"/>
  <c r="L265" i="2"/>
  <c r="L247" i="2"/>
  <c r="L231" i="2"/>
  <c r="L214" i="2"/>
  <c r="L196" i="2"/>
  <c r="L179" i="2"/>
  <c r="L163" i="2"/>
  <c r="L143" i="2"/>
  <c r="L127" i="2"/>
  <c r="L111" i="2"/>
  <c r="L92" i="2"/>
  <c r="L76" i="2"/>
  <c r="L59" i="2"/>
  <c r="L43" i="2"/>
  <c r="L24" i="2"/>
  <c r="L8" i="2"/>
  <c r="L979" i="2"/>
  <c r="L959" i="2"/>
  <c r="L939" i="2"/>
  <c r="L920" i="2"/>
  <c r="L896" i="2"/>
  <c r="L875" i="2"/>
  <c r="L857" i="2"/>
  <c r="L835" i="2"/>
  <c r="L816" i="2"/>
  <c r="L793" i="2"/>
  <c r="L772" i="2"/>
  <c r="L753" i="2"/>
  <c r="L732" i="2"/>
  <c r="L714" i="2"/>
  <c r="L690" i="2"/>
  <c r="L671" i="2"/>
  <c r="L651" i="2"/>
  <c r="L629" i="2"/>
  <c r="L610" i="2"/>
  <c r="L587" i="2"/>
  <c r="L568" i="2"/>
  <c r="L547" i="2"/>
  <c r="L528" i="2"/>
  <c r="L508" i="2"/>
  <c r="L484" i="2"/>
  <c r="L465" i="2"/>
  <c r="L444" i="2"/>
  <c r="L425" i="2"/>
  <c r="L404" i="2"/>
  <c r="L383" i="2"/>
  <c r="L361" i="2"/>
  <c r="L341" i="2"/>
  <c r="L322" i="2"/>
  <c r="L300" i="2"/>
  <c r="L280" i="2"/>
  <c r="L259" i="2"/>
  <c r="L239" i="2"/>
  <c r="L219" i="2"/>
  <c r="L200" i="2"/>
  <c r="L176" i="2"/>
  <c r="L155" i="2"/>
  <c r="L137" i="2"/>
  <c r="L116" i="2"/>
  <c r="L96" i="2"/>
  <c r="L73" i="2"/>
  <c r="L53" i="2"/>
  <c r="L33" i="2"/>
  <c r="L12" i="2"/>
  <c r="L976" i="2"/>
  <c r="L955" i="2"/>
  <c r="L936" i="2"/>
  <c r="L912" i="2"/>
  <c r="L894" i="2"/>
  <c r="L873" i="2"/>
  <c r="L855" i="2"/>
  <c r="L833" i="2"/>
  <c r="L810" i="2"/>
  <c r="L791" i="2"/>
  <c r="L769" i="2"/>
  <c r="L751" i="2"/>
  <c r="L730" i="2"/>
  <c r="L706" i="2"/>
  <c r="L688" i="2"/>
  <c r="L667" i="2"/>
  <c r="L647" i="2"/>
  <c r="L627" i="2"/>
  <c r="L606" i="2"/>
  <c r="L584" i="2"/>
  <c r="L563" i="2"/>
  <c r="L545" i="2"/>
  <c r="L524" i="2"/>
  <c r="L502" i="2"/>
  <c r="L481" i="2"/>
  <c r="L463" i="2"/>
  <c r="L441" i="2"/>
  <c r="L423" i="2"/>
  <c r="L400" i="2"/>
  <c r="L378" i="2"/>
  <c r="L359" i="2"/>
  <c r="L339" i="2"/>
  <c r="L320" i="2"/>
  <c r="L296" i="2"/>
  <c r="L275" i="2"/>
  <c r="L257" i="2"/>
  <c r="L235" i="2"/>
  <c r="L216" i="2"/>
  <c r="L193" i="2"/>
  <c r="L174" i="2"/>
  <c r="L153" i="2"/>
  <c r="L135" i="2"/>
  <c r="L113" i="2"/>
  <c r="L90" i="2"/>
  <c r="L71" i="2"/>
  <c r="L49" i="2"/>
  <c r="L31" i="2"/>
  <c r="L10" i="2"/>
  <c r="L975" i="2"/>
  <c r="L954" i="2"/>
  <c r="L933" i="2"/>
  <c r="L911" i="2"/>
  <c r="L891" i="2"/>
  <c r="L872" i="2"/>
  <c r="L850" i="2"/>
  <c r="L829" i="2"/>
  <c r="L809" i="2"/>
  <c r="L789" i="2"/>
  <c r="L768" i="2"/>
  <c r="L750" i="2"/>
  <c r="L726" i="2"/>
  <c r="L705" i="2"/>
  <c r="L687" i="2"/>
  <c r="L666" i="2"/>
  <c r="L646" i="2"/>
  <c r="L623" i="2"/>
  <c r="L603" i="2"/>
  <c r="L583" i="2"/>
  <c r="L562" i="2"/>
  <c r="L544" i="2"/>
  <c r="L520" i="2"/>
  <c r="L501" i="2"/>
  <c r="L480" i="2"/>
  <c r="L462" i="2"/>
  <c r="L440" i="2"/>
  <c r="L417" i="2"/>
  <c r="L399" i="2"/>
  <c r="L377" i="2"/>
  <c r="L358" i="2"/>
  <c r="L337" i="2"/>
  <c r="L313" i="2"/>
  <c r="L295" i="2"/>
  <c r="L274" i="2"/>
  <c r="L255" i="2"/>
  <c r="L234" i="2"/>
  <c r="L213" i="2"/>
  <c r="L191" i="2"/>
  <c r="L171" i="2"/>
  <c r="L152" i="2"/>
  <c r="L131" i="2"/>
  <c r="L109" i="2"/>
  <c r="L89" i="2"/>
  <c r="L70" i="2"/>
  <c r="L48" i="2"/>
  <c r="L30" i="2"/>
  <c r="L7" i="2"/>
  <c r="L964" i="2"/>
  <c r="L937" i="2"/>
  <c r="L908" i="2"/>
  <c r="L881" i="2"/>
  <c r="L856" i="2"/>
  <c r="L824" i="2"/>
  <c r="L799" i="2"/>
  <c r="L771" i="2"/>
  <c r="L741" i="2"/>
  <c r="L717" i="2"/>
  <c r="L689" i="2"/>
  <c r="L661" i="2"/>
  <c r="L635" i="2"/>
  <c r="L607" i="2"/>
  <c r="L580" i="2"/>
  <c r="L550" i="2"/>
  <c r="L527" i="2"/>
  <c r="L496" i="2"/>
  <c r="L468" i="2"/>
  <c r="L442" i="2"/>
  <c r="L414" i="2"/>
  <c r="L389" i="2"/>
  <c r="L360" i="2"/>
  <c r="L331" i="2"/>
  <c r="L307" i="2"/>
  <c r="L279" i="2"/>
  <c r="L249" i="2"/>
  <c r="L222" i="2"/>
  <c r="L195" i="2"/>
  <c r="L167" i="2"/>
  <c r="L140" i="2"/>
  <c r="L115" i="2"/>
  <c r="L85" i="2"/>
  <c r="L58" i="2"/>
  <c r="L32" i="2"/>
  <c r="L989" i="2"/>
  <c r="L961" i="2"/>
  <c r="L929" i="2"/>
  <c r="L907" i="2"/>
  <c r="L877" i="2"/>
  <c r="L849" i="2"/>
  <c r="L823" i="2"/>
  <c r="L798" i="2"/>
  <c r="L767" i="2"/>
  <c r="L740" i="2"/>
  <c r="L716" i="2"/>
  <c r="L685" i="2"/>
  <c r="L658" i="2"/>
  <c r="L634" i="2"/>
  <c r="L601" i="2"/>
  <c r="L576" i="2"/>
  <c r="L549" i="2"/>
  <c r="L519" i="2"/>
  <c r="L495" i="2"/>
  <c r="L467" i="2"/>
  <c r="L439" i="2"/>
  <c r="L412" i="2"/>
  <c r="L388" i="2"/>
  <c r="L357" i="2"/>
  <c r="L328" i="2"/>
  <c r="L306" i="2"/>
  <c r="L273" i="2"/>
  <c r="L246" i="2"/>
  <c r="L221" i="2"/>
  <c r="L190" i="2"/>
  <c r="L166" i="2"/>
  <c r="L139" i="2"/>
  <c r="L108" i="2"/>
  <c r="L84" i="2"/>
  <c r="L57" i="2"/>
  <c r="L27" i="2"/>
  <c r="L982" i="2"/>
  <c r="L956" i="2"/>
  <c r="L927" i="2"/>
  <c r="L903" i="2"/>
  <c r="L874" i="2"/>
  <c r="L845" i="2"/>
  <c r="L820" i="2"/>
  <c r="L792" i="2"/>
  <c r="L765" i="2"/>
  <c r="L738" i="2"/>
  <c r="L707" i="2"/>
  <c r="L681" i="2"/>
  <c r="L654" i="2"/>
  <c r="L628" i="2"/>
  <c r="L598" i="2"/>
  <c r="L572" i="2"/>
  <c r="L546" i="2"/>
  <c r="L516" i="2"/>
  <c r="L492" i="2"/>
  <c r="L464" i="2"/>
  <c r="L432" i="2"/>
  <c r="L409" i="2"/>
  <c r="L379" i="2"/>
  <c r="L353" i="2"/>
  <c r="L325" i="2"/>
  <c r="L297" i="2"/>
  <c r="L270" i="2"/>
  <c r="L244" i="2"/>
  <c r="L217" i="2"/>
  <c r="L188" i="2"/>
  <c r="L161" i="2"/>
  <c r="L136" i="2"/>
  <c r="L104" i="2"/>
  <c r="L79" i="2"/>
  <c r="L52" i="2"/>
  <c r="L22" i="2"/>
  <c r="L981" i="2"/>
  <c r="L953" i="2"/>
  <c r="L925" i="2"/>
  <c r="L901" i="2"/>
  <c r="L871" i="2"/>
  <c r="L844" i="2"/>
  <c r="L819" i="2"/>
  <c r="L786" i="2"/>
  <c r="L760" i="2"/>
  <c r="L737" i="2"/>
  <c r="L704" i="2"/>
  <c r="L680" i="2"/>
  <c r="L653" i="2"/>
  <c r="L622" i="2"/>
  <c r="L597" i="2"/>
  <c r="L571" i="2"/>
  <c r="L543" i="2"/>
  <c r="L515" i="2"/>
  <c r="L490" i="2"/>
  <c r="L457" i="2"/>
  <c r="L431" i="2"/>
  <c r="L406" i="2"/>
  <c r="L376" i="2"/>
  <c r="L348" i="2"/>
  <c r="L324" i="2"/>
  <c r="L294" i="2"/>
  <c r="L269" i="2"/>
  <c r="L243" i="2"/>
  <c r="L210" i="2"/>
  <c r="L187" i="2"/>
  <c r="L157" i="2"/>
  <c r="L130" i="2"/>
  <c r="L103" i="2"/>
  <c r="L78" i="2"/>
  <c r="L47" i="2"/>
  <c r="L21" i="2"/>
  <c r="L977" i="2"/>
  <c r="L948" i="2"/>
  <c r="L923" i="2"/>
  <c r="L895" i="2"/>
  <c r="L868" i="2"/>
  <c r="L841" i="2"/>
  <c r="L811" i="2"/>
  <c r="L784" i="2"/>
  <c r="L756" i="2"/>
  <c r="L731" i="2"/>
  <c r="L702" i="2"/>
  <c r="L675" i="2"/>
  <c r="L649" i="2"/>
  <c r="L620" i="2"/>
  <c r="L595" i="2"/>
  <c r="L567" i="2"/>
  <c r="L535" i="2"/>
  <c r="L511" i="2"/>
  <c r="L483" i="2"/>
  <c r="L455" i="2"/>
  <c r="L429" i="2"/>
  <c r="L401" i="2"/>
  <c r="L373" i="2"/>
  <c r="L346" i="2"/>
  <c r="L321" i="2"/>
  <c r="L292" i="2"/>
  <c r="L262" i="2"/>
  <c r="L236" i="2"/>
  <c r="L207" i="2"/>
  <c r="L183" i="2"/>
  <c r="L154" i="2"/>
  <c r="L125" i="2"/>
  <c r="L101" i="2"/>
  <c r="L72" i="2"/>
  <c r="L45" i="2"/>
  <c r="L18" i="2"/>
  <c r="L973" i="2"/>
  <c r="L946" i="2"/>
  <c r="L922" i="2"/>
  <c r="L889" i="2"/>
  <c r="L862" i="2"/>
  <c r="L838" i="2"/>
  <c r="L808" i="2"/>
  <c r="L783" i="2"/>
  <c r="L755" i="2"/>
  <c r="L725" i="2"/>
  <c r="L701" i="2"/>
  <c r="L673" i="2"/>
  <c r="L645" i="2"/>
  <c r="L619" i="2"/>
  <c r="L594" i="2"/>
  <c r="L561" i="2"/>
  <c r="L534" i="2"/>
  <c r="L510" i="2"/>
  <c r="L479" i="2"/>
  <c r="L452" i="2"/>
  <c r="L427" i="2"/>
  <c r="L396" i="2"/>
  <c r="L372" i="2"/>
  <c r="L345" i="2"/>
  <c r="L312" i="2"/>
  <c r="L288" i="2"/>
  <c r="L261" i="2"/>
  <c r="L233" i="2"/>
  <c r="L205" i="2"/>
  <c r="L181" i="2"/>
  <c r="L151" i="2"/>
  <c r="L124" i="2"/>
  <c r="L100" i="2"/>
  <c r="L69" i="2"/>
  <c r="L40" i="2"/>
  <c r="L17" i="2"/>
  <c r="L972" i="2"/>
  <c r="L943" i="2"/>
  <c r="L921" i="2"/>
  <c r="L888" i="2"/>
  <c r="L861" i="2"/>
  <c r="L837" i="2"/>
  <c r="L807" i="2"/>
  <c r="L781" i="2"/>
  <c r="L754" i="2"/>
  <c r="L724" i="2"/>
  <c r="L700" i="2"/>
  <c r="L672" i="2"/>
  <c r="L640" i="2"/>
  <c r="L615" i="2"/>
  <c r="L588" i="2"/>
  <c r="L560" i="2"/>
  <c r="L533" i="2"/>
  <c r="L509" i="2"/>
  <c r="L478" i="2"/>
  <c r="L451" i="2"/>
  <c r="L426" i="2"/>
  <c r="L393" i="2"/>
  <c r="L371" i="2"/>
  <c r="L344" i="2"/>
  <c r="L311" i="2"/>
  <c r="L287" i="2"/>
  <c r="L260" i="2"/>
  <c r="L229" i="2"/>
  <c r="L204" i="2"/>
  <c r="L178" i="2"/>
  <c r="L150" i="2"/>
  <c r="L123" i="2"/>
  <c r="L97" i="2"/>
  <c r="L65" i="2"/>
  <c r="L39" i="2"/>
  <c r="L13" i="2"/>
  <c r="L988" i="2"/>
  <c r="L960" i="2"/>
  <c r="L928" i="2"/>
  <c r="L904" i="2"/>
  <c r="L876" i="2"/>
  <c r="L846" i="2"/>
  <c r="L822" i="2"/>
  <c r="L795" i="2"/>
  <c r="L766" i="2"/>
  <c r="L739" i="2"/>
  <c r="L715" i="2"/>
  <c r="L684" i="2"/>
  <c r="L655" i="2"/>
  <c r="L632" i="2"/>
  <c r="L599" i="2"/>
  <c r="L575" i="2"/>
  <c r="L548" i="2"/>
  <c r="L517" i="2"/>
  <c r="L493" i="2"/>
  <c r="L466" i="2"/>
  <c r="L436" i="2"/>
  <c r="L411" i="2"/>
  <c r="L384" i="2"/>
  <c r="L354" i="2"/>
  <c r="L327" i="2"/>
  <c r="L305" i="2"/>
  <c r="L272" i="2"/>
  <c r="L245" i="2"/>
  <c r="L220" i="2"/>
  <c r="L189" i="2"/>
  <c r="L165" i="2"/>
  <c r="L138" i="2"/>
  <c r="L105" i="2"/>
  <c r="L82" i="2"/>
  <c r="L56" i="2"/>
  <c r="L23" i="2"/>
  <c r="L980" i="2"/>
  <c r="L949" i="2"/>
  <c r="L924" i="2"/>
  <c r="L897" i="2"/>
  <c r="L870" i="2"/>
  <c r="L843" i="2"/>
  <c r="L817" i="2"/>
  <c r="L785" i="2"/>
  <c r="L759" i="2"/>
  <c r="L733" i="2"/>
  <c r="L703" i="2"/>
  <c r="L678" i="2"/>
  <c r="L652" i="2"/>
  <c r="L621" i="2"/>
  <c r="L596" i="2"/>
  <c r="L569" i="2"/>
  <c r="L536" i="2"/>
  <c r="L514" i="2"/>
  <c r="L485" i="2"/>
  <c r="L456" i="2"/>
  <c r="L430" i="2"/>
  <c r="L405" i="2"/>
  <c r="L375" i="2"/>
  <c r="L347" i="2"/>
  <c r="L323" i="2"/>
  <c r="L293" i="2"/>
  <c r="L268" i="2"/>
  <c r="L241" i="2"/>
  <c r="L209" i="2"/>
  <c r="L184" i="2"/>
  <c r="L156" i="2"/>
  <c r="L126" i="2"/>
  <c r="L102" i="2"/>
  <c r="L75" i="2"/>
  <c r="L46" i="2"/>
  <c r="L19" i="2"/>
  <c r="L910" i="2"/>
  <c r="L803" i="2"/>
  <c r="L697" i="2"/>
  <c r="L582" i="2"/>
  <c r="L475" i="2"/>
  <c r="L364" i="2"/>
  <c r="L253" i="2"/>
  <c r="L142" i="2"/>
  <c r="L36" i="2"/>
  <c r="L965" i="2"/>
  <c r="L858" i="2"/>
  <c r="L743" i="2"/>
  <c r="L636" i="2"/>
  <c r="L529" i="2"/>
  <c r="L415" i="2"/>
  <c r="L308" i="2"/>
  <c r="L201" i="2"/>
  <c r="L87" i="2"/>
  <c r="L825" i="2"/>
  <c r="L281" i="2"/>
  <c r="L913" i="2"/>
  <c r="L804" i="2"/>
  <c r="L699" i="2"/>
  <c r="L586" i="2"/>
  <c r="L477" i="2"/>
  <c r="L366" i="2"/>
  <c r="L258" i="2"/>
  <c r="L149" i="2"/>
  <c r="L37" i="2"/>
  <c r="L909" i="2"/>
  <c r="L802" i="2"/>
  <c r="L691" i="2"/>
  <c r="L581" i="2"/>
  <c r="L472" i="2"/>
  <c r="L363" i="2"/>
  <c r="L252" i="2"/>
  <c r="L141" i="2"/>
  <c r="L34" i="2"/>
  <c r="L121" i="2"/>
  <c r="L885" i="2"/>
  <c r="L776" i="2"/>
  <c r="L663" i="2"/>
  <c r="L553" i="2"/>
  <c r="L445" i="2"/>
  <c r="L332" i="2"/>
  <c r="L226" i="2"/>
  <c r="L117" i="2"/>
  <c r="L4" i="2"/>
  <c r="L887" i="2"/>
  <c r="L778" i="2"/>
  <c r="L668" i="2"/>
  <c r="L559" i="2"/>
  <c r="L450" i="2"/>
  <c r="L340" i="2"/>
  <c r="L228" i="2"/>
  <c r="L11" i="2"/>
  <c r="L886" i="2"/>
  <c r="L777" i="2"/>
  <c r="L665" i="2"/>
  <c r="L556" i="2"/>
  <c r="L449" i="2"/>
  <c r="L336" i="2"/>
  <c r="L227" i="2"/>
  <c r="L118" i="2"/>
  <c r="L6" i="2"/>
  <c r="L966" i="2"/>
  <c r="L859" i="2"/>
  <c r="L747" i="2"/>
  <c r="L637" i="2"/>
  <c r="L531" i="2"/>
  <c r="L416" i="2"/>
  <c r="L309" i="2"/>
  <c r="L202" i="2"/>
  <c r="L88" i="2"/>
  <c r="L942" i="2"/>
  <c r="L834" i="2"/>
  <c r="L720" i="2"/>
  <c r="L613" i="2"/>
  <c r="L503" i="2"/>
  <c r="L392" i="2"/>
  <c r="L285" i="2"/>
  <c r="L175" i="2"/>
  <c r="L64" i="2"/>
  <c r="L940" i="2"/>
  <c r="L718" i="2"/>
  <c r="L611" i="2"/>
  <c r="L497" i="2"/>
  <c r="L390" i="2"/>
  <c r="L168" i="2"/>
  <c r="L61" i="2"/>
  <c r="L969" i="2"/>
  <c r="L860" i="2"/>
  <c r="L752" i="2"/>
  <c r="L639" i="2"/>
  <c r="L532" i="2"/>
  <c r="L424" i="2"/>
  <c r="L310" i="2"/>
  <c r="L203" i="2"/>
  <c r="L91" i="2"/>
  <c r="L941" i="2"/>
  <c r="L828" i="2"/>
  <c r="L719" i="2"/>
  <c r="L612" i="2"/>
  <c r="L498" i="2"/>
  <c r="L391" i="2"/>
  <c r="L284" i="2"/>
  <c r="L169" i="2"/>
  <c r="L63" i="2"/>
  <c r="O2" i="2" a="1"/>
  <c r="O984" i="2" l="1"/>
  <c r="O972" i="2"/>
  <c r="O960" i="2"/>
  <c r="O986" i="2"/>
  <c r="O973" i="2"/>
  <c r="O959" i="2"/>
  <c r="O947" i="2"/>
  <c r="O935" i="2"/>
  <c r="O923" i="2"/>
  <c r="O911" i="2"/>
  <c r="O899" i="2"/>
  <c r="O887" i="2"/>
  <c r="O875" i="2"/>
  <c r="O863" i="2"/>
  <c r="O851" i="2"/>
  <c r="O839" i="2"/>
  <c r="O827" i="2"/>
  <c r="O815" i="2"/>
  <c r="O803" i="2"/>
  <c r="O791" i="2"/>
  <c r="O779" i="2"/>
  <c r="O767" i="2"/>
  <c r="O755" i="2"/>
  <c r="O743" i="2"/>
  <c r="O731" i="2"/>
  <c r="O719" i="2"/>
  <c r="O707" i="2"/>
  <c r="O695" i="2"/>
  <c r="O683" i="2"/>
  <c r="O671" i="2"/>
  <c r="O659" i="2"/>
  <c r="O647" i="2"/>
  <c r="O635" i="2"/>
  <c r="O623" i="2"/>
  <c r="O611" i="2"/>
  <c r="O599" i="2"/>
  <c r="O587" i="2"/>
  <c r="O575" i="2"/>
  <c r="O563" i="2"/>
  <c r="O551" i="2"/>
  <c r="O539" i="2"/>
  <c r="O527" i="2"/>
  <c r="O515" i="2"/>
  <c r="O503" i="2"/>
  <c r="O491" i="2"/>
  <c r="O479" i="2"/>
  <c r="O467" i="2"/>
  <c r="O455" i="2"/>
  <c r="O443" i="2"/>
  <c r="O431" i="2"/>
  <c r="O419" i="2"/>
  <c r="O407" i="2"/>
  <c r="O395" i="2"/>
  <c r="O383" i="2"/>
  <c r="O371" i="2"/>
  <c r="O359" i="2"/>
  <c r="O347" i="2"/>
  <c r="O335" i="2"/>
  <c r="O323" i="2"/>
  <c r="O311" i="2"/>
  <c r="O299" i="2"/>
  <c r="O287" i="2"/>
  <c r="O275" i="2"/>
  <c r="O263" i="2"/>
  <c r="O251" i="2"/>
  <c r="O239" i="2"/>
  <c r="O227" i="2"/>
  <c r="O215" i="2"/>
  <c r="O203" i="2"/>
  <c r="O191" i="2"/>
  <c r="O179" i="2"/>
  <c r="O167" i="2"/>
  <c r="O155" i="2"/>
  <c r="O143" i="2"/>
  <c r="O131" i="2"/>
  <c r="O119" i="2"/>
  <c r="O107" i="2"/>
  <c r="O95" i="2"/>
  <c r="O83" i="2"/>
  <c r="O71" i="2"/>
  <c r="O59" i="2"/>
  <c r="O47" i="2"/>
  <c r="O35" i="2"/>
  <c r="O23" i="2"/>
  <c r="O11" i="2"/>
  <c r="O988" i="2"/>
  <c r="O974" i="2"/>
  <c r="O958" i="2"/>
  <c r="O945" i="2"/>
  <c r="O932" i="2"/>
  <c r="O919" i="2"/>
  <c r="O906" i="2"/>
  <c r="O893" i="2"/>
  <c r="O880" i="2"/>
  <c r="O867" i="2"/>
  <c r="O854" i="2"/>
  <c r="O841" i="2"/>
  <c r="O828" i="2"/>
  <c r="O814" i="2"/>
  <c r="O801" i="2"/>
  <c r="O788" i="2"/>
  <c r="O775" i="2"/>
  <c r="O987" i="2"/>
  <c r="O971" i="2"/>
  <c r="O957" i="2"/>
  <c r="O944" i="2"/>
  <c r="O931" i="2"/>
  <c r="O918" i="2"/>
  <c r="O905" i="2"/>
  <c r="O892" i="2"/>
  <c r="O879" i="2"/>
  <c r="O866" i="2"/>
  <c r="O853" i="2"/>
  <c r="O840" i="2"/>
  <c r="O826" i="2"/>
  <c r="O813" i="2"/>
  <c r="O800" i="2"/>
  <c r="O787" i="2"/>
  <c r="O774" i="2"/>
  <c r="O761" i="2"/>
  <c r="O748" i="2"/>
  <c r="O735" i="2"/>
  <c r="O722" i="2"/>
  <c r="O709" i="2"/>
  <c r="O696" i="2"/>
  <c r="O682" i="2"/>
  <c r="O669" i="2"/>
  <c r="O656" i="2"/>
  <c r="O643" i="2"/>
  <c r="O630" i="2"/>
  <c r="O617" i="2"/>
  <c r="O604" i="2"/>
  <c r="O591" i="2"/>
  <c r="O578" i="2"/>
  <c r="O565" i="2"/>
  <c r="O552" i="2"/>
  <c r="O538" i="2"/>
  <c r="O525" i="2"/>
  <c r="O512" i="2"/>
  <c r="O499" i="2"/>
  <c r="O486" i="2"/>
  <c r="O473" i="2"/>
  <c r="O460" i="2"/>
  <c r="O447" i="2"/>
  <c r="O434" i="2"/>
  <c r="O421" i="2"/>
  <c r="O408" i="2"/>
  <c r="O394" i="2"/>
  <c r="O381" i="2"/>
  <c r="O368" i="2"/>
  <c r="O355" i="2"/>
  <c r="O342" i="2"/>
  <c r="O980" i="2"/>
  <c r="O964" i="2"/>
  <c r="O948" i="2"/>
  <c r="O930" i="2"/>
  <c r="O915" i="2"/>
  <c r="O900" i="2"/>
  <c r="O884" i="2"/>
  <c r="O869" i="2"/>
  <c r="O852" i="2"/>
  <c r="O836" i="2"/>
  <c r="O821" i="2"/>
  <c r="O806" i="2"/>
  <c r="O790" i="2"/>
  <c r="O773" i="2"/>
  <c r="O759" i="2"/>
  <c r="O745" i="2"/>
  <c r="O730" i="2"/>
  <c r="O716" i="2"/>
  <c r="O702" i="2"/>
  <c r="O688" i="2"/>
  <c r="O674" i="2"/>
  <c r="O660" i="2"/>
  <c r="O645" i="2"/>
  <c r="O631" i="2"/>
  <c r="O616" i="2"/>
  <c r="O602" i="2"/>
  <c r="O588" i="2"/>
  <c r="O573" i="2"/>
  <c r="O559" i="2"/>
  <c r="O545" i="2"/>
  <c r="O531" i="2"/>
  <c r="O517" i="2"/>
  <c r="O502" i="2"/>
  <c r="O488" i="2"/>
  <c r="O474" i="2"/>
  <c r="O459" i="2"/>
  <c r="O445" i="2"/>
  <c r="O430" i="2"/>
  <c r="O416" i="2"/>
  <c r="O402" i="2"/>
  <c r="O388" i="2"/>
  <c r="O374" i="2"/>
  <c r="O360" i="2"/>
  <c r="O345" i="2"/>
  <c r="O331" i="2"/>
  <c r="O318" i="2"/>
  <c r="O305" i="2"/>
  <c r="O292" i="2"/>
  <c r="O279" i="2"/>
  <c r="O266" i="2"/>
  <c r="O253" i="2"/>
  <c r="O240" i="2"/>
  <c r="O226" i="2"/>
  <c r="O213" i="2"/>
  <c r="O200" i="2"/>
  <c r="O187" i="2"/>
  <c r="O174" i="2"/>
  <c r="O161" i="2"/>
  <c r="O148" i="2"/>
  <c r="O135" i="2"/>
  <c r="O122" i="2"/>
  <c r="O109" i="2"/>
  <c r="O96" i="2"/>
  <c r="O82" i="2"/>
  <c r="O69" i="2"/>
  <c r="O56" i="2"/>
  <c r="O43" i="2"/>
  <c r="O30" i="2"/>
  <c r="O17" i="2"/>
  <c r="O4" i="2"/>
  <c r="O979" i="2"/>
  <c r="O963" i="2"/>
  <c r="O946" i="2"/>
  <c r="O929" i="2"/>
  <c r="O914" i="2"/>
  <c r="O898" i="2"/>
  <c r="O883" i="2"/>
  <c r="O868" i="2"/>
  <c r="O850" i="2"/>
  <c r="O835" i="2"/>
  <c r="O820" i="2"/>
  <c r="O805" i="2"/>
  <c r="O789" i="2"/>
  <c r="O772" i="2"/>
  <c r="O758" i="2"/>
  <c r="O744" i="2"/>
  <c r="O729" i="2"/>
  <c r="O715" i="2"/>
  <c r="O701" i="2"/>
  <c r="O687" i="2"/>
  <c r="O673" i="2"/>
  <c r="O658" i="2"/>
  <c r="O644" i="2"/>
  <c r="O629" i="2"/>
  <c r="O615" i="2"/>
  <c r="O601" i="2"/>
  <c r="O586" i="2"/>
  <c r="O572" i="2"/>
  <c r="O558" i="2"/>
  <c r="O544" i="2"/>
  <c r="O530" i="2"/>
  <c r="O516" i="2"/>
  <c r="O501" i="2"/>
  <c r="O487" i="2"/>
  <c r="O472" i="2"/>
  <c r="O458" i="2"/>
  <c r="O444" i="2"/>
  <c r="O429" i="2"/>
  <c r="O415" i="2"/>
  <c r="O401" i="2"/>
  <c r="O387" i="2"/>
  <c r="O373" i="2"/>
  <c r="O358" i="2"/>
  <c r="O344" i="2"/>
  <c r="O330" i="2"/>
  <c r="O317" i="2"/>
  <c r="O304" i="2"/>
  <c r="O291" i="2"/>
  <c r="O278" i="2"/>
  <c r="O265" i="2"/>
  <c r="O252" i="2"/>
  <c r="O238" i="2"/>
  <c r="O225" i="2"/>
  <c r="O212" i="2"/>
  <c r="O199" i="2"/>
  <c r="O186" i="2"/>
  <c r="O173" i="2"/>
  <c r="O160" i="2"/>
  <c r="O147" i="2"/>
  <c r="O134" i="2"/>
  <c r="O121" i="2"/>
  <c r="O108" i="2"/>
  <c r="O94" i="2"/>
  <c r="O81" i="2"/>
  <c r="O68" i="2"/>
  <c r="O55" i="2"/>
  <c r="O42" i="2"/>
  <c r="O29" i="2"/>
  <c r="O16" i="2"/>
  <c r="O3" i="2"/>
  <c r="O968" i="2"/>
  <c r="O950" i="2"/>
  <c r="O928" i="2"/>
  <c r="O910" i="2"/>
  <c r="O891" i="2"/>
  <c r="O873" i="2"/>
  <c r="O856" i="2"/>
  <c r="O834" i="2"/>
  <c r="O817" i="2"/>
  <c r="O797" i="2"/>
  <c r="O780" i="2"/>
  <c r="O762" i="2"/>
  <c r="O742" i="2"/>
  <c r="O726" i="2"/>
  <c r="O710" i="2"/>
  <c r="O692" i="2"/>
  <c r="O676" i="2"/>
  <c r="O657" i="2"/>
  <c r="O640" i="2"/>
  <c r="O624" i="2"/>
  <c r="O607" i="2"/>
  <c r="O590" i="2"/>
  <c r="O571" i="2"/>
  <c r="O555" i="2"/>
  <c r="O537" i="2"/>
  <c r="O521" i="2"/>
  <c r="O505" i="2"/>
  <c r="O485" i="2"/>
  <c r="O469" i="2"/>
  <c r="O452" i="2"/>
  <c r="O436" i="2"/>
  <c r="O418" i="2"/>
  <c r="O400" i="2"/>
  <c r="O384" i="2"/>
  <c r="O366" i="2"/>
  <c r="O350" i="2"/>
  <c r="O333" i="2"/>
  <c r="O316" i="2"/>
  <c r="O301" i="2"/>
  <c r="O285" i="2"/>
  <c r="O270" i="2"/>
  <c r="O255" i="2"/>
  <c r="O237" i="2"/>
  <c r="O222" i="2"/>
  <c r="O207" i="2"/>
  <c r="O192" i="2"/>
  <c r="O176" i="2"/>
  <c r="O159" i="2"/>
  <c r="O144" i="2"/>
  <c r="O128" i="2"/>
  <c r="O113" i="2"/>
  <c r="O98" i="2"/>
  <c r="O80" i="2"/>
  <c r="O65" i="2"/>
  <c r="O50" i="2"/>
  <c r="O34" i="2"/>
  <c r="O19" i="2"/>
  <c r="O989" i="2"/>
  <c r="O967" i="2"/>
  <c r="O949" i="2"/>
  <c r="O927" i="2"/>
  <c r="O909" i="2"/>
  <c r="O890" i="2"/>
  <c r="O872" i="2"/>
  <c r="O855" i="2"/>
  <c r="O833" i="2"/>
  <c r="O816" i="2"/>
  <c r="O796" i="2"/>
  <c r="O778" i="2"/>
  <c r="O760" i="2"/>
  <c r="O741" i="2"/>
  <c r="O725" i="2"/>
  <c r="O708" i="2"/>
  <c r="O691" i="2"/>
  <c r="O675" i="2"/>
  <c r="O655" i="2"/>
  <c r="O639" i="2"/>
  <c r="O622" i="2"/>
  <c r="O606" i="2"/>
  <c r="O589" i="2"/>
  <c r="O570" i="2"/>
  <c r="O554" i="2"/>
  <c r="O536" i="2"/>
  <c r="O520" i="2"/>
  <c r="O504" i="2"/>
  <c r="O484" i="2"/>
  <c r="O468" i="2"/>
  <c r="O451" i="2"/>
  <c r="O435" i="2"/>
  <c r="O417" i="2"/>
  <c r="O399" i="2"/>
  <c r="O382" i="2"/>
  <c r="O365" i="2"/>
  <c r="O349" i="2"/>
  <c r="O332" i="2"/>
  <c r="O315" i="2"/>
  <c r="O300" i="2"/>
  <c r="O284" i="2"/>
  <c r="O269" i="2"/>
  <c r="O254" i="2"/>
  <c r="O236" i="2"/>
  <c r="O221" i="2"/>
  <c r="O206" i="2"/>
  <c r="O190" i="2"/>
  <c r="O175" i="2"/>
  <c r="O158" i="2"/>
  <c r="O142" i="2"/>
  <c r="O127" i="2"/>
  <c r="O112" i="2"/>
  <c r="O97" i="2"/>
  <c r="O79" i="2"/>
  <c r="O64" i="2"/>
  <c r="O49" i="2"/>
  <c r="O33" i="2"/>
  <c r="O18" i="2"/>
  <c r="O2" i="2"/>
  <c r="O985" i="2"/>
  <c r="O966" i="2"/>
  <c r="O943" i="2"/>
  <c r="O926" i="2"/>
  <c r="O908" i="2"/>
  <c r="O889" i="2"/>
  <c r="O871" i="2"/>
  <c r="O849" i="2"/>
  <c r="O832" i="2"/>
  <c r="O812" i="2"/>
  <c r="O795" i="2"/>
  <c r="O777" i="2"/>
  <c r="O757" i="2"/>
  <c r="O740" i="2"/>
  <c r="O724" i="2"/>
  <c r="O706" i="2"/>
  <c r="O690" i="2"/>
  <c r="O672" i="2"/>
  <c r="O654" i="2"/>
  <c r="O638" i="2"/>
  <c r="O621" i="2"/>
  <c r="O605" i="2"/>
  <c r="O585" i="2"/>
  <c r="O569" i="2"/>
  <c r="O553" i="2"/>
  <c r="O535" i="2"/>
  <c r="O519" i="2"/>
  <c r="O500" i="2"/>
  <c r="O483" i="2"/>
  <c r="O466" i="2"/>
  <c r="O450" i="2"/>
  <c r="O433" i="2"/>
  <c r="O414" i="2"/>
  <c r="O398" i="2"/>
  <c r="O380" i="2"/>
  <c r="O364" i="2"/>
  <c r="O348" i="2"/>
  <c r="O329" i="2"/>
  <c r="O965" i="2"/>
  <c r="O939" i="2"/>
  <c r="O916" i="2"/>
  <c r="O888" i="2"/>
  <c r="O862" i="2"/>
  <c r="O842" i="2"/>
  <c r="O811" i="2"/>
  <c r="O786" i="2"/>
  <c r="O765" i="2"/>
  <c r="O739" i="2"/>
  <c r="O718" i="2"/>
  <c r="O697" i="2"/>
  <c r="O670" i="2"/>
  <c r="O650" i="2"/>
  <c r="O627" i="2"/>
  <c r="O603" i="2"/>
  <c r="O581" i="2"/>
  <c r="O560" i="2"/>
  <c r="O534" i="2"/>
  <c r="O511" i="2"/>
  <c r="O492" i="2"/>
  <c r="O465" i="2"/>
  <c r="O442" i="2"/>
  <c r="O423" i="2"/>
  <c r="O397" i="2"/>
  <c r="O376" i="2"/>
  <c r="O353" i="2"/>
  <c r="O328" i="2"/>
  <c r="O310" i="2"/>
  <c r="O293" i="2"/>
  <c r="O273" i="2"/>
  <c r="O256" i="2"/>
  <c r="O234" i="2"/>
  <c r="O217" i="2"/>
  <c r="O197" i="2"/>
  <c r="O180" i="2"/>
  <c r="O162" i="2"/>
  <c r="O140" i="2"/>
  <c r="O123" i="2"/>
  <c r="O103" i="2"/>
  <c r="O86" i="2"/>
  <c r="O66" i="2"/>
  <c r="O46" i="2"/>
  <c r="O27" i="2"/>
  <c r="O9" i="2"/>
  <c r="O962" i="2"/>
  <c r="O938" i="2"/>
  <c r="O913" i="2"/>
  <c r="O886" i="2"/>
  <c r="O861" i="2"/>
  <c r="O838" i="2"/>
  <c r="O810" i="2"/>
  <c r="O785" i="2"/>
  <c r="O764" i="2"/>
  <c r="O738" i="2"/>
  <c r="O717" i="2"/>
  <c r="O694" i="2"/>
  <c r="O668" i="2"/>
  <c r="O649" i="2"/>
  <c r="O626" i="2"/>
  <c r="O600" i="2"/>
  <c r="O580" i="2"/>
  <c r="O557" i="2"/>
  <c r="O533" i="2"/>
  <c r="O510" i="2"/>
  <c r="O490" i="2"/>
  <c r="O464" i="2"/>
  <c r="O441" i="2"/>
  <c r="O422" i="2"/>
  <c r="O396" i="2"/>
  <c r="O375" i="2"/>
  <c r="O352" i="2"/>
  <c r="O327" i="2"/>
  <c r="O309" i="2"/>
  <c r="O290" i="2"/>
  <c r="O272" i="2"/>
  <c r="O250" i="2"/>
  <c r="O233" i="2"/>
  <c r="O216" i="2"/>
  <c r="O196" i="2"/>
  <c r="O178" i="2"/>
  <c r="O157" i="2"/>
  <c r="O139" i="2"/>
  <c r="O120" i="2"/>
  <c r="O102" i="2"/>
  <c r="O85" i="2"/>
  <c r="O63" i="2"/>
  <c r="O45" i="2"/>
  <c r="O26" i="2"/>
  <c r="O8" i="2"/>
  <c r="O961" i="2"/>
  <c r="O934" i="2"/>
  <c r="O902" i="2"/>
  <c r="O874" i="2"/>
  <c r="O844" i="2"/>
  <c r="O809" i="2"/>
  <c r="O782" i="2"/>
  <c r="O752" i="2"/>
  <c r="O727" i="2"/>
  <c r="O699" i="2"/>
  <c r="O667" i="2"/>
  <c r="O642" i="2"/>
  <c r="O614" i="2"/>
  <c r="O592" i="2"/>
  <c r="O562" i="2"/>
  <c r="O532" i="2"/>
  <c r="O507" i="2"/>
  <c r="O478" i="2"/>
  <c r="O453" i="2"/>
  <c r="O425" i="2"/>
  <c r="O393" i="2"/>
  <c r="O369" i="2"/>
  <c r="O340" i="2"/>
  <c r="O319" i="2"/>
  <c r="O295" i="2"/>
  <c r="O271" i="2"/>
  <c r="O247" i="2"/>
  <c r="O228" i="2"/>
  <c r="O204" i="2"/>
  <c r="O182" i="2"/>
  <c r="O156" i="2"/>
  <c r="O136" i="2"/>
  <c r="O114" i="2"/>
  <c r="O90" i="2"/>
  <c r="O70" i="2"/>
  <c r="O44" i="2"/>
  <c r="O22" i="2"/>
  <c r="O956" i="2"/>
  <c r="O933" i="2"/>
  <c r="O901" i="2"/>
  <c r="O870" i="2"/>
  <c r="O843" i="2"/>
  <c r="O808" i="2"/>
  <c r="O781" i="2"/>
  <c r="O751" i="2"/>
  <c r="O723" i="2"/>
  <c r="O698" i="2"/>
  <c r="O666" i="2"/>
  <c r="O641" i="2"/>
  <c r="O613" i="2"/>
  <c r="O584" i="2"/>
  <c r="O561" i="2"/>
  <c r="O529" i="2"/>
  <c r="O506" i="2"/>
  <c r="O477" i="2"/>
  <c r="O449" i="2"/>
  <c r="O424" i="2"/>
  <c r="O392" i="2"/>
  <c r="O367" i="2"/>
  <c r="O339" i="2"/>
  <c r="O314" i="2"/>
  <c r="O294" i="2"/>
  <c r="O268" i="2"/>
  <c r="O246" i="2"/>
  <c r="O224" i="2"/>
  <c r="O202" i="2"/>
  <c r="O181" i="2"/>
  <c r="O154" i="2"/>
  <c r="O133" i="2"/>
  <c r="O111" i="2"/>
  <c r="O89" i="2"/>
  <c r="O67" i="2"/>
  <c r="O41" i="2"/>
  <c r="O21" i="2"/>
  <c r="O955" i="2"/>
  <c r="O925" i="2"/>
  <c r="O897" i="2"/>
  <c r="O865" i="2"/>
  <c r="O837" i="2"/>
  <c r="O807" i="2"/>
  <c r="O776" i="2"/>
  <c r="O750" i="2"/>
  <c r="O721" i="2"/>
  <c r="O693" i="2"/>
  <c r="O665" i="2"/>
  <c r="O637" i="2"/>
  <c r="O612" i="2"/>
  <c r="O583" i="2"/>
  <c r="O556" i="2"/>
  <c r="O528" i="2"/>
  <c r="O498" i="2"/>
  <c r="O476" i="2"/>
  <c r="O448" i="2"/>
  <c r="O420" i="2"/>
  <c r="O391" i="2"/>
  <c r="O363" i="2"/>
  <c r="O338" i="2"/>
  <c r="O313" i="2"/>
  <c r="O289" i="2"/>
  <c r="O267" i="2"/>
  <c r="O245" i="2"/>
  <c r="O223" i="2"/>
  <c r="O201" i="2"/>
  <c r="O177" i="2"/>
  <c r="O153" i="2"/>
  <c r="O132" i="2"/>
  <c r="O110" i="2"/>
  <c r="O88" i="2"/>
  <c r="O62" i="2"/>
  <c r="O40" i="2"/>
  <c r="O20" i="2"/>
  <c r="O981" i="2"/>
  <c r="O941" i="2"/>
  <c r="O903" i="2"/>
  <c r="O859" i="2"/>
  <c r="O823" i="2"/>
  <c r="O783" i="2"/>
  <c r="O746" i="2"/>
  <c r="O705" i="2"/>
  <c r="O677" i="2"/>
  <c r="O633" i="2"/>
  <c r="O596" i="2"/>
  <c r="O564" i="2"/>
  <c r="O523" i="2"/>
  <c r="O489" i="2"/>
  <c r="O454" i="2"/>
  <c r="O411" i="2"/>
  <c r="O378" i="2"/>
  <c r="O341" i="2"/>
  <c r="O307" i="2"/>
  <c r="O280" i="2"/>
  <c r="O248" i="2"/>
  <c r="O218" i="2"/>
  <c r="O188" i="2"/>
  <c r="O163" i="2"/>
  <c r="O126" i="2"/>
  <c r="O99" i="2"/>
  <c r="O72" i="2"/>
  <c r="O37" i="2"/>
  <c r="O7" i="2"/>
  <c r="O978" i="2"/>
  <c r="O940" i="2"/>
  <c r="O896" i="2"/>
  <c r="O858" i="2"/>
  <c r="O822" i="2"/>
  <c r="O771" i="2"/>
  <c r="O737" i="2"/>
  <c r="O704" i="2"/>
  <c r="O664" i="2"/>
  <c r="O632" i="2"/>
  <c r="O595" i="2"/>
  <c r="O550" i="2"/>
  <c r="O522" i="2"/>
  <c r="O482" i="2"/>
  <c r="O446" i="2"/>
  <c r="O410" i="2"/>
  <c r="O377" i="2"/>
  <c r="O337" i="2"/>
  <c r="O306" i="2"/>
  <c r="O277" i="2"/>
  <c r="O244" i="2"/>
  <c r="O214" i="2"/>
  <c r="O185" i="2"/>
  <c r="O152" i="2"/>
  <c r="O125" i="2"/>
  <c r="O93" i="2"/>
  <c r="O61" i="2"/>
  <c r="O36" i="2"/>
  <c r="O6" i="2"/>
  <c r="O977" i="2"/>
  <c r="O937" i="2"/>
  <c r="O895" i="2"/>
  <c r="O857" i="2"/>
  <c r="O819" i="2"/>
  <c r="O770" i="2"/>
  <c r="O736" i="2"/>
  <c r="O703" i="2"/>
  <c r="O663" i="2"/>
  <c r="O628" i="2"/>
  <c r="O594" i="2"/>
  <c r="O549" i="2"/>
  <c r="O518" i="2"/>
  <c r="O481" i="2"/>
  <c r="O440" i="2"/>
  <c r="O409" i="2"/>
  <c r="O372" i="2"/>
  <c r="O336" i="2"/>
  <c r="O303" i="2"/>
  <c r="O276" i="2"/>
  <c r="O243" i="2"/>
  <c r="O211" i="2"/>
  <c r="O184" i="2"/>
  <c r="O151" i="2"/>
  <c r="O124" i="2"/>
  <c r="O92" i="2"/>
  <c r="O60" i="2"/>
  <c r="O32" i="2"/>
  <c r="O5" i="2"/>
  <c r="O976" i="2"/>
  <c r="O936" i="2"/>
  <c r="O894" i="2"/>
  <c r="O848" i="2"/>
  <c r="O818" i="2"/>
  <c r="O769" i="2"/>
  <c r="O734" i="2"/>
  <c r="O700" i="2"/>
  <c r="O662" i="2"/>
  <c r="O625" i="2"/>
  <c r="O593" i="2"/>
  <c r="O548" i="2"/>
  <c r="O514" i="2"/>
  <c r="O480" i="2"/>
  <c r="O439" i="2"/>
  <c r="O406" i="2"/>
  <c r="O370" i="2"/>
  <c r="O334" i="2"/>
  <c r="O302" i="2"/>
  <c r="O274" i="2"/>
  <c r="O242" i="2"/>
  <c r="O210" i="2"/>
  <c r="O183" i="2"/>
  <c r="O150" i="2"/>
  <c r="O118" i="2"/>
  <c r="O91" i="2"/>
  <c r="O58" i="2"/>
  <c r="O31" i="2"/>
  <c r="O970" i="2"/>
  <c r="O922" i="2"/>
  <c r="O882" i="2"/>
  <c r="O846" i="2"/>
  <c r="O802" i="2"/>
  <c r="O766" i="2"/>
  <c r="O732" i="2"/>
  <c r="O686" i="2"/>
  <c r="O653" i="2"/>
  <c r="O619" i="2"/>
  <c r="O579" i="2"/>
  <c r="O546" i="2"/>
  <c r="O509" i="2"/>
  <c r="O471" i="2"/>
  <c r="O437" i="2"/>
  <c r="O404" i="2"/>
  <c r="O361" i="2"/>
  <c r="O325" i="2"/>
  <c r="O297" i="2"/>
  <c r="O262" i="2"/>
  <c r="O235" i="2"/>
  <c r="O208" i="2"/>
  <c r="O171" i="2"/>
  <c r="O146" i="2"/>
  <c r="O116" i="2"/>
  <c r="O84" i="2"/>
  <c r="O54" i="2"/>
  <c r="O25" i="2"/>
  <c r="O952" i="2"/>
  <c r="O878" i="2"/>
  <c r="O804" i="2"/>
  <c r="O749" i="2"/>
  <c r="O681" i="2"/>
  <c r="O618" i="2"/>
  <c r="O566" i="2"/>
  <c r="O495" i="2"/>
  <c r="O428" i="2"/>
  <c r="O362" i="2"/>
  <c r="O312" i="2"/>
  <c r="O259" i="2"/>
  <c r="O205" i="2"/>
  <c r="O164" i="2"/>
  <c r="O104" i="2"/>
  <c r="O52" i="2"/>
  <c r="O951" i="2"/>
  <c r="O877" i="2"/>
  <c r="O799" i="2"/>
  <c r="O747" i="2"/>
  <c r="O680" i="2"/>
  <c r="O610" i="2"/>
  <c r="O547" i="2"/>
  <c r="O494" i="2"/>
  <c r="O427" i="2"/>
  <c r="O357" i="2"/>
  <c r="O308" i="2"/>
  <c r="O258" i="2"/>
  <c r="O198" i="2"/>
  <c r="O149" i="2"/>
  <c r="O101" i="2"/>
  <c r="O51" i="2"/>
  <c r="O942" i="2"/>
  <c r="O876" i="2"/>
  <c r="O798" i="2"/>
  <c r="O733" i="2"/>
  <c r="O679" i="2"/>
  <c r="O609" i="2"/>
  <c r="O543" i="2"/>
  <c r="O493" i="2"/>
  <c r="O426" i="2"/>
  <c r="O356" i="2"/>
  <c r="O298" i="2"/>
  <c r="O257" i="2"/>
  <c r="O195" i="2"/>
  <c r="O145" i="2"/>
  <c r="O100" i="2"/>
  <c r="O48" i="2"/>
  <c r="O921" i="2"/>
  <c r="O860" i="2"/>
  <c r="O793" i="2"/>
  <c r="O720" i="2"/>
  <c r="O661" i="2"/>
  <c r="O598" i="2"/>
  <c r="O541" i="2"/>
  <c r="O470" i="2"/>
  <c r="O412" i="2"/>
  <c r="O351" i="2"/>
  <c r="O924" i="2"/>
  <c r="O864" i="2"/>
  <c r="O794" i="2"/>
  <c r="O728" i="2"/>
  <c r="O678" i="2"/>
  <c r="O608" i="2"/>
  <c r="O542" i="2"/>
  <c r="O475" i="2"/>
  <c r="O413" i="2"/>
  <c r="O354" i="2"/>
  <c r="O296" i="2"/>
  <c r="O249" i="2"/>
  <c r="O194" i="2"/>
  <c r="O141" i="2"/>
  <c r="O87" i="2"/>
  <c r="O39" i="2"/>
  <c r="O982" i="2"/>
  <c r="O847" i="2"/>
  <c r="O754" i="2"/>
  <c r="O646" i="2"/>
  <c r="O526" i="2"/>
  <c r="O432" i="2"/>
  <c r="O322" i="2"/>
  <c r="O232" i="2"/>
  <c r="O168" i="2"/>
  <c r="O77" i="2"/>
  <c r="O13" i="2"/>
  <c r="O907" i="2"/>
  <c r="O784" i="2"/>
  <c r="O684" i="2"/>
  <c r="O574" i="2"/>
  <c r="O461" i="2"/>
  <c r="O346" i="2"/>
  <c r="O264" i="2"/>
  <c r="O189" i="2"/>
  <c r="O115" i="2"/>
  <c r="O28" i="2"/>
  <c r="O975" i="2"/>
  <c r="O845" i="2"/>
  <c r="O753" i="2"/>
  <c r="O636" i="2"/>
  <c r="O524" i="2"/>
  <c r="O405" i="2"/>
  <c r="O321" i="2"/>
  <c r="O231" i="2"/>
  <c r="O166" i="2"/>
  <c r="O76" i="2"/>
  <c r="O12" i="2"/>
  <c r="O969" i="2"/>
  <c r="O831" i="2"/>
  <c r="O714" i="2"/>
  <c r="O634" i="2"/>
  <c r="O513" i="2"/>
  <c r="O403" i="2"/>
  <c r="O320" i="2"/>
  <c r="O230" i="2"/>
  <c r="O165" i="2"/>
  <c r="O75" i="2"/>
  <c r="O10" i="2"/>
  <c r="O954" i="2"/>
  <c r="O830" i="2"/>
  <c r="O713" i="2"/>
  <c r="O620" i="2"/>
  <c r="O508" i="2"/>
  <c r="O390" i="2"/>
  <c r="O288" i="2"/>
  <c r="O229" i="2"/>
  <c r="O138" i="2"/>
  <c r="O74" i="2"/>
  <c r="O953" i="2"/>
  <c r="O829" i="2"/>
  <c r="O712" i="2"/>
  <c r="O597" i="2"/>
  <c r="O497" i="2"/>
  <c r="O389" i="2"/>
  <c r="O286" i="2"/>
  <c r="O220" i="2"/>
  <c r="O137" i="2"/>
  <c r="O73" i="2"/>
  <c r="O920" i="2"/>
  <c r="O825" i="2"/>
  <c r="O711" i="2"/>
  <c r="O582" i="2"/>
  <c r="O496" i="2"/>
  <c r="O386" i="2"/>
  <c r="O283" i="2"/>
  <c r="O219" i="2"/>
  <c r="O130" i="2"/>
  <c r="O57" i="2"/>
  <c r="O917" i="2"/>
  <c r="O824" i="2"/>
  <c r="O689" i="2"/>
  <c r="O577" i="2"/>
  <c r="O463" i="2"/>
  <c r="O385" i="2"/>
  <c r="O282" i="2"/>
  <c r="O209" i="2"/>
  <c r="O129" i="2"/>
  <c r="O53" i="2"/>
  <c r="O912" i="2"/>
  <c r="O792" i="2"/>
  <c r="O685" i="2"/>
  <c r="O576" i="2"/>
  <c r="O462" i="2"/>
  <c r="O379" i="2"/>
  <c r="O281" i="2"/>
  <c r="O193" i="2"/>
  <c r="O117" i="2"/>
  <c r="O38" i="2"/>
  <c r="O568" i="2"/>
  <c r="O172" i="2"/>
  <c r="O260" i="2"/>
  <c r="O648" i="2"/>
  <c r="O241" i="2"/>
  <c r="O567" i="2"/>
  <c r="O170" i="2"/>
  <c r="O904" i="2"/>
  <c r="O106" i="2"/>
  <c r="O651" i="2"/>
  <c r="O983" i="2"/>
  <c r="O540" i="2"/>
  <c r="O169" i="2"/>
  <c r="O457" i="2"/>
  <c r="O885" i="2"/>
  <c r="O456" i="2"/>
  <c r="O105" i="2"/>
  <c r="O756" i="2"/>
  <c r="O324" i="2"/>
  <c r="O14" i="2"/>
  <c r="O881" i="2"/>
  <c r="O438" i="2"/>
  <c r="O78" i="2"/>
  <c r="O768" i="2"/>
  <c r="O343" i="2"/>
  <c r="O24" i="2"/>
  <c r="O763" i="2"/>
  <c r="O326" i="2"/>
  <c r="O15" i="2"/>
  <c r="O652" i="2"/>
  <c r="O261" i="2"/>
</calcChain>
</file>

<file path=xl/sharedStrings.xml><?xml version="1.0" encoding="utf-8"?>
<sst xmlns="http://schemas.openxmlformats.org/spreadsheetml/2006/main" count="1480" uniqueCount="517">
  <si>
    <t>Stock</t>
  </si>
  <si>
    <t>Market Cap (In Rs Cr.)</t>
  </si>
  <si>
    <t>Current price</t>
  </si>
  <si>
    <t>PE Ratio</t>
  </si>
  <si>
    <t>52 Week High</t>
  </si>
  <si>
    <t>% Below 52 week high</t>
  </si>
  <si>
    <t>52 Week Low</t>
  </si>
  <si>
    <t>% Above 52 Week low</t>
  </si>
  <si>
    <t>Yesterday Closing Price</t>
  </si>
  <si>
    <t>% Change</t>
  </si>
  <si>
    <t>TCS</t>
  </si>
  <si>
    <t>HUL</t>
  </si>
  <si>
    <t>Airtel</t>
  </si>
  <si>
    <t>Bajaj Finance</t>
  </si>
  <si>
    <t>Asian Paints</t>
  </si>
  <si>
    <t>HCL Tech</t>
  </si>
  <si>
    <t xml:space="preserve"> </t>
  </si>
  <si>
    <t>Maruti Suzuki</t>
  </si>
  <si>
    <t>Avenue Supermart</t>
  </si>
  <si>
    <t>L&amp;T</t>
  </si>
  <si>
    <t>Bajaj Finserv</t>
  </si>
  <si>
    <t>Nestle</t>
  </si>
  <si>
    <t>Ultratech Cement</t>
  </si>
  <si>
    <t>M&amp;M</t>
  </si>
  <si>
    <t>Bajaj Auto</t>
  </si>
  <si>
    <t>Pidilite Industries</t>
  </si>
  <si>
    <t>SBI life Insurance</t>
  </si>
  <si>
    <t>Tata Steel</t>
  </si>
  <si>
    <t>Divi's Lab</t>
  </si>
  <si>
    <t>Tech Mahindra</t>
  </si>
  <si>
    <t>Dabur</t>
  </si>
  <si>
    <t>Britannia</t>
  </si>
  <si>
    <t>Eicher Motor</t>
  </si>
  <si>
    <t>Cipla</t>
  </si>
  <si>
    <t>Ambuja Cement</t>
  </si>
  <si>
    <t>SBI Cards</t>
  </si>
  <si>
    <t>L&amp;T Infotech</t>
  </si>
  <si>
    <t>Havells India</t>
  </si>
  <si>
    <t>Nykaa</t>
  </si>
  <si>
    <t>Tata Consumer Product</t>
  </si>
  <si>
    <t>Tata Power</t>
  </si>
  <si>
    <t>Marico</t>
  </si>
  <si>
    <t>Berger Paint</t>
  </si>
  <si>
    <t>Motherson Sumi</t>
  </si>
  <si>
    <t>Hero Motocorp</t>
  </si>
  <si>
    <t>Zomato</t>
  </si>
  <si>
    <t>Infoedge</t>
  </si>
  <si>
    <t>Tata Elxsi</t>
  </si>
  <si>
    <t>UPL</t>
  </si>
  <si>
    <t>IRCTC</t>
  </si>
  <si>
    <t>Bandhan Bank</t>
  </si>
  <si>
    <t>Page Industries</t>
  </si>
  <si>
    <t>P&amp;G Health</t>
  </si>
  <si>
    <t>Mphasis</t>
  </si>
  <si>
    <t>Paytm</t>
  </si>
  <si>
    <t>Balkrishna Industries</t>
  </si>
  <si>
    <t>Ashok Leyland</t>
  </si>
  <si>
    <t>Muthoot Finance</t>
  </si>
  <si>
    <t>United Breweries</t>
  </si>
  <si>
    <t>HDFC AMC</t>
  </si>
  <si>
    <t>PI industries</t>
  </si>
  <si>
    <t>TVS</t>
  </si>
  <si>
    <t>Trent</t>
  </si>
  <si>
    <t>sona comstar</t>
  </si>
  <si>
    <t>Astral Poly Technic</t>
  </si>
  <si>
    <t>Polycab</t>
  </si>
  <si>
    <t>Aurobindo Pharma</t>
  </si>
  <si>
    <t>Honeywell Auto</t>
  </si>
  <si>
    <t>MRF</t>
  </si>
  <si>
    <t>Gujarat Florochemical</t>
  </si>
  <si>
    <t>Gujarat Gas</t>
  </si>
  <si>
    <t>Max Financials</t>
  </si>
  <si>
    <t>Coromandel International</t>
  </si>
  <si>
    <t>PB Fintech</t>
  </si>
  <si>
    <t>Indraprastha Gas</t>
  </si>
  <si>
    <t>Lauras Lab</t>
  </si>
  <si>
    <t>Deepak Nitrite</t>
  </si>
  <si>
    <t>Relaxo Footwear</t>
  </si>
  <si>
    <t>Persistent System</t>
  </si>
  <si>
    <t>3M India</t>
  </si>
  <si>
    <t>IPCA Lab</t>
  </si>
  <si>
    <t>Bata India</t>
  </si>
  <si>
    <t>Coforge</t>
  </si>
  <si>
    <t>APL Apollo</t>
  </si>
  <si>
    <t>Crompton Greves</t>
  </si>
  <si>
    <t>Supreme Industries</t>
  </si>
  <si>
    <t>Bayer Cropscience</t>
  </si>
  <si>
    <t>Sumitomo Chemicals</t>
  </si>
  <si>
    <t>Dixon Technologies</t>
  </si>
  <si>
    <t>Tata Chemical</t>
  </si>
  <si>
    <t>Vinita Organics</t>
  </si>
  <si>
    <t>Whirlpool</t>
  </si>
  <si>
    <t>IDFC First</t>
  </si>
  <si>
    <t>NA</t>
  </si>
  <si>
    <t>Endurance Technology</t>
  </si>
  <si>
    <t>Pfizer</t>
  </si>
  <si>
    <t>Trident</t>
  </si>
  <si>
    <t>Navin Flourine</t>
  </si>
  <si>
    <t>LIC Housing Finance</t>
  </si>
  <si>
    <t>Dr Lal Path Lab</t>
  </si>
  <si>
    <t>IEX</t>
  </si>
  <si>
    <t>clean science</t>
  </si>
  <si>
    <t>Fine Organics</t>
  </si>
  <si>
    <t>Alembic Pharma</t>
  </si>
  <si>
    <t>Affle India</t>
  </si>
  <si>
    <t>Tanla Platform</t>
  </si>
  <si>
    <t>KPIT</t>
  </si>
  <si>
    <t>Sheela Form</t>
  </si>
  <si>
    <t>Indiamart Intermesh</t>
  </si>
  <si>
    <t>Happiest Mind</t>
  </si>
  <si>
    <t>CDSL</t>
  </si>
  <si>
    <t>Exide Battery</t>
  </si>
  <si>
    <t>Century Plyboard</t>
  </si>
  <si>
    <t>TTK Prestige</t>
  </si>
  <si>
    <t>CAMS</t>
  </si>
  <si>
    <t>Radico Khaitan</t>
  </si>
  <si>
    <t>KEI Industries</t>
  </si>
  <si>
    <t>Galaxy Surfactant</t>
  </si>
  <si>
    <t>Birlasoft</t>
  </si>
  <si>
    <t>Balaji Amine</t>
  </si>
  <si>
    <t>Mediplus</t>
  </si>
  <si>
    <t>Finolex Industries</t>
  </si>
  <si>
    <t>Borosil Renewable</t>
  </si>
  <si>
    <t>UTI AMC</t>
  </si>
  <si>
    <t>Amara Raja Batter</t>
  </si>
  <si>
    <t>Route Mobile</t>
  </si>
  <si>
    <t>Laxmi Orgamic</t>
  </si>
  <si>
    <t>HFCL</t>
  </si>
  <si>
    <t>Mahangar Gas</t>
  </si>
  <si>
    <t>Mannapuran Finance</t>
  </si>
  <si>
    <t>Amber Enterprise</t>
  </si>
  <si>
    <t>Poly Medicure Ltd</t>
  </si>
  <si>
    <t>Polyplex Corporation</t>
  </si>
  <si>
    <t>Sonata Software</t>
  </si>
  <si>
    <t>Astrazeneca</t>
  </si>
  <si>
    <t>Latent View</t>
  </si>
  <si>
    <t>Praj Industries</t>
  </si>
  <si>
    <t>ICICI Bank</t>
  </si>
  <si>
    <t>Granules India</t>
  </si>
  <si>
    <t>TCI Express</t>
  </si>
  <si>
    <t>Zensar Tech</t>
  </si>
  <si>
    <t>Mastek</t>
  </si>
  <si>
    <t>Garware technical</t>
  </si>
  <si>
    <t>GMM Pfaudler</t>
  </si>
  <si>
    <t>Sterlite technology</t>
  </si>
  <si>
    <t>Orient Electric</t>
  </si>
  <si>
    <t>Avanti Feed</t>
  </si>
  <si>
    <t>Cera Sanitaryware</t>
  </si>
  <si>
    <t>craftsman automation</t>
  </si>
  <si>
    <t>Bharat Rasayan</t>
  </si>
  <si>
    <t>Heidelberg Cement</t>
  </si>
  <si>
    <t>Astec Lifesciences</t>
  </si>
  <si>
    <t>Aarti Drugs</t>
  </si>
  <si>
    <t>Data Pattern</t>
  </si>
  <si>
    <t>Thyrocare</t>
  </si>
  <si>
    <t>Neogen Chemcial</t>
  </si>
  <si>
    <t>Dhanuka Agritech</t>
  </si>
  <si>
    <t>Advance Enzymes</t>
  </si>
  <si>
    <t>Wipro</t>
  </si>
  <si>
    <t>Newgen</t>
  </si>
  <si>
    <t>Sequent Science</t>
  </si>
  <si>
    <t>Mold tech</t>
  </si>
  <si>
    <t>Tasty Bite Eatable</t>
  </si>
  <si>
    <t>Heranba</t>
  </si>
  <si>
    <t>Paras Defense</t>
  </si>
  <si>
    <t>Gokaldas Export</t>
  </si>
  <si>
    <t>Somany home innovation ltd</t>
  </si>
  <si>
    <t>Tata Motor</t>
  </si>
  <si>
    <t>Bhansali Engineering</t>
  </si>
  <si>
    <t>Apollo pipes</t>
  </si>
  <si>
    <t>Garware hi-tech</t>
  </si>
  <si>
    <t>Chemcom Speciality</t>
  </si>
  <si>
    <t>Nureca</t>
  </si>
  <si>
    <t>Dr Reddy</t>
  </si>
  <si>
    <t>HDFC Bank</t>
  </si>
  <si>
    <t>Finolex Cable</t>
  </si>
  <si>
    <t>Nippon AMC</t>
  </si>
  <si>
    <t>Abbott India</t>
  </si>
  <si>
    <t>Axis Bank</t>
  </si>
  <si>
    <t>Bank of Baroda</t>
  </si>
  <si>
    <t>SBI Bank</t>
  </si>
  <si>
    <t>Federal Bank</t>
  </si>
  <si>
    <t>Shree Cement</t>
  </si>
  <si>
    <t>Infosys</t>
  </si>
  <si>
    <t>Reliance</t>
  </si>
  <si>
    <t>Gujarat Ambuja Export</t>
  </si>
  <si>
    <t>Acrysil Ltd</t>
  </si>
  <si>
    <t>HDFC life Insurance</t>
  </si>
  <si>
    <t>J K Cement</t>
  </si>
  <si>
    <t>ICICI Pru life insurance</t>
  </si>
  <si>
    <t>Titan</t>
  </si>
  <si>
    <t>Goldiam International</t>
  </si>
  <si>
    <t>United Spirits</t>
  </si>
  <si>
    <t>Rossari Biotech</t>
  </si>
  <si>
    <t>Kansai Nerolac</t>
  </si>
  <si>
    <t>Voltas</t>
  </si>
  <si>
    <t>Chemplast sanmar</t>
  </si>
  <si>
    <t>L&amp;T Technology</t>
  </si>
  <si>
    <t>Yesbank</t>
  </si>
  <si>
    <t>Gland Pharma</t>
  </si>
  <si>
    <t>Hawkins Cooker</t>
  </si>
  <si>
    <t>MTAR</t>
  </si>
  <si>
    <t>Vaibhav Global</t>
  </si>
  <si>
    <t>Atul Ltd</t>
  </si>
  <si>
    <t>MapmyIndia</t>
  </si>
  <si>
    <t>Sun pharma</t>
  </si>
  <si>
    <t>Caplin Point</t>
  </si>
  <si>
    <t>Cyient</t>
  </si>
  <si>
    <t>Varun Beverage</t>
  </si>
  <si>
    <t>Prince Pipe</t>
  </si>
  <si>
    <t>Jubilant FoodWorks</t>
  </si>
  <si>
    <t>Alkyl Amine</t>
  </si>
  <si>
    <t>HDFC</t>
  </si>
  <si>
    <t>AU Small Finance</t>
  </si>
  <si>
    <t>Hindustan Food</t>
  </si>
  <si>
    <t>Solar Industries</t>
  </si>
  <si>
    <t>Kotak Bank</t>
  </si>
  <si>
    <t>stove kraft</t>
  </si>
  <si>
    <t>Godrej Consumer</t>
  </si>
  <si>
    <t>Solara Active</t>
  </si>
  <si>
    <t>Kajaria Ceramic</t>
  </si>
  <si>
    <t>Krisna dignostic</t>
  </si>
  <si>
    <t>Metropolis Healthcare</t>
  </si>
  <si>
    <t>Aarti Industries</t>
  </si>
  <si>
    <t>Subex</t>
  </si>
  <si>
    <t>Crisil</t>
  </si>
  <si>
    <t>Lux Industries</t>
  </si>
  <si>
    <t>LIC</t>
  </si>
  <si>
    <t>Industery</t>
  </si>
  <si>
    <t>NSE/BSE</t>
  </si>
  <si>
    <t>Bear Mode1</t>
  </si>
  <si>
    <t>Bear Mode2</t>
  </si>
  <si>
    <t>Stock Staus</t>
  </si>
  <si>
    <t>Cap Size</t>
  </si>
  <si>
    <t>IT</t>
  </si>
  <si>
    <t>BOM:532540</t>
  </si>
  <si>
    <t>FMCG</t>
  </si>
  <si>
    <t>HINDUNILVR</t>
  </si>
  <si>
    <t>Bank</t>
  </si>
  <si>
    <t>BOM:500112</t>
  </si>
  <si>
    <t>Financial Servcies</t>
  </si>
  <si>
    <t>Insurance</t>
  </si>
  <si>
    <t>BOM:543526</t>
  </si>
  <si>
    <t>Telecom</t>
  </si>
  <si>
    <t>BHARTIARTL</t>
  </si>
  <si>
    <t>NBFC</t>
  </si>
  <si>
    <t>BAJFINANCE</t>
  </si>
  <si>
    <t>KOTAKBANK</t>
  </si>
  <si>
    <t>Infrastructure</t>
  </si>
  <si>
    <t>BOM:500510</t>
  </si>
  <si>
    <t>AXISBANK</t>
  </si>
  <si>
    <t>Paint</t>
  </si>
  <si>
    <t>ASIANPAINT</t>
  </si>
  <si>
    <t>Automobile</t>
  </si>
  <si>
    <t>MARUTI</t>
  </si>
  <si>
    <t>Pharma</t>
  </si>
  <si>
    <t>SUNPHARMA</t>
  </si>
  <si>
    <t>BAJAJFINSV</t>
  </si>
  <si>
    <t>Retail</t>
  </si>
  <si>
    <t>BOM:500114</t>
  </si>
  <si>
    <t>Cement</t>
  </si>
  <si>
    <t>ULTRACEMCO</t>
  </si>
  <si>
    <t>NESTLEIND</t>
  </si>
  <si>
    <t>BOM:500470</t>
  </si>
  <si>
    <t>SBILIFE</t>
  </si>
  <si>
    <t>HDFCLIFE</t>
  </si>
  <si>
    <t>Chemical</t>
  </si>
  <si>
    <t>PIDILITIND</t>
  </si>
  <si>
    <t>BOM:540005</t>
  </si>
  <si>
    <t>BRITANNIA</t>
  </si>
  <si>
    <t>BOM:500425</t>
  </si>
  <si>
    <t>BAJAJ-AUTO</t>
  </si>
  <si>
    <t>TECHM</t>
  </si>
  <si>
    <t>DABUR</t>
  </si>
  <si>
    <t>BOM:532134</t>
  </si>
  <si>
    <t>BOM:532424</t>
  </si>
  <si>
    <t>DIVISLAB</t>
  </si>
  <si>
    <t>SHREECEM</t>
  </si>
  <si>
    <t>EICHERMOT</t>
  </si>
  <si>
    <t>CIPLA</t>
  </si>
  <si>
    <t>SBICARD</t>
  </si>
  <si>
    <t>Food</t>
  </si>
  <si>
    <t>BOM:540180</t>
  </si>
  <si>
    <t>Consumer Electrical</t>
  </si>
  <si>
    <t>HAVELLS</t>
  </si>
  <si>
    <t>TATACONSUM</t>
  </si>
  <si>
    <t>ICICIPRULI</t>
  </si>
  <si>
    <t>BOM:500400</t>
  </si>
  <si>
    <t>MARICO</t>
  </si>
  <si>
    <t>Spirits</t>
  </si>
  <si>
    <t>MCDOWELL-N</t>
  </si>
  <si>
    <t>BOM:532648</t>
  </si>
  <si>
    <t>BERGEPAINT</t>
  </si>
  <si>
    <t>HEROMOTOCO</t>
  </si>
  <si>
    <t>Agrochemical</t>
  </si>
  <si>
    <t>BOM:512070</t>
  </si>
  <si>
    <t>Automobile Ancilliary</t>
  </si>
  <si>
    <t>BOM:517334</t>
  </si>
  <si>
    <t>Catering</t>
  </si>
  <si>
    <t>PIIND</t>
  </si>
  <si>
    <t>Technology</t>
  </si>
  <si>
    <t>BOM:532777</t>
  </si>
  <si>
    <t>BOM:532343</t>
  </si>
  <si>
    <t>ABBOTINDIA</t>
  </si>
  <si>
    <t>AMC</t>
  </si>
  <si>
    <t>HDFCAMC</t>
  </si>
  <si>
    <t>BOM:500459</t>
  </si>
  <si>
    <t>Textile</t>
  </si>
  <si>
    <t>PAGEIND</t>
  </si>
  <si>
    <t>Tyre</t>
  </si>
  <si>
    <t>BALKRISIND</t>
  </si>
  <si>
    <t>UBL</t>
  </si>
  <si>
    <t>MUTHOOTFIN</t>
  </si>
  <si>
    <t>Small Finance</t>
  </si>
  <si>
    <t>AUBANK</t>
  </si>
  <si>
    <t>Piping</t>
  </si>
  <si>
    <t>ASTRAL</t>
  </si>
  <si>
    <t>POLYCAB</t>
  </si>
  <si>
    <t>Defence</t>
  </si>
  <si>
    <t>BOM:532725</t>
  </si>
  <si>
    <t>IT-Software</t>
  </si>
  <si>
    <t>TATAELXSI</t>
  </si>
  <si>
    <t>BOM:526299</t>
  </si>
  <si>
    <t>BANDHANBNK</t>
  </si>
  <si>
    <t>BOM:500290</t>
  </si>
  <si>
    <t>BOM:540115</t>
  </si>
  <si>
    <t>HONAUT</t>
  </si>
  <si>
    <t>JUBLFOOD</t>
  </si>
  <si>
    <t>Steel</t>
  </si>
  <si>
    <t>BOM:533758</t>
  </si>
  <si>
    <t>Plastic</t>
  </si>
  <si>
    <t>SUPREMEIND</t>
  </si>
  <si>
    <t>Utility</t>
  </si>
  <si>
    <t>GUJGASLTD</t>
  </si>
  <si>
    <t>chemical</t>
  </si>
  <si>
    <t>BOM:542812</t>
  </si>
  <si>
    <t>PERSISTENT</t>
  </si>
  <si>
    <t>BOM:500469</t>
  </si>
  <si>
    <t>BOM:532514</t>
  </si>
  <si>
    <t>BOM:500271</t>
  </si>
  <si>
    <t>BOM:500575</t>
  </si>
  <si>
    <t>DEEPAKNTR</t>
  </si>
  <si>
    <t>COROMANDEL</t>
  </si>
  <si>
    <t>AUROPHARMA</t>
  </si>
  <si>
    <t>3MINDIA</t>
  </si>
  <si>
    <t>automobile</t>
  </si>
  <si>
    <t>BOM:543300</t>
  </si>
  <si>
    <t>BOM:500770</t>
  </si>
  <si>
    <t>SUMICHEM</t>
  </si>
  <si>
    <t>BOM:543245</t>
  </si>
  <si>
    <t>BOM:532541</t>
  </si>
  <si>
    <t>BOM:500027</t>
  </si>
  <si>
    <t>BOM:532644</t>
  </si>
  <si>
    <t>KANSAINER</t>
  </si>
  <si>
    <t>Reserach</t>
  </si>
  <si>
    <t>CRISIL</t>
  </si>
  <si>
    <t>BOM:500253</t>
  </si>
  <si>
    <t>IPCALAB</t>
  </si>
  <si>
    <t>Manufacturing</t>
  </si>
  <si>
    <t>DIXON</t>
  </si>
  <si>
    <t>CROMPTON</t>
  </si>
  <si>
    <t>AARTIIND</t>
  </si>
  <si>
    <t>BAYERCROP</t>
  </si>
  <si>
    <t>VINATIORGA</t>
  </si>
  <si>
    <t>Footwear</t>
  </si>
  <si>
    <t>BATAINDIA</t>
  </si>
  <si>
    <t>BOM:532504</t>
  </si>
  <si>
    <t>ENDURANCE</t>
  </si>
  <si>
    <t>BOM:500680</t>
  </si>
  <si>
    <t>LAURUSLABS</t>
  </si>
  <si>
    <t>BOM:542651</t>
  </si>
  <si>
    <t>WHIRLPOOL</t>
  </si>
  <si>
    <t>Healthcare</t>
  </si>
  <si>
    <t>LALPATHLAB</t>
  </si>
  <si>
    <t>Ceramic</t>
  </si>
  <si>
    <t>KAJARIACER</t>
  </si>
  <si>
    <t>FINEORG</t>
  </si>
  <si>
    <t>BOM:521064</t>
  </si>
  <si>
    <t>BOM:540767</t>
  </si>
  <si>
    <t>EXIDEIND</t>
  </si>
  <si>
    <t>BOM:543318</t>
  </si>
  <si>
    <t>ALKYLAMINE</t>
  </si>
  <si>
    <t>INDIAMART</t>
  </si>
  <si>
    <t>AFFLE</t>
  </si>
  <si>
    <t>BOM:517569</t>
  </si>
  <si>
    <t>BOM:540750</t>
  </si>
  <si>
    <t>BOM:543227</t>
  </si>
  <si>
    <t>Form</t>
  </si>
  <si>
    <t>BOM:540203</t>
  </si>
  <si>
    <t>Playboard</t>
  </si>
  <si>
    <t>BOM:532548</t>
  </si>
  <si>
    <t>NSE:CAMS</t>
  </si>
  <si>
    <t>HDFCBANK</t>
  </si>
  <si>
    <t>TTKPRESTIG</t>
  </si>
  <si>
    <t>APLLTD</t>
  </si>
  <si>
    <t>BOM:500940</t>
  </si>
  <si>
    <t>MANAPPURAM</t>
  </si>
  <si>
    <t>BOM:543238</t>
  </si>
  <si>
    <t>BOM:500183</t>
  </si>
  <si>
    <t>BOM:532790</t>
  </si>
  <si>
    <t>AMARAJABAT</t>
  </si>
  <si>
    <t>CYIENT</t>
  </si>
  <si>
    <t>BOM:506820</t>
  </si>
  <si>
    <t>BOM:531768</t>
  </si>
  <si>
    <t>FINCABLES</t>
  </si>
  <si>
    <t>BOM:539957</t>
  </si>
  <si>
    <t>GALAXYSURF</t>
  </si>
  <si>
    <t>BOM:530999</t>
  </si>
  <si>
    <t>SONATSOFTW</t>
  </si>
  <si>
    <t>BOM:532482</t>
  </si>
  <si>
    <t>BOM:543277</t>
  </si>
  <si>
    <t>BOM:500209</t>
  </si>
  <si>
    <t>BOM:543398</t>
  </si>
  <si>
    <t>BOM:532174</t>
  </si>
  <si>
    <t>BOM:543228</t>
  </si>
  <si>
    <t>BOM:543276</t>
  </si>
  <si>
    <t>METROPOLIS</t>
  </si>
  <si>
    <t>GMMPFAUDLR</t>
  </si>
  <si>
    <t>Logistic</t>
  </si>
  <si>
    <t>BOM:540212</t>
  </si>
  <si>
    <t>Ceramics</t>
  </si>
  <si>
    <t>BOM:532443</t>
  </si>
  <si>
    <t>BOM:542907</t>
  </si>
  <si>
    <t>BOM:522205</t>
  </si>
  <si>
    <t>BOM:543428</t>
  </si>
  <si>
    <t>BOM:540902</t>
  </si>
  <si>
    <t>GARFIBRES</t>
  </si>
  <si>
    <t>BOM:543425</t>
  </si>
  <si>
    <t>BOM:502219</t>
  </si>
  <si>
    <t>ORIENTELEC</t>
  </si>
  <si>
    <t>BOM:524226</t>
  </si>
  <si>
    <t>AVANTIFEED</t>
  </si>
  <si>
    <t>BOM:543270</t>
  </si>
  <si>
    <t>BOM:523704</t>
  </si>
  <si>
    <t>BOM:532156</t>
  </si>
  <si>
    <t>packaging</t>
  </si>
  <si>
    <t>BOM:524051</t>
  </si>
  <si>
    <t>BOM:504067</t>
  </si>
  <si>
    <t>BOM:539542</t>
  </si>
  <si>
    <t>BOM:500292</t>
  </si>
  <si>
    <t>BOM:524348</t>
  </si>
  <si>
    <t>BOM:543213</t>
  </si>
  <si>
    <t>BOM:590021</t>
  </si>
  <si>
    <t>BOM:507717</t>
  </si>
  <si>
    <t>Kitchen Appliances</t>
  </si>
  <si>
    <t>BOM:542905</t>
  </si>
  <si>
    <t>BOM:533138</t>
  </si>
  <si>
    <t>BOM:533080</t>
  </si>
  <si>
    <t>BOM:508486</t>
  </si>
  <si>
    <t>BOM:542665</t>
  </si>
  <si>
    <t>ADVENZYMES</t>
  </si>
  <si>
    <t>THYROCARE</t>
  </si>
  <si>
    <t>BOM:540900</t>
  </si>
  <si>
    <t>BOM:507685</t>
  </si>
  <si>
    <t>BOM:532630</t>
  </si>
  <si>
    <t>BOM:543367</t>
  </si>
  <si>
    <t>BOM:531761</t>
  </si>
  <si>
    <t>BOM:500052</t>
  </si>
  <si>
    <t>BOM:543266</t>
  </si>
  <si>
    <t>BOM:526729</t>
  </si>
  <si>
    <t>kitchen</t>
  </si>
  <si>
    <t>BOM:543260</t>
  </si>
  <si>
    <t>BOM:543328</t>
  </si>
  <si>
    <t>CHEMCON</t>
  </si>
  <si>
    <t>DRREDDY</t>
  </si>
  <si>
    <t>Stock Industry &amp; NSE/BSE Code</t>
  </si>
  <si>
    <t>Industry</t>
  </si>
  <si>
    <t>NSE/BSE Code</t>
  </si>
  <si>
    <t>HCLTECH</t>
  </si>
  <si>
    <t>DMART</t>
  </si>
  <si>
    <t>BOM:543384</t>
  </si>
  <si>
    <t>BOM:543320</t>
  </si>
  <si>
    <t>BOM:543396</t>
  </si>
  <si>
    <t>ASHOKLEY</t>
  </si>
  <si>
    <t>BOM:500251</t>
  </si>
  <si>
    <t>BOM:543390</t>
  </si>
  <si>
    <t>RELAXO</t>
  </si>
  <si>
    <t>BOM:539437</t>
  </si>
  <si>
    <t>BOM:532497</t>
  </si>
  <si>
    <t>BOM:532400</t>
  </si>
  <si>
    <t>BOM:543427</t>
  </si>
  <si>
    <t>BOM:532374</t>
  </si>
  <si>
    <t>BOM:512529</t>
  </si>
  <si>
    <t>TASTYBITE</t>
  </si>
  <si>
    <t>BOM:500570</t>
  </si>
  <si>
    <t>BOM:500655</t>
  </si>
  <si>
    <t>BOM:543264</t>
  </si>
  <si>
    <t>Telecom and oil</t>
  </si>
  <si>
    <t>RELIANCE</t>
  </si>
  <si>
    <t>BOM:524091</t>
  </si>
  <si>
    <t>BOM:543336</t>
  </si>
  <si>
    <t>BO:524742</t>
  </si>
  <si>
    <t>BOM:519126</t>
  </si>
  <si>
    <t>BOM:541540</t>
  </si>
  <si>
    <t>BOM:532348</t>
  </si>
  <si>
    <t>Max of PE Ratio</t>
  </si>
  <si>
    <t>Min of PE Ratio</t>
  </si>
  <si>
    <t>Sum of Market Cap (In Rs Cr.)</t>
  </si>
  <si>
    <t>Sum of Market Cap (in $)</t>
  </si>
  <si>
    <t>Grand Total</t>
  </si>
  <si>
    <t>Sum of Current price</t>
  </si>
  <si>
    <t>Sum of 52 Week High</t>
  </si>
  <si>
    <t>Top 10 Stock by Market Captialization (In Rs Cr.), Market Cap (in Rs CR), Top 10 Industry by Current Price</t>
  </si>
  <si>
    <t>Sum of Yesterday Closing Price</t>
  </si>
  <si>
    <t>Row Labels</t>
  </si>
  <si>
    <t>Large Cap</t>
  </si>
  <si>
    <t>Medium Cap</t>
  </si>
  <si>
    <t>Low Cap</t>
  </si>
  <si>
    <t xml:space="preserve">Max  PE Ratio, Min PE Ratio, 52 Week high, Yesterday Closing Price, Sum of market Capitalization </t>
  </si>
  <si>
    <t>(blank)</t>
  </si>
  <si>
    <t>Sum of % Below 52 week high</t>
  </si>
  <si>
    <t>Sum of % Above 52 Week low</t>
  </si>
  <si>
    <t>Sum of 52 Week Low</t>
  </si>
  <si>
    <t>Current Price by Cap Size, Yesterday closing price &amp; Current Price by Industry</t>
  </si>
  <si>
    <t xml:space="preserve">Stock by Current Price &amp; 52 week high </t>
  </si>
  <si>
    <t>Stock by 52 Week high &amp; 52 Week low</t>
  </si>
  <si>
    <t>Stock by % 52 Week high &amp; 52 Week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</si>
</sst>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00_ ;_-[$$-409]* \-#,##0.00\ ;_-[$$-409]* &quot;-&quot;??_ ;_-@_ "/>
  </numFmts>
  <fonts count="12">
    <font>
      <sz val="10"/>
      <color rgb="FF000000"/>
      <name val="Arial"/>
      <scheme val="minor"/>
    </font>
    <font>
      <b/>
      <sz val="12"/>
      <color theme="1"/>
      <name val="Poppins"/>
    </font>
    <font>
      <sz val="12"/>
      <color rgb="FFFFFFFF"/>
      <name val="Poppins"/>
    </font>
    <font>
      <sz val="12"/>
      <color theme="1"/>
      <name val="Poppins"/>
    </font>
    <font>
      <b/>
      <sz val="11"/>
      <color theme="1"/>
      <name val="Lexend"/>
    </font>
    <font>
      <sz val="10"/>
      <color theme="1"/>
      <name val="Arial"/>
      <scheme val="minor"/>
    </font>
    <font>
      <sz val="9"/>
      <color rgb="FF000000"/>
      <name val="&quot;Google Sans Mono&quot;"/>
    </font>
    <font>
      <b/>
      <sz val="18"/>
      <color theme="1"/>
      <name val="Poppins"/>
    </font>
    <font>
      <sz val="10"/>
      <name val="Arial"/>
    </font>
    <font>
      <b/>
      <sz val="11"/>
      <color rgb="FF3F3F3F"/>
      <name val="Arial"/>
      <family val="2"/>
      <scheme val="minor"/>
    </font>
    <font>
      <b/>
      <sz val="16"/>
      <color rgb="FF595959"/>
      <name val="Arial"/>
      <scheme val="minor"/>
    </font>
    <font>
      <b/>
      <sz val="11"/>
      <color theme="3"/>
      <name val="Arial"/>
      <family val="2"/>
      <scheme val="minor"/>
    </font>
  </fonts>
  <fills count="9">
    <fill>
      <patternFill patternType="none"/>
    </fill>
    <fill>
      <patternFill patternType="gray125"/>
    </fill>
    <fill>
      <patternFill patternType="solid">
        <fgColor rgb="FF434343"/>
        <bgColor rgb="FF434343"/>
      </patternFill>
    </fill>
    <fill>
      <patternFill patternType="solid">
        <fgColor rgb="FFFFFFFF"/>
        <bgColor rgb="FFFFFFFF"/>
      </patternFill>
    </fill>
    <fill>
      <patternFill patternType="solid">
        <fgColor rgb="FF63D297"/>
        <bgColor rgb="FF63D297"/>
      </patternFill>
    </fill>
    <fill>
      <patternFill patternType="solid">
        <fgColor rgb="FFF3F3F3"/>
        <bgColor rgb="FFF3F3F3"/>
      </patternFill>
    </fill>
    <fill>
      <patternFill patternType="solid">
        <fgColor rgb="FFF2F2F2"/>
      </patternFill>
    </fill>
    <fill>
      <patternFill patternType="solid">
        <fgColor indexed="65"/>
        <bgColor rgb="FFF2F2F2"/>
      </patternFill>
    </fill>
    <fill>
      <patternFill patternType="solid">
        <fgColor theme="1" tint="0.34998626667073579"/>
        <bgColor indexed="64"/>
      </patternFill>
    </fill>
  </fills>
  <borders count="10">
    <border>
      <left/>
      <right/>
      <top/>
      <bottom/>
      <diagonal/>
    </border>
    <border>
      <left style="hair">
        <color rgb="FF000000"/>
      </left>
      <right style="hair">
        <color rgb="FF000000"/>
      </right>
      <top style="hair">
        <color rgb="FF000000"/>
      </top>
      <bottom/>
      <diagonal/>
    </border>
    <border>
      <left style="hair">
        <color rgb="FF000000"/>
      </left>
      <right style="hair">
        <color rgb="FF000000"/>
      </right>
      <top style="hair">
        <color rgb="FF000000"/>
      </top>
      <bottom style="hair">
        <color rgb="FF000000"/>
      </bottom>
      <diagonal/>
    </border>
    <border>
      <left style="medium">
        <color rgb="FF000000"/>
      </left>
      <right style="medium">
        <color rgb="FF000000"/>
      </right>
      <top style="medium">
        <color rgb="FF000000"/>
      </top>
      <bottom style="medium">
        <color rgb="FF000000"/>
      </bottom>
      <diagonal/>
    </border>
    <border>
      <left/>
      <right style="hair">
        <color rgb="FF000000"/>
      </right>
      <top style="hair">
        <color rgb="FF000000"/>
      </top>
      <bottom style="hair">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s>
  <cellStyleXfs count="2">
    <xf numFmtId="0" fontId="0" fillId="0" borderId="0"/>
    <xf numFmtId="0" fontId="11" fillId="0" borderId="9" applyNumberFormat="0" applyFill="0" applyAlignment="0" applyProtection="0"/>
  </cellStyleXfs>
  <cellXfs count="31">
    <xf numFmtId="0" fontId="0" fillId="0" borderId="0" xfId="0"/>
    <xf numFmtId="0" fontId="1" fillId="0" borderId="1" xfId="0" applyFont="1" applyBorder="1" applyAlignment="1">
      <alignment horizontal="left" vertical="center" wrapText="1"/>
    </xf>
    <xf numFmtId="2" fontId="1" fillId="0" borderId="2" xfId="0" applyNumberFormat="1" applyFont="1" applyBorder="1" applyAlignment="1">
      <alignment horizontal="left" vertical="center" wrapText="1"/>
    </xf>
    <xf numFmtId="0" fontId="1" fillId="0" borderId="2" xfId="0" applyFont="1" applyBorder="1" applyAlignment="1">
      <alignment horizontal="left" vertical="center" wrapText="1"/>
    </xf>
    <xf numFmtId="10" fontId="1" fillId="0" borderId="2" xfId="0" applyNumberFormat="1" applyFont="1" applyBorder="1" applyAlignment="1">
      <alignment horizontal="left" vertical="center" wrapText="1"/>
    </xf>
    <xf numFmtId="10" fontId="1" fillId="0" borderId="0" xfId="0" applyNumberFormat="1" applyFont="1" applyAlignment="1">
      <alignment horizontal="left" vertical="center" wrapText="1"/>
    </xf>
    <xf numFmtId="0" fontId="2" fillId="2" borderId="3" xfId="0" applyFont="1" applyFill="1" applyBorder="1" applyAlignment="1">
      <alignment horizontal="left" vertical="center" wrapText="1"/>
    </xf>
    <xf numFmtId="2" fontId="3" fillId="0" borderId="4" xfId="0" applyNumberFormat="1" applyFont="1" applyBorder="1" applyAlignment="1">
      <alignment horizontal="left" vertical="center" wrapText="1"/>
    </xf>
    <xf numFmtId="0" fontId="3" fillId="0" borderId="2" xfId="0" applyFont="1" applyBorder="1" applyAlignment="1">
      <alignment horizontal="left" vertical="center" wrapText="1"/>
    </xf>
    <xf numFmtId="10" fontId="3" fillId="0" borderId="2" xfId="0" applyNumberFormat="1" applyFont="1" applyBorder="1" applyAlignment="1">
      <alignment horizontal="left" vertical="center" wrapText="1"/>
    </xf>
    <xf numFmtId="10" fontId="3" fillId="0" borderId="0" xfId="0" applyNumberFormat="1" applyFont="1" applyAlignment="1">
      <alignment horizontal="left" vertical="center" wrapText="1"/>
    </xf>
    <xf numFmtId="0" fontId="4" fillId="0" borderId="0" xfId="0" applyFont="1"/>
    <xf numFmtId="0" fontId="5" fillId="0" borderId="0" xfId="0" applyFont="1"/>
    <xf numFmtId="2" fontId="5" fillId="0" borderId="0" xfId="0" applyNumberFormat="1" applyFont="1"/>
    <xf numFmtId="10" fontId="5" fillId="0" borderId="0" xfId="0" applyNumberFormat="1" applyFont="1"/>
    <xf numFmtId="0" fontId="6" fillId="3" borderId="0" xfId="0" applyFont="1" applyFill="1"/>
    <xf numFmtId="0" fontId="1" fillId="5" borderId="0" xfId="0" applyFont="1" applyFill="1" applyAlignment="1">
      <alignment horizontal="left" vertical="center" wrapText="1"/>
    </xf>
    <xf numFmtId="0" fontId="1" fillId="0" borderId="2" xfId="0" applyFont="1" applyBorder="1" applyAlignment="1">
      <alignment horizontal="center" vertical="center" wrapText="1"/>
    </xf>
    <xf numFmtId="0" fontId="5" fillId="0" borderId="0" xfId="0" applyFont="1" applyAlignment="1">
      <alignment horizontal="left"/>
    </xf>
    <xf numFmtId="0" fontId="0" fillId="0" borderId="0" xfId="0" pivotButton="1"/>
    <xf numFmtId="164" fontId="9" fillId="7" borderId="0" xfId="0" applyNumberFormat="1" applyFont="1" applyFill="1"/>
    <xf numFmtId="0" fontId="10" fillId="8" borderId="0" xfId="0" applyFont="1" applyFill="1" applyAlignment="1">
      <alignment horizontal="center" vertical="center" readingOrder="1"/>
    </xf>
    <xf numFmtId="0" fontId="0" fillId="8" borderId="0" xfId="0" applyFill="1"/>
    <xf numFmtId="0" fontId="0" fillId="0" borderId="0" xfId="0" applyAlignment="1">
      <alignment horizontal="left"/>
    </xf>
    <xf numFmtId="0" fontId="11" fillId="0" borderId="9" xfId="1"/>
    <xf numFmtId="0" fontId="9" fillId="7" borderId="0" xfId="0" applyFont="1" applyFill="1" applyAlignment="1">
      <alignment horizontal="center"/>
    </xf>
    <xf numFmtId="0" fontId="9" fillId="7" borderId="0" xfId="0" applyFont="1" applyFill="1"/>
    <xf numFmtId="0" fontId="9" fillId="6" borderId="8" xfId="0" applyFont="1" applyFill="1" applyBorder="1" applyAlignment="1">
      <alignment horizontal="center"/>
    </xf>
    <xf numFmtId="0" fontId="7" fillId="4" borderId="5" xfId="0" applyFont="1" applyFill="1" applyBorder="1" applyAlignment="1">
      <alignment horizontal="center" vertical="center" wrapText="1"/>
    </xf>
    <xf numFmtId="0" fontId="8" fillId="0" borderId="6" xfId="0" applyFont="1" applyBorder="1"/>
    <xf numFmtId="0" fontId="8" fillId="0" borderId="7" xfId="0" applyFont="1" applyBorder="1"/>
  </cellXfs>
  <cellStyles count="2">
    <cellStyle name="Heading 3" xfId="1" builtinId="18"/>
    <cellStyle name="Normal" xfId="0" builtinId="0"/>
  </cellStyles>
  <dxfs count="55">
    <dxf>
      <fill>
        <patternFill patternType="solid">
          <fgColor rgb="FF8DFF8A"/>
          <bgColor rgb="FF8DFF8A"/>
        </patternFill>
      </fill>
    </dxf>
    <dxf>
      <fill>
        <patternFill patternType="solid">
          <fgColor rgb="FFFF6262"/>
          <bgColor rgb="FFFF6262"/>
        </patternFill>
      </fill>
    </dxf>
    <dxf>
      <fill>
        <patternFill patternType="solid">
          <fgColor rgb="FFFF7A7A"/>
          <bgColor rgb="FFFF7A7A"/>
        </patternFill>
      </fill>
    </dxf>
    <dxf>
      <fill>
        <patternFill patternType="solid">
          <fgColor rgb="FF7EFFCB"/>
          <bgColor rgb="FF7EFFCB"/>
        </patternFill>
      </fill>
    </dxf>
    <dxf>
      <font>
        <color rgb="FFFFFFFF"/>
      </font>
      <fill>
        <patternFill patternType="solid">
          <fgColor rgb="FF1155CC"/>
          <bgColor rgb="FF1155CC"/>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alignment horizontal="general" vertical="bottom" textRotation="0" wrapText="0" indent="0" justifyLastLine="0" shrinkToFit="0" readingOrder="0"/>
    </dxf>
    <dxf>
      <font>
        <b/>
        <sz val="11"/>
        <color rgb="FF3F3F3F"/>
        <family val="2"/>
      </font>
      <fill>
        <patternFill patternType="solid">
          <fgColor rgb="FFF2F2F2"/>
          <bgColor indexed="65"/>
        </patternFill>
      </fill>
      <alignment horizontal="general" vertical="bottom" textRotation="0" wrapText="0" indent="0" justifyLastLine="0" shrinkToFit="0" readingOrder="0"/>
    </dxf>
    <dxf>
      <font>
        <b/>
        <sz val="11"/>
        <color rgb="FF3F3F3F"/>
        <family val="2"/>
      </font>
      <fill>
        <patternFill patternType="solid">
          <fgColor rgb="FFF2F2F2"/>
          <bgColor indexed="65"/>
        </patternFill>
      </fill>
      <alignment horizontal="general" vertical="bottom" textRotation="0" wrapText="0" indent="0" justifyLastLine="0" shrinkToFit="0" readingOrder="0"/>
    </dxf>
    <dxf>
      <font>
        <b/>
        <sz val="11"/>
        <color rgb="FF3F3F3F"/>
        <family val="2"/>
      </font>
      <fill>
        <patternFill patternType="solid">
          <fgColor rgb="FFF2F2F2"/>
        </patternFill>
      </fill>
    </dxf>
    <dxf>
      <font>
        <b/>
        <sz val="11"/>
        <color rgb="FF3F3F3F"/>
        <family val="2"/>
      </font>
      <fill>
        <patternFill patternType="solid">
          <fgColor rgb="FFF2F2F2"/>
        </patternFill>
      </fill>
      <alignment horizontal="center"/>
    </dxf>
    <dxf>
      <font>
        <b/>
        <sz val="11"/>
        <color rgb="FF3F3F3F"/>
        <family val="2"/>
      </font>
      <fill>
        <patternFill patternType="solid">
          <fgColor rgb="FFF2F2F2"/>
        </patternFill>
      </fill>
      <alignment horizontal="center"/>
    </dxf>
    <dxf>
      <alignment horizontal="center"/>
    </dxf>
    <dxf>
      <font>
        <b/>
        <i val="0"/>
        <strike val="0"/>
        <condense val="0"/>
        <extend val="0"/>
        <outline val="0"/>
        <shadow val="0"/>
        <u val="none"/>
        <vertAlign val="baseline"/>
        <sz val="11"/>
        <color rgb="FF3F3F3F"/>
        <name val="Arial"/>
        <family val="2"/>
        <scheme val="minor"/>
      </font>
      <fill>
        <patternFill patternType="solid">
          <fgColor indexed="65"/>
          <bgColor rgb="FFF2F2F2"/>
        </patternFill>
      </fill>
      <border diagonalUp="0" diagonalDown="0" outline="0">
        <left style="thin">
          <color rgb="FF3F3F3F"/>
        </left>
        <right style="thin">
          <color rgb="FF3F3F3F"/>
        </right>
        <top style="thin">
          <color rgb="FF3F3F3F"/>
        </top>
        <bottom style="thin">
          <color rgb="FF3F3F3F"/>
        </bottom>
      </border>
    </dxf>
    <dxf>
      <fill>
        <patternFill>
          <fgColor rgb="FFF2F2F2"/>
        </patternFill>
      </fill>
    </dxf>
    <dxf>
      <numFmt numFmtId="164" formatCode="_-[$$-409]* #,##0.00_ ;_-[$$-409]* \-#,##0.00\ ;_-[$$-409]* &quot;-&quot;??_ ;_-@_ "/>
    </dxf>
    <dxf>
      <font>
        <b/>
        <sz val="11"/>
        <color rgb="FF3F3F3F"/>
        <family val="2"/>
      </font>
      <fill>
        <patternFill patternType="solid">
          <fgColor rgb="FFF2F2F2"/>
        </patternFill>
      </fill>
    </dxf>
    <dxf>
      <numFmt numFmtId="164" formatCode="_-[$$-409]* #,##0.00_ ;_-[$$-409]* \-#,##0.00\ ;_-[$$-409]* &quot;-&quot;??_ ;_-@_ "/>
    </dxf>
    <dxf>
      <font>
        <b/>
        <sz val="11"/>
        <color rgb="FF3F3F3F"/>
        <family val="2"/>
      </font>
      <fill>
        <patternFill patternType="solid">
          <fgColor rgb="FFF2F2F2"/>
        </patternFill>
      </fill>
      <alignment horizontal="general" vertical="bottom" textRotation="0" wrapText="0" indent="0" justifyLastLine="0" shrinkToFit="0" readingOrder="0"/>
    </dxf>
    <dxf>
      <font>
        <b/>
        <sz val="11"/>
        <color rgb="FF3F3F3F"/>
        <family val="2"/>
      </font>
      <fill>
        <patternFill patternType="solid">
          <fgColor rgb="FFF2F2F2"/>
        </patternFill>
      </fill>
      <alignment horizontal="general" vertical="bottom" textRotation="0" wrapText="0" indent="0" justifyLastLine="0" shrinkToFit="0" readingOrder="0"/>
    </dxf>
    <dxf>
      <font>
        <b/>
        <sz val="11"/>
        <color rgb="FF3F3F3F"/>
        <family val="2"/>
      </font>
      <fill>
        <patternFill patternType="solid">
          <fgColor rgb="FFF2F2F2"/>
        </patternFill>
      </fill>
      <alignment horizontal="general" vertical="bottom" textRotation="0" wrapText="0" indent="0" justifyLastLine="0" shrinkToFit="0" readingOrder="0"/>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ill>
        <patternFill>
          <fgColor rgb="FFF2F2F2"/>
        </patternFill>
      </fill>
    </dxf>
    <dxf>
      <fill>
        <patternFill>
          <fgColor rgb="FFF2F2F2"/>
        </patternFill>
      </fill>
    </dxf>
    <dxf>
      <fill>
        <patternFill>
          <fgColor rgb="FFF2F2F2"/>
        </patternFill>
      </fill>
    </dxf>
    <dxf>
      <font>
        <b/>
        <sz val="11"/>
        <color rgb="FF3F3F3F"/>
        <family val="2"/>
      </font>
      <fill>
        <patternFill patternType="solid">
          <fgColor rgb="FFF2F2F2"/>
        </patternFill>
      </fill>
      <alignment horizontal="general" vertical="bottom" textRotation="0" wrapText="0" indent="0" justifyLastLine="0" shrinkToFit="0" readingOrder="0"/>
    </dxf>
    <dxf>
      <font>
        <b/>
        <sz val="11"/>
        <color rgb="FF3F3F3F"/>
        <family val="2"/>
      </font>
      <fill>
        <patternFill patternType="solid">
          <fgColor rgb="FFF2F2F2"/>
        </patternFill>
      </fill>
      <alignment horizontal="general" vertical="bottom" textRotation="0" wrapText="0" indent="0" justifyLastLine="0" shrinkToFit="0" readingOrder="0"/>
    </dxf>
    <dxf>
      <font>
        <b/>
        <sz val="11"/>
        <color rgb="FF3F3F3F"/>
        <family val="2"/>
      </font>
      <fill>
        <patternFill patternType="solid">
          <fgColor rgb="FFF2F2F2"/>
        </patternFill>
      </fill>
      <alignment horizontal="general" vertical="bottom" textRotation="0" wrapText="0" indent="0" justifyLastLine="0" shrinkToFit="0" readingOrder="0"/>
    </dxf>
    <dxf>
      <font>
        <b/>
        <sz val="11"/>
        <color rgb="FF3F3F3F"/>
        <family val="2"/>
      </font>
      <fill>
        <patternFill patternType="solid">
          <fgColor rgb="FFF2F2F2"/>
          <bgColor indexed="65"/>
        </patternFill>
      </fill>
    </dxf>
    <dxf>
      <font>
        <b/>
        <sz val="11"/>
        <color rgb="FF3F3F3F"/>
        <family val="2"/>
      </font>
      <fill>
        <patternFill patternType="solid">
          <fgColor rgb="FFF2F2F2"/>
          <bgColor indexed="65"/>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FEF8E3"/>
          <bgColor rgb="FFFEF8E3"/>
        </patternFill>
      </fill>
    </dxf>
    <dxf>
      <fill>
        <patternFill patternType="solid">
          <fgColor rgb="FFFFFFFF"/>
          <bgColor rgb="FFFFFFFF"/>
        </patternFill>
      </fill>
    </dxf>
    <dxf>
      <fill>
        <patternFill patternType="solid">
          <fgColor rgb="FFFFD966"/>
          <bgColor rgb="FFFFD966"/>
        </patternFill>
      </fill>
    </dxf>
  </dxfs>
  <tableStyles count="2">
    <tableStyle name="Data Set-style" pivot="0" count="3" xr9:uid="{00000000-0011-0000-FFFF-FFFF00000000}">
      <tableStyleElement type="headerRow" dxfId="54"/>
      <tableStyleElement type="firstRowStripe" dxfId="53"/>
      <tableStyleElement type="secondRowStripe" dxfId="52"/>
    </tableStyle>
    <tableStyle name="NSEBSE Code-style" pivot="0" count="3" xr9:uid="{00000000-0011-0000-FFFF-FFFF01000000}">
      <tableStyleElement type="headerRow" dxfId="51"/>
      <tableStyleElement type="firstRowStripe" dxfId="50"/>
      <tableStyleElement type="secondRowStripe" dxfId="4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[Stock Market Tracking.xlsx]Pivots!PivotTable8</c:name>
    <c:fmtId val="36"/>
  </c:pivotSource>
  <c:chart>
    <c:autoTitleDeleted val="1"/>
    <c:pivotFmts>
      <c:pivotFmt>
        <c:idx val="0"/>
      </c:pivotFmt>
      <c:pivotFmt>
        <c:idx val="1"/>
        <c:dLbl>
          <c:idx val="0"/>
          <c:showLegendKey val="1"/>
          <c:showVal val="1"/>
          <c:showCatName val="1"/>
          <c:showSerName val="1"/>
          <c:showPercent val="1"/>
          <c:showBubbleSize val="1"/>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a:solidFill>
                <a:schemeClr val="dk1">
                  <a:lumMod val="25000"/>
                  <a:lumOff val="75000"/>
                </a:schemeClr>
              </a:solid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864088129878153E-3"/>
              <c:y val="-0.30589238938003172"/>
            </c:manualLayout>
          </c:layout>
          <c:spPr>
            <a:solidFill>
              <a:schemeClr val="lt1"/>
            </a:solidFill>
            <a:ln>
              <a:no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5575128248192382E-3"/>
              <c:y val="-0.39451859712156651"/>
            </c:manualLayout>
          </c:layout>
          <c:spPr>
            <a:solidFill>
              <a:schemeClr val="lt1"/>
            </a:solidFill>
            <a:ln>
              <a:solidFill>
                <a:schemeClr val="dk1">
                  <a:lumMod val="25000"/>
                  <a:lumOff val="75000"/>
                </a:schemeClr>
              </a:solid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1150256496384642E-3"/>
              <c:y val="-0.18633313430077458"/>
            </c:manualLayout>
          </c:layout>
          <c:spPr>
            <a:solidFill>
              <a:schemeClr val="lt1"/>
            </a:solidFill>
            <a:ln>
              <a:solidFill>
                <a:schemeClr val="dk1">
                  <a:lumMod val="25000"/>
                  <a:lumOff val="75000"/>
                </a:schemeClr>
              </a:solid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8362692372288952E-3"/>
              <c:y val="-0.15327047110370193"/>
            </c:manualLayout>
          </c:layout>
          <c:spPr>
            <a:solidFill>
              <a:schemeClr val="lt1"/>
            </a:solidFill>
            <a:ln>
              <a:solidFill>
                <a:schemeClr val="dk1">
                  <a:lumMod val="25000"/>
                  <a:lumOff val="75000"/>
                </a:schemeClr>
              </a:solid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5575128248192321E-3"/>
              <c:y val="-0.14965181874349245"/>
            </c:manualLayout>
          </c:layout>
          <c:spPr>
            <a:solidFill>
              <a:schemeClr val="lt1"/>
            </a:solidFill>
            <a:ln>
              <a:solidFill>
                <a:schemeClr val="dk1">
                  <a:lumMod val="25000"/>
                  <a:lumOff val="75000"/>
                </a:schemeClr>
              </a:solid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787564124097099E-3"/>
              <c:y val="-0.13435192743742791"/>
            </c:manualLayout>
          </c:layout>
          <c:spPr>
            <a:solidFill>
              <a:schemeClr val="lt1"/>
            </a:solidFill>
            <a:ln>
              <a:solidFill>
                <a:schemeClr val="dk1">
                  <a:lumMod val="25000"/>
                  <a:lumOff val="75000"/>
                </a:schemeClr>
              </a:solid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8362692372288483E-3"/>
              <c:y val="-0.11132088236562897"/>
            </c:manualLayout>
          </c:layout>
          <c:spPr>
            <a:solidFill>
              <a:schemeClr val="lt1"/>
            </a:solidFill>
            <a:ln>
              <a:solidFill>
                <a:schemeClr val="dk1">
                  <a:lumMod val="25000"/>
                  <a:lumOff val="75000"/>
                </a:schemeClr>
              </a:solid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836269237228942E-3"/>
              <c:y val="-0.11270955287921065"/>
            </c:manualLayout>
          </c:layout>
          <c:spPr>
            <a:solidFill>
              <a:schemeClr val="lt1"/>
            </a:solidFill>
            <a:ln>
              <a:solidFill>
                <a:schemeClr val="dk1">
                  <a:lumMod val="25000"/>
                  <a:lumOff val="75000"/>
                </a:schemeClr>
              </a:solid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8362692372288483E-3"/>
              <c:y val="-9.8213492238791097E-2"/>
            </c:manualLayout>
          </c:layout>
          <c:spPr>
            <a:solidFill>
              <a:schemeClr val="lt1"/>
            </a:solidFill>
            <a:ln>
              <a:solidFill>
                <a:schemeClr val="dk1">
                  <a:lumMod val="25000"/>
                  <a:lumOff val="75000"/>
                </a:schemeClr>
              </a:solid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6725384744576967E-3"/>
              <c:y val="-9.7759245408087961E-2"/>
            </c:manualLayout>
          </c:layout>
          <c:spPr>
            <a:solidFill>
              <a:schemeClr val="lt1"/>
            </a:solidFill>
            <a:ln>
              <a:solidFill>
                <a:schemeClr val="dk1">
                  <a:lumMod val="25000"/>
                  <a:lumOff val="75000"/>
                </a:schemeClr>
              </a:solid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7.100823599681178E-3"/>
          <c:y val="3.6581257863501408E-2"/>
          <c:w val="0.97261447487817576"/>
          <c:h val="0.80584128793968435"/>
        </c:manualLayout>
      </c:layout>
      <c:barChart>
        <c:barDir val="col"/>
        <c:grouping val="stacked"/>
        <c:varyColors val="0"/>
        <c:ser>
          <c:idx val="0"/>
          <c:order val="0"/>
          <c:tx>
            <c:strRef>
              <c:f>Pivots!$H$3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CF5-4634-898B-A7379FE784AC}"/>
              </c:ext>
            </c:extLst>
          </c:dPt>
          <c:dPt>
            <c:idx val="1"/>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ECF5-4634-898B-A7379FE784AC}"/>
              </c:ext>
            </c:extLst>
          </c:dPt>
          <c:dPt>
            <c:idx val="2"/>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ECF5-4634-898B-A7379FE784AC}"/>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CF5-4634-898B-A7379FE784AC}"/>
              </c:ext>
            </c:extLst>
          </c:dPt>
          <c:dPt>
            <c:idx val="4"/>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ECF5-4634-898B-A7379FE784AC}"/>
              </c:ext>
            </c:extLst>
          </c:dPt>
          <c:dPt>
            <c:idx val="5"/>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CF5-4634-898B-A7379FE784AC}"/>
              </c:ext>
            </c:extLst>
          </c:dPt>
          <c:dPt>
            <c:idx val="6"/>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ECF5-4634-898B-A7379FE784AC}"/>
              </c:ext>
            </c:extLst>
          </c:dPt>
          <c:dPt>
            <c:idx val="7"/>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CF5-4634-898B-A7379FE784AC}"/>
              </c:ext>
            </c:extLst>
          </c:dPt>
          <c:dPt>
            <c:idx val="8"/>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ECF5-4634-898B-A7379FE784AC}"/>
              </c:ext>
            </c:extLst>
          </c:dPt>
          <c:dPt>
            <c:idx val="9"/>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CF5-4634-898B-A7379FE784AC}"/>
              </c:ext>
            </c:extLst>
          </c:dPt>
          <c:dLbls>
            <c:dLbl>
              <c:idx val="0"/>
              <c:layout>
                <c:manualLayout>
                  <c:x val="-2.5575128248192382E-3"/>
                  <c:y val="-0.3945185971215665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CF5-4634-898B-A7379FE784AC}"/>
                </c:ext>
              </c:extLst>
            </c:dLbl>
            <c:dLbl>
              <c:idx val="1"/>
              <c:layout>
                <c:manualLayout>
                  <c:x val="-1.2864088129878153E-3"/>
                  <c:y val="-0.30589238938003172"/>
                </c:manualLayout>
              </c:layout>
              <c:spPr>
                <a:solidFill>
                  <a:schemeClr val="lt1"/>
                </a:solidFill>
                <a:ln>
                  <a:no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 xmlns:c16="http://schemas.microsoft.com/office/drawing/2014/chart" uri="{C3380CC4-5D6E-409C-BE32-E72D297353CC}">
                  <c16:uniqueId val="{00000000-ECF5-4634-898B-A7379FE784AC}"/>
                </c:ext>
              </c:extLst>
            </c:dLbl>
            <c:dLbl>
              <c:idx val="2"/>
              <c:layout>
                <c:manualLayout>
                  <c:x val="-5.1150256496384642E-3"/>
                  <c:y val="-0.1863331343007745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CF5-4634-898B-A7379FE784AC}"/>
                </c:ext>
              </c:extLst>
            </c:dLbl>
            <c:dLbl>
              <c:idx val="3"/>
              <c:layout>
                <c:manualLayout>
                  <c:x val="-3.8362692372288952E-3"/>
                  <c:y val="-0.1532704711037019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CF5-4634-898B-A7379FE784AC}"/>
                </c:ext>
              </c:extLst>
            </c:dLbl>
            <c:dLbl>
              <c:idx val="4"/>
              <c:layout>
                <c:manualLayout>
                  <c:x val="-2.5575128248192321E-3"/>
                  <c:y val="-0.1496518187434924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CF5-4634-898B-A7379FE784AC}"/>
                </c:ext>
              </c:extLst>
            </c:dLbl>
            <c:dLbl>
              <c:idx val="5"/>
              <c:layout>
                <c:manualLayout>
                  <c:x val="-1.2787564124097099E-3"/>
                  <c:y val="-0.1343519274374279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CF5-4634-898B-A7379FE784AC}"/>
                </c:ext>
              </c:extLst>
            </c:dLbl>
            <c:dLbl>
              <c:idx val="6"/>
              <c:layout>
                <c:manualLayout>
                  <c:x val="-3.8362692372288483E-3"/>
                  <c:y val="-0.1113208823656289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CF5-4634-898B-A7379FE784AC}"/>
                </c:ext>
              </c:extLst>
            </c:dLbl>
            <c:dLbl>
              <c:idx val="7"/>
              <c:layout>
                <c:manualLayout>
                  <c:x val="-3.836269237228942E-3"/>
                  <c:y val="-0.1127095528792106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CF5-4634-898B-A7379FE784AC}"/>
                </c:ext>
              </c:extLst>
            </c:dLbl>
            <c:dLbl>
              <c:idx val="8"/>
              <c:layout>
                <c:manualLayout>
                  <c:x val="-3.8362692372288483E-3"/>
                  <c:y val="-9.821349223879109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CF5-4634-898B-A7379FE784AC}"/>
                </c:ext>
              </c:extLst>
            </c:dLbl>
            <c:dLbl>
              <c:idx val="9"/>
              <c:layout>
                <c:manualLayout>
                  <c:x val="-7.6725384744576967E-3"/>
                  <c:y val="-9.7759245408087961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CF5-4634-898B-A7379FE784AC}"/>
                </c:ext>
              </c:extLst>
            </c:dLbl>
            <c:spPr>
              <a:solidFill>
                <a:schemeClr val="lt1"/>
              </a:solidFill>
              <a:ln>
                <a:solidFill>
                  <a:schemeClr val="dk1">
                    <a:lumMod val="25000"/>
                    <a:lumOff val="75000"/>
                  </a:schemeClr>
                </a:solid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Pivots!$G$4:$G$14</c:f>
              <c:strCache>
                <c:ptCount val="10"/>
                <c:pt idx="0">
                  <c:v>Reliance</c:v>
                </c:pt>
                <c:pt idx="1">
                  <c:v>TCS</c:v>
                </c:pt>
                <c:pt idx="2">
                  <c:v>HUL</c:v>
                </c:pt>
                <c:pt idx="3">
                  <c:v>SBI Bank</c:v>
                </c:pt>
                <c:pt idx="4">
                  <c:v>HDFC</c:v>
                </c:pt>
                <c:pt idx="5">
                  <c:v>LIC</c:v>
                </c:pt>
                <c:pt idx="6">
                  <c:v>Bajaj Finance</c:v>
                </c:pt>
                <c:pt idx="7">
                  <c:v>Kotak Bank</c:v>
                </c:pt>
                <c:pt idx="8">
                  <c:v>L&amp;T</c:v>
                </c:pt>
                <c:pt idx="9">
                  <c:v>Axis Bank</c:v>
                </c:pt>
              </c:strCache>
            </c:strRef>
          </c:cat>
          <c:val>
            <c:numRef>
              <c:f>Pivots!$H$4:$H$14</c:f>
              <c:numCache>
                <c:formatCode>General</c:formatCode>
                <c:ptCount val="10"/>
                <c:pt idx="0">
                  <c:v>1620922.4391001</c:v>
                </c:pt>
                <c:pt idx="1">
                  <c:v>1234544.5174748001</c:v>
                </c:pt>
                <c:pt idx="2">
                  <c:v>616301.32687500003</c:v>
                </c:pt>
                <c:pt idx="3">
                  <c:v>535431.32466749998</c:v>
                </c:pt>
                <c:pt idx="4">
                  <c:v>478914.7</c:v>
                </c:pt>
                <c:pt idx="5">
                  <c:v>450686.75702929997</c:v>
                </c:pt>
                <c:pt idx="6">
                  <c:v>361172.63514019997</c:v>
                </c:pt>
                <c:pt idx="7">
                  <c:v>354002.53595559997</c:v>
                </c:pt>
                <c:pt idx="8">
                  <c:v>302617.16662500001</c:v>
                </c:pt>
                <c:pt idx="9">
                  <c:v>287213.2945283</c:v>
                </c:pt>
              </c:numCache>
            </c:numRef>
          </c:val>
          <c:extLst>
            <c:ext xmlns:c16="http://schemas.microsoft.com/office/drawing/2014/chart" uri="{C3380CC4-5D6E-409C-BE32-E72D297353CC}">
              <c16:uniqueId val="{00000000-60F5-47BA-92EC-23CC2B7C499D}"/>
            </c:ext>
          </c:extLst>
        </c:ser>
        <c:dLbls>
          <c:dLblPos val="inEnd"/>
          <c:showLegendKey val="0"/>
          <c:showVal val="1"/>
          <c:showCatName val="0"/>
          <c:showSerName val="0"/>
          <c:showPercent val="0"/>
          <c:showBubbleSize val="0"/>
        </c:dLbls>
        <c:gapWidth val="150"/>
        <c:overlap val="100"/>
        <c:axId val="1781166144"/>
        <c:axId val="915216416"/>
      </c:barChart>
      <c:catAx>
        <c:axId val="17811661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bg2">
                    <a:lumMod val="65000"/>
                  </a:schemeClr>
                </a:solidFill>
                <a:latin typeface="+mn-lt"/>
                <a:ea typeface="+mn-ea"/>
                <a:cs typeface="+mn-cs"/>
              </a:defRPr>
            </a:pPr>
            <a:endParaRPr lang="en-US"/>
          </a:p>
        </c:txPr>
        <c:crossAx val="915216416"/>
        <c:crosses val="autoZero"/>
        <c:auto val="1"/>
        <c:lblAlgn val="ctr"/>
        <c:lblOffset val="100"/>
        <c:noMultiLvlLbl val="0"/>
      </c:catAx>
      <c:valAx>
        <c:axId val="915216416"/>
        <c:scaling>
          <c:orientation val="minMax"/>
        </c:scaling>
        <c:delete val="1"/>
        <c:axPos val="l"/>
        <c:numFmt formatCode="&quot;₹&quot;\ #,##0.00" sourceLinked="0"/>
        <c:majorTickMark val="none"/>
        <c:minorTickMark val="none"/>
        <c:tickLblPos val="nextTo"/>
        <c:crossAx val="1781166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Market Tracking.xlsx]Pivots!PivotTable1</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2"/>
          </a:solidFill>
          <a:ln>
            <a:noFill/>
          </a:ln>
          <a:effectLst>
            <a:outerShdw blurRad="254000" sx="102000" sy="102000" algn="ctr" rotWithShape="0">
              <a:prstClr val="black">
                <a:alpha val="20000"/>
              </a:prstClr>
            </a:outerShdw>
          </a:effectLst>
        </c:spPr>
      </c:pivotFmt>
      <c:pivotFmt>
        <c:idx val="8"/>
        <c:spPr>
          <a:solidFill>
            <a:schemeClr val="accent3"/>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00B050"/>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bg2">
              <a:lumMod val="65000"/>
            </a:schemeClr>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24643773669921942"/>
          <c:y val="4.0440951885585615E-2"/>
          <c:w val="0.45783353591679299"/>
          <c:h val="0.93443077618907411"/>
        </c:manualLayout>
      </c:layout>
      <c:pieChart>
        <c:varyColors val="1"/>
        <c:ser>
          <c:idx val="0"/>
          <c:order val="0"/>
          <c:tx>
            <c:strRef>
              <c:f>Pivots!$N$3</c:f>
              <c:strCache>
                <c:ptCount val="1"/>
                <c:pt idx="0">
                  <c:v>Total</c:v>
                </c:pt>
              </c:strCache>
            </c:strRef>
          </c:tx>
          <c:dPt>
            <c:idx val="0"/>
            <c:bubble3D val="0"/>
            <c:spPr>
              <a:solidFill>
                <a:srgbClr val="00B05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AC1-4118-87C5-B7007624D53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AC1-4118-87C5-B7007624D53D}"/>
              </c:ext>
            </c:extLst>
          </c:dPt>
          <c:dPt>
            <c:idx val="2"/>
            <c:bubble3D val="0"/>
            <c:spPr>
              <a:solidFill>
                <a:schemeClr val="bg2">
                  <a:lumMod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AC1-4118-87C5-B7007624D53D}"/>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Pivots!$M$4:$M$7</c:f>
              <c:strCache>
                <c:ptCount val="3"/>
                <c:pt idx="0">
                  <c:v>Large Cap</c:v>
                </c:pt>
                <c:pt idx="1">
                  <c:v>Low Cap</c:v>
                </c:pt>
                <c:pt idx="2">
                  <c:v>Medium Cap</c:v>
                </c:pt>
              </c:strCache>
            </c:strRef>
          </c:cat>
          <c:val>
            <c:numRef>
              <c:f>Pivots!$N$4:$N$7</c:f>
              <c:numCache>
                <c:formatCode>General</c:formatCode>
                <c:ptCount val="3"/>
                <c:pt idx="0">
                  <c:v>200530.65000000005</c:v>
                </c:pt>
                <c:pt idx="1">
                  <c:v>84267.900000000009</c:v>
                </c:pt>
                <c:pt idx="2">
                  <c:v>55492.35</c:v>
                </c:pt>
              </c:numCache>
            </c:numRef>
          </c:val>
          <c:extLst>
            <c:ext xmlns:c16="http://schemas.microsoft.com/office/drawing/2014/chart" uri="{C3380CC4-5D6E-409C-BE32-E72D297353CC}">
              <c16:uniqueId val="{00000006-DAC1-4118-87C5-B7007624D53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lgn="ctr">
            <a:defRPr lang="en-US" sz="1400" b="1" i="0" u="none" strike="noStrike" kern="1200" baseline="0">
              <a:solidFill>
                <a:schemeClr val="bg2">
                  <a:lumMod val="6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[Stock Market Tracking.xlsx]Pivots!PivotTable6</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37079028061709463"/>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3544250150000985E-17"/>
              <c:y val="-0.36086081756853217"/>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31367393772518681"/>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800316077096203E-3"/>
              <c:y val="-0.28250618162248503"/>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22385514822153044"/>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800316077096203E-3"/>
              <c:y val="-0.2135872145861199"/>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19294882809055441"/>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
              <c:y val="-0.18890087203473896"/>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3867900195379035E-17"/>
              <c:y val="-0.12766893507378646"/>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800316077098081E-3"/>
              <c:y val="-9.3158908860887152E-2"/>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rgbClr val="000000">
                      <a:lumMod val="95000"/>
                      <a:lumOff val="5000"/>
                    </a:srgb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manualLayout>
          <c:layoutTarget val="inner"/>
          <c:xMode val="edge"/>
          <c:yMode val="edge"/>
          <c:x val="2.1813345447203713E-2"/>
          <c:y val="5.101000024059487E-2"/>
          <c:w val="0.95904603270745004"/>
          <c:h val="0.75688548651382359"/>
        </c:manualLayout>
      </c:layout>
      <c:barChart>
        <c:barDir val="col"/>
        <c:grouping val="stacked"/>
        <c:varyColors val="0"/>
        <c:ser>
          <c:idx val="0"/>
          <c:order val="0"/>
          <c:tx>
            <c:strRef>
              <c:f>Pivots!$K$3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2C4E-4C71-8D73-2AC16B2AD081}"/>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C4E-4C71-8D73-2AC16B2AD081}"/>
              </c:ext>
            </c:extLst>
          </c:dPt>
          <c:dPt>
            <c:idx val="2"/>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2C4E-4C71-8D73-2AC16B2AD081}"/>
              </c:ext>
            </c:extLst>
          </c:dPt>
          <c:dPt>
            <c:idx val="3"/>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2C4E-4C71-8D73-2AC16B2AD081}"/>
              </c:ext>
            </c:extLst>
          </c:dPt>
          <c:dPt>
            <c:idx val="4"/>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C4E-4C71-8D73-2AC16B2AD081}"/>
              </c:ext>
            </c:extLst>
          </c:dPt>
          <c:dPt>
            <c:idx val="5"/>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C4E-4C71-8D73-2AC16B2AD081}"/>
              </c:ext>
            </c:extLst>
          </c:dPt>
          <c:dPt>
            <c:idx val="6"/>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2C4E-4C71-8D73-2AC16B2AD081}"/>
              </c:ext>
            </c:extLst>
          </c:dPt>
          <c:dPt>
            <c:idx val="7"/>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C4E-4C71-8D73-2AC16B2AD081}"/>
              </c:ext>
            </c:extLst>
          </c:dPt>
          <c:dPt>
            <c:idx val="8"/>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2C4E-4C71-8D73-2AC16B2AD081}"/>
              </c:ext>
            </c:extLst>
          </c:dPt>
          <c:dPt>
            <c:idx val="9"/>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C4E-4C71-8D73-2AC16B2AD081}"/>
              </c:ext>
            </c:extLst>
          </c:dPt>
          <c:dLbls>
            <c:dLbl>
              <c:idx val="0"/>
              <c:layout>
                <c:manualLayout>
                  <c:x val="0"/>
                  <c:y val="-0.3707902806170946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C4E-4C71-8D73-2AC16B2AD081}"/>
                </c:ext>
              </c:extLst>
            </c:dLbl>
            <c:dLbl>
              <c:idx val="1"/>
              <c:layout>
                <c:manualLayout>
                  <c:x val="-2.3544250150000985E-17"/>
                  <c:y val="-0.3608608175685321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C4E-4C71-8D73-2AC16B2AD081}"/>
                </c:ext>
              </c:extLst>
            </c:dLbl>
            <c:dLbl>
              <c:idx val="2"/>
              <c:layout>
                <c:manualLayout>
                  <c:x val="0"/>
                  <c:y val="-0.3136739377251868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C4E-4C71-8D73-2AC16B2AD081}"/>
                </c:ext>
              </c:extLst>
            </c:dLbl>
            <c:dLbl>
              <c:idx val="3"/>
              <c:layout>
                <c:manualLayout>
                  <c:x val="-1.2800316077096203E-3"/>
                  <c:y val="-0.2825061816224850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C4E-4C71-8D73-2AC16B2AD081}"/>
                </c:ext>
              </c:extLst>
            </c:dLbl>
            <c:dLbl>
              <c:idx val="4"/>
              <c:layout>
                <c:manualLayout>
                  <c:x val="0"/>
                  <c:y val="-0.2238551482215304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C4E-4C71-8D73-2AC16B2AD081}"/>
                </c:ext>
              </c:extLst>
            </c:dLbl>
            <c:dLbl>
              <c:idx val="5"/>
              <c:layout>
                <c:manualLayout>
                  <c:x val="-1.2800316077096203E-3"/>
                  <c:y val="-0.213587214586119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C4E-4C71-8D73-2AC16B2AD081}"/>
                </c:ext>
              </c:extLst>
            </c:dLbl>
            <c:dLbl>
              <c:idx val="6"/>
              <c:layout>
                <c:manualLayout>
                  <c:x val="0"/>
                  <c:y val="-0.1929488280905544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C4E-4C71-8D73-2AC16B2AD081}"/>
                </c:ext>
              </c:extLst>
            </c:dLbl>
            <c:dLbl>
              <c:idx val="7"/>
              <c:layout>
                <c:manualLayout>
                  <c:x val="0"/>
                  <c:y val="-0.1889008720347389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C4E-4C71-8D73-2AC16B2AD081}"/>
                </c:ext>
              </c:extLst>
            </c:dLbl>
            <c:dLbl>
              <c:idx val="8"/>
              <c:layout>
                <c:manualLayout>
                  <c:x val="-9.3867900195379035E-17"/>
                  <c:y val="-0.1276689350737864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C4E-4C71-8D73-2AC16B2AD081}"/>
                </c:ext>
              </c:extLst>
            </c:dLbl>
            <c:dLbl>
              <c:idx val="9"/>
              <c:layout>
                <c:manualLayout>
                  <c:x val="-1.2800316077098081E-3"/>
                  <c:y val="-9.3158908860887152E-2"/>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rgbClr val="000000">
                          <a:lumMod val="95000"/>
                          <a:lumOff val="5000"/>
                        </a:srgb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 xmlns:c16="http://schemas.microsoft.com/office/drawing/2014/chart" uri="{C3380CC4-5D6E-409C-BE32-E72D297353CC}">
                  <c16:uniqueId val="{00000009-2C4E-4C71-8D73-2AC16B2AD081}"/>
                </c:ext>
              </c:extLst>
            </c:dLbl>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0">
                <a:spAutoFit/>
              </a:bodyPr>
              <a:lstStyle/>
              <a:p>
                <a:pPr algn="ctr" rtl="0">
                  <a:defRPr lang="en-US" sz="600" b="1" i="0" u="none" strike="noStrike" kern="1200" baseline="0">
                    <a:solidFill>
                      <a:schemeClr val="tx2">
                        <a:lumMod val="95000"/>
                        <a:lumOff val="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Pivots!$J$4:$J$14</c:f>
              <c:strCache>
                <c:ptCount val="10"/>
                <c:pt idx="0">
                  <c:v>Textile</c:v>
                </c:pt>
                <c:pt idx="1">
                  <c:v>Pharma</c:v>
                </c:pt>
                <c:pt idx="2">
                  <c:v>Cement</c:v>
                </c:pt>
                <c:pt idx="3">
                  <c:v>chemical</c:v>
                </c:pt>
                <c:pt idx="4">
                  <c:v>Automobile</c:v>
                </c:pt>
                <c:pt idx="5">
                  <c:v>Technology</c:v>
                </c:pt>
                <c:pt idx="6">
                  <c:v>IT</c:v>
                </c:pt>
                <c:pt idx="7">
                  <c:v>Agrochemical</c:v>
                </c:pt>
                <c:pt idx="8">
                  <c:v>Consumer Electrical</c:v>
                </c:pt>
                <c:pt idx="9">
                  <c:v>IT-Software</c:v>
                </c:pt>
              </c:strCache>
            </c:strRef>
          </c:cat>
          <c:val>
            <c:numRef>
              <c:f>Pivots!$K$4:$K$14</c:f>
              <c:numCache>
                <c:formatCode>General</c:formatCode>
                <c:ptCount val="10"/>
                <c:pt idx="0">
                  <c:v>44843.399999999994</c:v>
                </c:pt>
                <c:pt idx="1">
                  <c:v>42351.55</c:v>
                </c:pt>
                <c:pt idx="2">
                  <c:v>34876</c:v>
                </c:pt>
                <c:pt idx="3">
                  <c:v>32296.65</c:v>
                </c:pt>
                <c:pt idx="4">
                  <c:v>23745.7</c:v>
                </c:pt>
                <c:pt idx="5">
                  <c:v>23191.05</c:v>
                </c:pt>
                <c:pt idx="6">
                  <c:v>20865.3</c:v>
                </c:pt>
                <c:pt idx="7">
                  <c:v>20731.449999999997</c:v>
                </c:pt>
                <c:pt idx="8">
                  <c:v>12240.5</c:v>
                </c:pt>
                <c:pt idx="9">
                  <c:v>7681</c:v>
                </c:pt>
              </c:numCache>
            </c:numRef>
          </c:val>
          <c:extLst>
            <c:ext xmlns:c16="http://schemas.microsoft.com/office/drawing/2014/chart" uri="{C3380CC4-5D6E-409C-BE32-E72D297353CC}">
              <c16:uniqueId val="{00000000-0A4C-4EFD-85DF-942A91F20F25}"/>
            </c:ext>
          </c:extLst>
        </c:ser>
        <c:dLbls>
          <c:dLblPos val="inEnd"/>
          <c:showLegendKey val="0"/>
          <c:showVal val="1"/>
          <c:showCatName val="0"/>
          <c:showSerName val="0"/>
          <c:showPercent val="0"/>
          <c:showBubbleSize val="0"/>
        </c:dLbls>
        <c:gapWidth val="150"/>
        <c:overlap val="100"/>
        <c:axId val="1743068352"/>
        <c:axId val="1742822912"/>
      </c:barChart>
      <c:catAx>
        <c:axId val="17430683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100" b="1" i="0" u="none" strike="noStrike" kern="1200" baseline="0">
                <a:solidFill>
                  <a:schemeClr val="bg2">
                    <a:lumMod val="65000"/>
                  </a:schemeClr>
                </a:solidFill>
                <a:latin typeface="+mn-lt"/>
                <a:ea typeface="+mn-ea"/>
                <a:cs typeface="+mn-cs"/>
              </a:defRPr>
            </a:pPr>
            <a:endParaRPr lang="en-US"/>
          </a:p>
        </c:txPr>
        <c:crossAx val="1742822912"/>
        <c:crosses val="autoZero"/>
        <c:auto val="1"/>
        <c:lblAlgn val="ctr"/>
        <c:lblOffset val="100"/>
        <c:noMultiLvlLbl val="0"/>
      </c:catAx>
      <c:valAx>
        <c:axId val="1742822912"/>
        <c:scaling>
          <c:orientation val="minMax"/>
        </c:scaling>
        <c:delete val="1"/>
        <c:axPos val="l"/>
        <c:numFmt formatCode="General" sourceLinked="1"/>
        <c:majorTickMark val="none"/>
        <c:minorTickMark val="none"/>
        <c:tickLblPos val="nextTo"/>
        <c:crossAx val="174306835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Market Tracking.xlsx]Pivots!PivotTable10</c:name>
    <c:fmtId val="2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rgbClr val="C00000"/>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22225" cap="rnd" cmpd="sng" algn="ctr">
            <a:solidFill>
              <a:schemeClr val="accent2"/>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cmpd="sng" algn="ctr">
            <a:solidFill>
              <a:schemeClr val="accent2"/>
            </a:solidFill>
            <a:round/>
          </a:ln>
          <a:effectLst/>
        </c:spPr>
        <c:marker>
          <c:symbol val="circle"/>
          <c:size val="4"/>
          <c:spPr>
            <a:solidFill>
              <a:srgbClr val="C00000"/>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cmpd="sng" algn="ctr">
            <a:solidFill>
              <a:schemeClr val="accent2"/>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961502704604547E-2"/>
          <c:y val="1.1221154706561445E-2"/>
          <c:w val="0.92279285706501191"/>
          <c:h val="0.67508390987559197"/>
        </c:manualLayout>
      </c:layout>
      <c:lineChart>
        <c:grouping val="stacked"/>
        <c:varyColors val="0"/>
        <c:ser>
          <c:idx val="0"/>
          <c:order val="0"/>
          <c:tx>
            <c:strRef>
              <c:f>Pivots!$U$3</c:f>
              <c:strCache>
                <c:ptCount val="1"/>
                <c:pt idx="0">
                  <c:v>Sum of 52 Week High</c:v>
                </c:pt>
              </c:strCache>
            </c:strRef>
          </c:tx>
          <c:spPr>
            <a:ln w="22225" cap="rnd" cmpd="sng" algn="ctr">
              <a:solidFill>
                <a:schemeClr val="accent2"/>
              </a:solidFill>
              <a:round/>
            </a:ln>
            <a:effectLst/>
          </c:spPr>
          <c:marker>
            <c:symbol val="circle"/>
            <c:size val="4"/>
            <c:spPr>
              <a:solidFill>
                <a:srgbClr val="C00000"/>
              </a:solidFill>
              <a:ln w="9525" cap="flat" cmpd="sng" algn="ctr">
                <a:solidFill>
                  <a:schemeClr val="accent2"/>
                </a:solidFill>
                <a:round/>
              </a:ln>
              <a:effectLst/>
            </c:spPr>
          </c:marker>
          <c:cat>
            <c:strRef>
              <c:f>Pivots!$T$4:$T$163</c:f>
              <c:strCache>
                <c:ptCount val="159"/>
                <c:pt idx="0">
                  <c:v>Page Industries</c:v>
                </c:pt>
                <c:pt idx="1">
                  <c:v>Shree Cement</c:v>
                </c:pt>
                <c:pt idx="2">
                  <c:v>Abbott India</c:v>
                </c:pt>
                <c:pt idx="3">
                  <c:v>Bharat Rasayan</c:v>
                </c:pt>
                <c:pt idx="4">
                  <c:v>Atul Ltd</c:v>
                </c:pt>
                <c:pt idx="5">
                  <c:v>Tata Elxsi</c:v>
                </c:pt>
                <c:pt idx="6">
                  <c:v>Maruti Suzuki</c:v>
                </c:pt>
                <c:pt idx="7">
                  <c:v>Bajaj Finance</c:v>
                </c:pt>
                <c:pt idx="8">
                  <c:v>Ultratech Cement</c:v>
                </c:pt>
                <c:pt idx="9">
                  <c:v>Fine Organics</c:v>
                </c:pt>
                <c:pt idx="10">
                  <c:v>Indiamart Intermesh</c:v>
                </c:pt>
                <c:pt idx="11">
                  <c:v>Hawkins Cooker</c:v>
                </c:pt>
                <c:pt idx="12">
                  <c:v>Cera Sanitaryware</c:v>
                </c:pt>
                <c:pt idx="13">
                  <c:v>Coforge</c:v>
                </c:pt>
                <c:pt idx="14">
                  <c:v>Infoedge</c:v>
                </c:pt>
                <c:pt idx="15">
                  <c:v>L&amp;T Technology</c:v>
                </c:pt>
                <c:pt idx="16">
                  <c:v>Bayer Cropscience</c:v>
                </c:pt>
                <c:pt idx="17">
                  <c:v>Persistent System</c:v>
                </c:pt>
                <c:pt idx="18">
                  <c:v>Pfizer</c:v>
                </c:pt>
                <c:pt idx="19">
                  <c:v>Dr Reddy</c:v>
                </c:pt>
                <c:pt idx="20">
                  <c:v>Divi's Lab</c:v>
                </c:pt>
                <c:pt idx="21">
                  <c:v>Solar Industries</c:v>
                </c:pt>
                <c:pt idx="22">
                  <c:v>L&amp;T Infotech</c:v>
                </c:pt>
                <c:pt idx="23">
                  <c:v>Gujarat Florochemical</c:v>
                </c:pt>
                <c:pt idx="24">
                  <c:v>Bajaj Auto</c:v>
                </c:pt>
                <c:pt idx="25">
                  <c:v>TCS</c:v>
                </c:pt>
                <c:pt idx="26">
                  <c:v>Amber Enterprise</c:v>
                </c:pt>
                <c:pt idx="27">
                  <c:v>Lux Industries</c:v>
                </c:pt>
                <c:pt idx="28">
                  <c:v>Eicher Motor</c:v>
                </c:pt>
                <c:pt idx="29">
                  <c:v>Crisil</c:v>
                </c:pt>
                <c:pt idx="30">
                  <c:v>Balaji Amine</c:v>
                </c:pt>
                <c:pt idx="31">
                  <c:v>Alkyl Amine</c:v>
                </c:pt>
                <c:pt idx="32">
                  <c:v>Gland Pharma</c:v>
                </c:pt>
                <c:pt idx="33">
                  <c:v>Garware technical</c:v>
                </c:pt>
                <c:pt idx="34">
                  <c:v>Bajaj Finserv</c:v>
                </c:pt>
                <c:pt idx="35">
                  <c:v>craftsman automation</c:v>
                </c:pt>
                <c:pt idx="36">
                  <c:v>PI industries</c:v>
                </c:pt>
                <c:pt idx="37">
                  <c:v>J K Cement</c:v>
                </c:pt>
                <c:pt idx="38">
                  <c:v>Mphasis</c:v>
                </c:pt>
                <c:pt idx="39">
                  <c:v>Galaxy Surfactant</c:v>
                </c:pt>
                <c:pt idx="40">
                  <c:v>Mastek</c:v>
                </c:pt>
                <c:pt idx="41">
                  <c:v>Metropolis Healthcare</c:v>
                </c:pt>
                <c:pt idx="42">
                  <c:v>Polycab</c:v>
                </c:pt>
                <c:pt idx="43">
                  <c:v>CAMS</c:v>
                </c:pt>
                <c:pt idx="44">
                  <c:v>Hero Motocorp</c:v>
                </c:pt>
                <c:pt idx="45">
                  <c:v>HDFC</c:v>
                </c:pt>
                <c:pt idx="46">
                  <c:v>Polyplex Corporation</c:v>
                </c:pt>
                <c:pt idx="47">
                  <c:v>Reliance</c:v>
                </c:pt>
                <c:pt idx="48">
                  <c:v>HUL</c:v>
                </c:pt>
                <c:pt idx="49">
                  <c:v>Deepak Nitrite</c:v>
                </c:pt>
                <c:pt idx="50">
                  <c:v>clean science</c:v>
                </c:pt>
                <c:pt idx="51">
                  <c:v>Supreme Industries</c:v>
                </c:pt>
                <c:pt idx="52">
                  <c:v>Balkrishna Industries</c:v>
                </c:pt>
                <c:pt idx="53">
                  <c:v>HDFC AMC</c:v>
                </c:pt>
                <c:pt idx="54">
                  <c:v>Vinita Organics</c:v>
                </c:pt>
                <c:pt idx="55">
                  <c:v>Astec Lifesciences</c:v>
                </c:pt>
                <c:pt idx="56">
                  <c:v>TCI Express</c:v>
                </c:pt>
                <c:pt idx="57">
                  <c:v>L&amp;T</c:v>
                </c:pt>
                <c:pt idx="58">
                  <c:v>GMM Pfaudler</c:v>
                </c:pt>
                <c:pt idx="59">
                  <c:v>Tanla Platform</c:v>
                </c:pt>
                <c:pt idx="60">
                  <c:v>Sheela Form</c:v>
                </c:pt>
                <c:pt idx="61">
                  <c:v>Kotak Bank</c:v>
                </c:pt>
                <c:pt idx="62">
                  <c:v>Infosys</c:v>
                </c:pt>
                <c:pt idx="63">
                  <c:v>Route Mobile</c:v>
                </c:pt>
                <c:pt idx="64">
                  <c:v>Tech Mahindra</c:v>
                </c:pt>
                <c:pt idx="65">
                  <c:v>Endurance Technology</c:v>
                </c:pt>
                <c:pt idx="66">
                  <c:v>HDFC Bank</c:v>
                </c:pt>
                <c:pt idx="67">
                  <c:v>KEI Industries</c:v>
                </c:pt>
                <c:pt idx="68">
                  <c:v>CDSL</c:v>
                </c:pt>
                <c:pt idx="69">
                  <c:v>Muthoot Finance</c:v>
                </c:pt>
                <c:pt idx="70">
                  <c:v>Affle India</c:v>
                </c:pt>
                <c:pt idx="71">
                  <c:v>Data Pattern</c:v>
                </c:pt>
                <c:pt idx="72">
                  <c:v>Varun Beverage</c:v>
                </c:pt>
                <c:pt idx="73">
                  <c:v>Rossari Biotech</c:v>
                </c:pt>
                <c:pt idx="74">
                  <c:v>Kajaria Ceramic</c:v>
                </c:pt>
                <c:pt idx="75">
                  <c:v>M&amp;M</c:v>
                </c:pt>
                <c:pt idx="76">
                  <c:v>Happiest Mind</c:v>
                </c:pt>
                <c:pt idx="77">
                  <c:v>Tata Chemical</c:v>
                </c:pt>
                <c:pt idx="78">
                  <c:v>APL Apollo</c:v>
                </c:pt>
                <c:pt idx="79">
                  <c:v>Cipla</c:v>
                </c:pt>
                <c:pt idx="80">
                  <c:v>TVS</c:v>
                </c:pt>
                <c:pt idx="81">
                  <c:v>Aarti Industries</c:v>
                </c:pt>
                <c:pt idx="82">
                  <c:v>UTI AMC</c:v>
                </c:pt>
                <c:pt idx="83">
                  <c:v>IPCA Lab</c:v>
                </c:pt>
                <c:pt idx="84">
                  <c:v>Coromandel International</c:v>
                </c:pt>
                <c:pt idx="85">
                  <c:v>Thyrocare</c:v>
                </c:pt>
                <c:pt idx="86">
                  <c:v>Sun pharma</c:v>
                </c:pt>
                <c:pt idx="87">
                  <c:v>Mold tech</c:v>
                </c:pt>
                <c:pt idx="88">
                  <c:v>Cyient</c:v>
                </c:pt>
                <c:pt idx="89">
                  <c:v>TTK Prestige</c:v>
                </c:pt>
                <c:pt idx="90">
                  <c:v>Poly Medicure Ltd</c:v>
                </c:pt>
                <c:pt idx="91">
                  <c:v>SBI Cards</c:v>
                </c:pt>
                <c:pt idx="92">
                  <c:v>stove kraft</c:v>
                </c:pt>
                <c:pt idx="93">
                  <c:v>Axis Bank</c:v>
                </c:pt>
                <c:pt idx="94">
                  <c:v>United Spirits</c:v>
                </c:pt>
                <c:pt idx="95">
                  <c:v>ICICI Bank</c:v>
                </c:pt>
                <c:pt idx="96">
                  <c:v>Godrej Consumer</c:v>
                </c:pt>
                <c:pt idx="97">
                  <c:v>Mahangar Gas</c:v>
                </c:pt>
                <c:pt idx="98">
                  <c:v>LIC</c:v>
                </c:pt>
                <c:pt idx="99">
                  <c:v>IRCTC</c:v>
                </c:pt>
                <c:pt idx="100">
                  <c:v>UPL</c:v>
                </c:pt>
                <c:pt idx="101">
                  <c:v>Borosil Renewable</c:v>
                </c:pt>
                <c:pt idx="102">
                  <c:v>Alembic Pharma</c:v>
                </c:pt>
                <c:pt idx="103">
                  <c:v>Dhanuka Agritech</c:v>
                </c:pt>
                <c:pt idx="104">
                  <c:v>Berger Paint</c:v>
                </c:pt>
                <c:pt idx="105">
                  <c:v>Krisna dignostic</c:v>
                </c:pt>
                <c:pt idx="106">
                  <c:v>KPIT</c:v>
                </c:pt>
                <c:pt idx="107">
                  <c:v>Century Plyboard</c:v>
                </c:pt>
                <c:pt idx="108">
                  <c:v>Prince Pipe</c:v>
                </c:pt>
                <c:pt idx="109">
                  <c:v>Heranba</c:v>
                </c:pt>
                <c:pt idx="110">
                  <c:v>AU Small Finance</c:v>
                </c:pt>
                <c:pt idx="111">
                  <c:v>Aurobindo Pharma</c:v>
                </c:pt>
                <c:pt idx="112">
                  <c:v>Gujarat Gas</c:v>
                </c:pt>
                <c:pt idx="113">
                  <c:v>Sonata Software</c:v>
                </c:pt>
                <c:pt idx="114">
                  <c:v>Newgen</c:v>
                </c:pt>
                <c:pt idx="115">
                  <c:v>Amara Raja Batter</c:v>
                </c:pt>
                <c:pt idx="116">
                  <c:v>Wipro</c:v>
                </c:pt>
                <c:pt idx="117">
                  <c:v>Avanti Feed</c:v>
                </c:pt>
                <c:pt idx="118">
                  <c:v>Apollo pipes</c:v>
                </c:pt>
                <c:pt idx="119">
                  <c:v>SBI Bank</c:v>
                </c:pt>
                <c:pt idx="120">
                  <c:v>Lauras Lab</c:v>
                </c:pt>
                <c:pt idx="121">
                  <c:v>Kansai Nerolac</c:v>
                </c:pt>
                <c:pt idx="122">
                  <c:v>Latent View</c:v>
                </c:pt>
                <c:pt idx="123">
                  <c:v>Dabur</c:v>
                </c:pt>
                <c:pt idx="124">
                  <c:v>Ambuja Cement</c:v>
                </c:pt>
                <c:pt idx="125">
                  <c:v>Finolex Cable</c:v>
                </c:pt>
                <c:pt idx="126">
                  <c:v>Vaibhav Global</c:v>
                </c:pt>
                <c:pt idx="127">
                  <c:v>Marico</c:v>
                </c:pt>
                <c:pt idx="128">
                  <c:v>Sumitomo Chemicals</c:v>
                </c:pt>
                <c:pt idx="129">
                  <c:v>Aarti Drugs</c:v>
                </c:pt>
                <c:pt idx="130">
                  <c:v>Gokaldas Export</c:v>
                </c:pt>
                <c:pt idx="131">
                  <c:v>Laxmi Orgamic</c:v>
                </c:pt>
                <c:pt idx="132">
                  <c:v>Zensar Tech</c:v>
                </c:pt>
                <c:pt idx="133">
                  <c:v>Somany home innovation ltd</c:v>
                </c:pt>
                <c:pt idx="134">
                  <c:v>Chemcom Speciality</c:v>
                </c:pt>
                <c:pt idx="135">
                  <c:v>Indraprastha Gas</c:v>
                </c:pt>
                <c:pt idx="136">
                  <c:v>Praj Industries</c:v>
                </c:pt>
                <c:pt idx="137">
                  <c:v>Crompton Greves</c:v>
                </c:pt>
                <c:pt idx="138">
                  <c:v>LIC Housing Finance</c:v>
                </c:pt>
                <c:pt idx="139">
                  <c:v>Gujarat Ambuja Export</c:v>
                </c:pt>
                <c:pt idx="140">
                  <c:v>Granules India</c:v>
                </c:pt>
                <c:pt idx="141">
                  <c:v>Nippon AMC</c:v>
                </c:pt>
                <c:pt idx="142">
                  <c:v>Orient Electric</c:v>
                </c:pt>
                <c:pt idx="143">
                  <c:v>Advance Enzymes</c:v>
                </c:pt>
                <c:pt idx="144">
                  <c:v>Bandhan Bank</c:v>
                </c:pt>
                <c:pt idx="145">
                  <c:v>Tata Power</c:v>
                </c:pt>
                <c:pt idx="146">
                  <c:v>IEX</c:v>
                </c:pt>
                <c:pt idx="147">
                  <c:v>Heidelberg Cement</c:v>
                </c:pt>
                <c:pt idx="148">
                  <c:v>Goldiam International</c:v>
                </c:pt>
                <c:pt idx="149">
                  <c:v>Finolex Industries</c:v>
                </c:pt>
                <c:pt idx="150">
                  <c:v>Bank of Baroda</c:v>
                </c:pt>
                <c:pt idx="151">
                  <c:v>Exide Battery</c:v>
                </c:pt>
                <c:pt idx="152">
                  <c:v>Bhansali Engineering</c:v>
                </c:pt>
                <c:pt idx="153">
                  <c:v>Mannapuran Finance</c:v>
                </c:pt>
                <c:pt idx="154">
                  <c:v>Federal Bank</c:v>
                </c:pt>
                <c:pt idx="155">
                  <c:v>Tata Steel</c:v>
                </c:pt>
                <c:pt idx="156">
                  <c:v>HFCL</c:v>
                </c:pt>
                <c:pt idx="157">
                  <c:v>Trident</c:v>
                </c:pt>
                <c:pt idx="158">
                  <c:v>Yesbank</c:v>
                </c:pt>
              </c:strCache>
            </c:strRef>
          </c:cat>
          <c:val>
            <c:numRef>
              <c:f>Pivots!$U$4:$U$163</c:f>
              <c:numCache>
                <c:formatCode>General</c:formatCode>
                <c:ptCount val="159"/>
                <c:pt idx="0">
                  <c:v>54349.1</c:v>
                </c:pt>
                <c:pt idx="1">
                  <c:v>27936.75</c:v>
                </c:pt>
                <c:pt idx="2">
                  <c:v>22499</c:v>
                </c:pt>
                <c:pt idx="3">
                  <c:v>14362.9</c:v>
                </c:pt>
                <c:pt idx="4">
                  <c:v>10859</c:v>
                </c:pt>
                <c:pt idx="5">
                  <c:v>10760</c:v>
                </c:pt>
                <c:pt idx="6">
                  <c:v>9769</c:v>
                </c:pt>
                <c:pt idx="7">
                  <c:v>8045</c:v>
                </c:pt>
                <c:pt idx="8">
                  <c:v>7946</c:v>
                </c:pt>
                <c:pt idx="9">
                  <c:v>7328.75</c:v>
                </c:pt>
                <c:pt idx="10">
                  <c:v>6898.75</c:v>
                </c:pt>
                <c:pt idx="11">
                  <c:v>6572.75</c:v>
                </c:pt>
                <c:pt idx="12">
                  <c:v>6067.95</c:v>
                </c:pt>
                <c:pt idx="13">
                  <c:v>5862.1</c:v>
                </c:pt>
                <c:pt idx="14">
                  <c:v>5790</c:v>
                </c:pt>
                <c:pt idx="15">
                  <c:v>5714</c:v>
                </c:pt>
                <c:pt idx="16">
                  <c:v>5667.75</c:v>
                </c:pt>
                <c:pt idx="17">
                  <c:v>4954</c:v>
                </c:pt>
                <c:pt idx="18">
                  <c:v>4946.1000000000004</c:v>
                </c:pt>
                <c:pt idx="19">
                  <c:v>4759.6000000000004</c:v>
                </c:pt>
                <c:pt idx="20">
                  <c:v>4668</c:v>
                </c:pt>
                <c:pt idx="21">
                  <c:v>4535.95</c:v>
                </c:pt>
                <c:pt idx="22">
                  <c:v>4293.25</c:v>
                </c:pt>
                <c:pt idx="23">
                  <c:v>4172.95</c:v>
                </c:pt>
                <c:pt idx="24">
                  <c:v>4131.75</c:v>
                </c:pt>
                <c:pt idx="25">
                  <c:v>4045.5</c:v>
                </c:pt>
                <c:pt idx="26">
                  <c:v>4023.65</c:v>
                </c:pt>
                <c:pt idx="27">
                  <c:v>3925</c:v>
                </c:pt>
                <c:pt idx="28">
                  <c:v>3889.65</c:v>
                </c:pt>
                <c:pt idx="29">
                  <c:v>3863.55</c:v>
                </c:pt>
                <c:pt idx="30">
                  <c:v>3841.85</c:v>
                </c:pt>
                <c:pt idx="31">
                  <c:v>3797.6</c:v>
                </c:pt>
                <c:pt idx="32">
                  <c:v>3773.95</c:v>
                </c:pt>
                <c:pt idx="33">
                  <c:v>3754.85</c:v>
                </c:pt>
                <c:pt idx="34">
                  <c:v>3724.2</c:v>
                </c:pt>
                <c:pt idx="35">
                  <c:v>3709.95</c:v>
                </c:pt>
                <c:pt idx="36">
                  <c:v>3698.45</c:v>
                </c:pt>
                <c:pt idx="37">
                  <c:v>3646.25</c:v>
                </c:pt>
                <c:pt idx="38">
                  <c:v>3466.4</c:v>
                </c:pt>
                <c:pt idx="39">
                  <c:v>3447.55</c:v>
                </c:pt>
                <c:pt idx="40">
                  <c:v>3410.85</c:v>
                </c:pt>
                <c:pt idx="41">
                  <c:v>3142</c:v>
                </c:pt>
                <c:pt idx="42">
                  <c:v>3025</c:v>
                </c:pt>
                <c:pt idx="43">
                  <c:v>2971.5</c:v>
                </c:pt>
                <c:pt idx="44">
                  <c:v>2938.6</c:v>
                </c:pt>
                <c:pt idx="45">
                  <c:v>2933.8</c:v>
                </c:pt>
                <c:pt idx="46">
                  <c:v>2870</c:v>
                </c:pt>
                <c:pt idx="47">
                  <c:v>2856.15</c:v>
                </c:pt>
                <c:pt idx="48">
                  <c:v>2741.6</c:v>
                </c:pt>
                <c:pt idx="49">
                  <c:v>2690.05</c:v>
                </c:pt>
                <c:pt idx="50">
                  <c:v>2624</c:v>
                </c:pt>
                <c:pt idx="51">
                  <c:v>2607.65</c:v>
                </c:pt>
                <c:pt idx="52">
                  <c:v>2537.4499999999998</c:v>
                </c:pt>
                <c:pt idx="53">
                  <c:v>2507.35</c:v>
                </c:pt>
                <c:pt idx="54">
                  <c:v>2377</c:v>
                </c:pt>
                <c:pt idx="55">
                  <c:v>2285.65</c:v>
                </c:pt>
                <c:pt idx="56">
                  <c:v>2249</c:v>
                </c:pt>
                <c:pt idx="57">
                  <c:v>2210.5</c:v>
                </c:pt>
                <c:pt idx="58">
                  <c:v>2110</c:v>
                </c:pt>
                <c:pt idx="59">
                  <c:v>2094.4</c:v>
                </c:pt>
                <c:pt idx="60">
                  <c:v>2027</c:v>
                </c:pt>
                <c:pt idx="61">
                  <c:v>1997.55</c:v>
                </c:pt>
                <c:pt idx="62">
                  <c:v>1953.7</c:v>
                </c:pt>
                <c:pt idx="63">
                  <c:v>1919</c:v>
                </c:pt>
                <c:pt idx="64">
                  <c:v>1751</c:v>
                </c:pt>
                <c:pt idx="65">
                  <c:v>1736.15</c:v>
                </c:pt>
                <c:pt idx="66">
                  <c:v>1722.1</c:v>
                </c:pt>
                <c:pt idx="67">
                  <c:v>1662.45</c:v>
                </c:pt>
                <c:pt idx="68">
                  <c:v>1654</c:v>
                </c:pt>
                <c:pt idx="69">
                  <c:v>1526.4</c:v>
                </c:pt>
                <c:pt idx="70">
                  <c:v>1511</c:v>
                </c:pt>
                <c:pt idx="71">
                  <c:v>1480</c:v>
                </c:pt>
                <c:pt idx="72">
                  <c:v>1432.05</c:v>
                </c:pt>
                <c:pt idx="73">
                  <c:v>1375</c:v>
                </c:pt>
                <c:pt idx="74">
                  <c:v>1374.55</c:v>
                </c:pt>
                <c:pt idx="75">
                  <c:v>1366.55</c:v>
                </c:pt>
                <c:pt idx="76">
                  <c:v>1359.85</c:v>
                </c:pt>
                <c:pt idx="77">
                  <c:v>1214.6500000000001</c:v>
                </c:pt>
                <c:pt idx="78">
                  <c:v>1193.8499999999999</c:v>
                </c:pt>
                <c:pt idx="79">
                  <c:v>1185.25</c:v>
                </c:pt>
                <c:pt idx="80">
                  <c:v>1177</c:v>
                </c:pt>
                <c:pt idx="81">
                  <c:v>1118</c:v>
                </c:pt>
                <c:pt idx="82">
                  <c:v>1096.05</c:v>
                </c:pt>
                <c:pt idx="83">
                  <c:v>1095</c:v>
                </c:pt>
                <c:pt idx="84">
                  <c:v>1094</c:v>
                </c:pt>
                <c:pt idx="85">
                  <c:v>1087</c:v>
                </c:pt>
                <c:pt idx="86">
                  <c:v>1070.95</c:v>
                </c:pt>
                <c:pt idx="87">
                  <c:v>1057.8499999999999</c:v>
                </c:pt>
                <c:pt idx="88">
                  <c:v>1051.8499999999999</c:v>
                </c:pt>
                <c:pt idx="89">
                  <c:v>1049.9000000000001</c:v>
                </c:pt>
                <c:pt idx="90">
                  <c:v>1044.4000000000001</c:v>
                </c:pt>
                <c:pt idx="91">
                  <c:v>1028.6500000000001</c:v>
                </c:pt>
                <c:pt idx="92">
                  <c:v>1000</c:v>
                </c:pt>
                <c:pt idx="93">
                  <c:v>970</c:v>
                </c:pt>
                <c:pt idx="94">
                  <c:v>958</c:v>
                </c:pt>
                <c:pt idx="95">
                  <c:v>958</c:v>
                </c:pt>
                <c:pt idx="96">
                  <c:v>955.65</c:v>
                </c:pt>
                <c:pt idx="97">
                  <c:v>925</c:v>
                </c:pt>
                <c:pt idx="98">
                  <c:v>920</c:v>
                </c:pt>
                <c:pt idx="99">
                  <c:v>918.65</c:v>
                </c:pt>
                <c:pt idx="100">
                  <c:v>848</c:v>
                </c:pt>
                <c:pt idx="101">
                  <c:v>833</c:v>
                </c:pt>
                <c:pt idx="102">
                  <c:v>822.8</c:v>
                </c:pt>
                <c:pt idx="103">
                  <c:v>815</c:v>
                </c:pt>
                <c:pt idx="104">
                  <c:v>793.05</c:v>
                </c:pt>
                <c:pt idx="105">
                  <c:v>778</c:v>
                </c:pt>
                <c:pt idx="106">
                  <c:v>764.25</c:v>
                </c:pt>
                <c:pt idx="107">
                  <c:v>749</c:v>
                </c:pt>
                <c:pt idx="108">
                  <c:v>748</c:v>
                </c:pt>
                <c:pt idx="109">
                  <c:v>744.15</c:v>
                </c:pt>
                <c:pt idx="110">
                  <c:v>732.98</c:v>
                </c:pt>
                <c:pt idx="111">
                  <c:v>727.95</c:v>
                </c:pt>
                <c:pt idx="112">
                  <c:v>721.8</c:v>
                </c:pt>
                <c:pt idx="113">
                  <c:v>694.5</c:v>
                </c:pt>
                <c:pt idx="114">
                  <c:v>671</c:v>
                </c:pt>
                <c:pt idx="115">
                  <c:v>668.15</c:v>
                </c:pt>
                <c:pt idx="116">
                  <c:v>666</c:v>
                </c:pt>
                <c:pt idx="117">
                  <c:v>638.79999999999995</c:v>
                </c:pt>
                <c:pt idx="118">
                  <c:v>635.70000000000005</c:v>
                </c:pt>
                <c:pt idx="119">
                  <c:v>629.65</c:v>
                </c:pt>
                <c:pt idx="120">
                  <c:v>626.29999999999995</c:v>
                </c:pt>
                <c:pt idx="121">
                  <c:v>624</c:v>
                </c:pt>
                <c:pt idx="122">
                  <c:v>617.4</c:v>
                </c:pt>
                <c:pt idx="123">
                  <c:v>610.75</c:v>
                </c:pt>
                <c:pt idx="124">
                  <c:v>598.15</c:v>
                </c:pt>
                <c:pt idx="125">
                  <c:v>593.9</c:v>
                </c:pt>
                <c:pt idx="126">
                  <c:v>566.5</c:v>
                </c:pt>
                <c:pt idx="127">
                  <c:v>554.35</c:v>
                </c:pt>
                <c:pt idx="128">
                  <c:v>540.79999999999995</c:v>
                </c:pt>
                <c:pt idx="129">
                  <c:v>537.4</c:v>
                </c:pt>
                <c:pt idx="130">
                  <c:v>519.54999999999995</c:v>
                </c:pt>
                <c:pt idx="131">
                  <c:v>501.6</c:v>
                </c:pt>
                <c:pt idx="132">
                  <c:v>496.1</c:v>
                </c:pt>
                <c:pt idx="133">
                  <c:v>480.4</c:v>
                </c:pt>
                <c:pt idx="134">
                  <c:v>477.95</c:v>
                </c:pt>
                <c:pt idx="135">
                  <c:v>466.65</c:v>
                </c:pt>
                <c:pt idx="136">
                  <c:v>461.5</c:v>
                </c:pt>
                <c:pt idx="137">
                  <c:v>451.95</c:v>
                </c:pt>
                <c:pt idx="138">
                  <c:v>443.5</c:v>
                </c:pt>
                <c:pt idx="139">
                  <c:v>393.85</c:v>
                </c:pt>
                <c:pt idx="140">
                  <c:v>381.25</c:v>
                </c:pt>
                <c:pt idx="141">
                  <c:v>375.2</c:v>
                </c:pt>
                <c:pt idx="142">
                  <c:v>372.2</c:v>
                </c:pt>
                <c:pt idx="143">
                  <c:v>354.9</c:v>
                </c:pt>
                <c:pt idx="144">
                  <c:v>349.55</c:v>
                </c:pt>
                <c:pt idx="145">
                  <c:v>298</c:v>
                </c:pt>
                <c:pt idx="146">
                  <c:v>271.95</c:v>
                </c:pt>
                <c:pt idx="147">
                  <c:v>242</c:v>
                </c:pt>
                <c:pt idx="148">
                  <c:v>209.41</c:v>
                </c:pt>
                <c:pt idx="149">
                  <c:v>204.5</c:v>
                </c:pt>
                <c:pt idx="150">
                  <c:v>197.2</c:v>
                </c:pt>
                <c:pt idx="151">
                  <c:v>194.2</c:v>
                </c:pt>
                <c:pt idx="152">
                  <c:v>182.4</c:v>
                </c:pt>
                <c:pt idx="153">
                  <c:v>173.75</c:v>
                </c:pt>
                <c:pt idx="154">
                  <c:v>142.25</c:v>
                </c:pt>
                <c:pt idx="155">
                  <c:v>138.63</c:v>
                </c:pt>
                <c:pt idx="156">
                  <c:v>101.35</c:v>
                </c:pt>
                <c:pt idx="157">
                  <c:v>70.900000000000006</c:v>
                </c:pt>
                <c:pt idx="158">
                  <c:v>24.75</c:v>
                </c:pt>
              </c:numCache>
            </c:numRef>
          </c:val>
          <c:smooth val="0"/>
          <c:extLst>
            <c:ext xmlns:c16="http://schemas.microsoft.com/office/drawing/2014/chart" uri="{C3380CC4-5D6E-409C-BE32-E72D297353CC}">
              <c16:uniqueId val="{00000000-FC57-4102-807C-622187FF2637}"/>
            </c:ext>
          </c:extLst>
        </c:ser>
        <c:ser>
          <c:idx val="1"/>
          <c:order val="1"/>
          <c:tx>
            <c:strRef>
              <c:f>Pivots!$V$3</c:f>
              <c:strCache>
                <c:ptCount val="1"/>
                <c:pt idx="0">
                  <c:v>Sum of Current price</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cat>
            <c:strRef>
              <c:f>Pivots!$T$4:$T$163</c:f>
              <c:strCache>
                <c:ptCount val="159"/>
                <c:pt idx="0">
                  <c:v>Page Industries</c:v>
                </c:pt>
                <c:pt idx="1">
                  <c:v>Shree Cement</c:v>
                </c:pt>
                <c:pt idx="2">
                  <c:v>Abbott India</c:v>
                </c:pt>
                <c:pt idx="3">
                  <c:v>Bharat Rasayan</c:v>
                </c:pt>
                <c:pt idx="4">
                  <c:v>Atul Ltd</c:v>
                </c:pt>
                <c:pt idx="5">
                  <c:v>Tata Elxsi</c:v>
                </c:pt>
                <c:pt idx="6">
                  <c:v>Maruti Suzuki</c:v>
                </c:pt>
                <c:pt idx="7">
                  <c:v>Bajaj Finance</c:v>
                </c:pt>
                <c:pt idx="8">
                  <c:v>Ultratech Cement</c:v>
                </c:pt>
                <c:pt idx="9">
                  <c:v>Fine Organics</c:v>
                </c:pt>
                <c:pt idx="10">
                  <c:v>Indiamart Intermesh</c:v>
                </c:pt>
                <c:pt idx="11">
                  <c:v>Hawkins Cooker</c:v>
                </c:pt>
                <c:pt idx="12">
                  <c:v>Cera Sanitaryware</c:v>
                </c:pt>
                <c:pt idx="13">
                  <c:v>Coforge</c:v>
                </c:pt>
                <c:pt idx="14">
                  <c:v>Infoedge</c:v>
                </c:pt>
                <c:pt idx="15">
                  <c:v>L&amp;T Technology</c:v>
                </c:pt>
                <c:pt idx="16">
                  <c:v>Bayer Cropscience</c:v>
                </c:pt>
                <c:pt idx="17">
                  <c:v>Persistent System</c:v>
                </c:pt>
                <c:pt idx="18">
                  <c:v>Pfizer</c:v>
                </c:pt>
                <c:pt idx="19">
                  <c:v>Dr Reddy</c:v>
                </c:pt>
                <c:pt idx="20">
                  <c:v>Divi's Lab</c:v>
                </c:pt>
                <c:pt idx="21">
                  <c:v>Solar Industries</c:v>
                </c:pt>
                <c:pt idx="22">
                  <c:v>L&amp;T Infotech</c:v>
                </c:pt>
                <c:pt idx="23">
                  <c:v>Gujarat Florochemical</c:v>
                </c:pt>
                <c:pt idx="24">
                  <c:v>Bajaj Auto</c:v>
                </c:pt>
                <c:pt idx="25">
                  <c:v>TCS</c:v>
                </c:pt>
                <c:pt idx="26">
                  <c:v>Amber Enterprise</c:v>
                </c:pt>
                <c:pt idx="27">
                  <c:v>Lux Industries</c:v>
                </c:pt>
                <c:pt idx="28">
                  <c:v>Eicher Motor</c:v>
                </c:pt>
                <c:pt idx="29">
                  <c:v>Crisil</c:v>
                </c:pt>
                <c:pt idx="30">
                  <c:v>Balaji Amine</c:v>
                </c:pt>
                <c:pt idx="31">
                  <c:v>Alkyl Amine</c:v>
                </c:pt>
                <c:pt idx="32">
                  <c:v>Gland Pharma</c:v>
                </c:pt>
                <c:pt idx="33">
                  <c:v>Garware technical</c:v>
                </c:pt>
                <c:pt idx="34">
                  <c:v>Bajaj Finserv</c:v>
                </c:pt>
                <c:pt idx="35">
                  <c:v>craftsman automation</c:v>
                </c:pt>
                <c:pt idx="36">
                  <c:v>PI industries</c:v>
                </c:pt>
                <c:pt idx="37">
                  <c:v>J K Cement</c:v>
                </c:pt>
                <c:pt idx="38">
                  <c:v>Mphasis</c:v>
                </c:pt>
                <c:pt idx="39">
                  <c:v>Galaxy Surfactant</c:v>
                </c:pt>
                <c:pt idx="40">
                  <c:v>Mastek</c:v>
                </c:pt>
                <c:pt idx="41">
                  <c:v>Metropolis Healthcare</c:v>
                </c:pt>
                <c:pt idx="42">
                  <c:v>Polycab</c:v>
                </c:pt>
                <c:pt idx="43">
                  <c:v>CAMS</c:v>
                </c:pt>
                <c:pt idx="44">
                  <c:v>Hero Motocorp</c:v>
                </c:pt>
                <c:pt idx="45">
                  <c:v>HDFC</c:v>
                </c:pt>
                <c:pt idx="46">
                  <c:v>Polyplex Corporation</c:v>
                </c:pt>
                <c:pt idx="47">
                  <c:v>Reliance</c:v>
                </c:pt>
                <c:pt idx="48">
                  <c:v>HUL</c:v>
                </c:pt>
                <c:pt idx="49">
                  <c:v>Deepak Nitrite</c:v>
                </c:pt>
                <c:pt idx="50">
                  <c:v>clean science</c:v>
                </c:pt>
                <c:pt idx="51">
                  <c:v>Supreme Industries</c:v>
                </c:pt>
                <c:pt idx="52">
                  <c:v>Balkrishna Industries</c:v>
                </c:pt>
                <c:pt idx="53">
                  <c:v>HDFC AMC</c:v>
                </c:pt>
                <c:pt idx="54">
                  <c:v>Vinita Organics</c:v>
                </c:pt>
                <c:pt idx="55">
                  <c:v>Astec Lifesciences</c:v>
                </c:pt>
                <c:pt idx="56">
                  <c:v>TCI Express</c:v>
                </c:pt>
                <c:pt idx="57">
                  <c:v>L&amp;T</c:v>
                </c:pt>
                <c:pt idx="58">
                  <c:v>GMM Pfaudler</c:v>
                </c:pt>
                <c:pt idx="59">
                  <c:v>Tanla Platform</c:v>
                </c:pt>
                <c:pt idx="60">
                  <c:v>Sheela Form</c:v>
                </c:pt>
                <c:pt idx="61">
                  <c:v>Kotak Bank</c:v>
                </c:pt>
                <c:pt idx="62">
                  <c:v>Infosys</c:v>
                </c:pt>
                <c:pt idx="63">
                  <c:v>Route Mobile</c:v>
                </c:pt>
                <c:pt idx="64">
                  <c:v>Tech Mahindra</c:v>
                </c:pt>
                <c:pt idx="65">
                  <c:v>Endurance Technology</c:v>
                </c:pt>
                <c:pt idx="66">
                  <c:v>HDFC Bank</c:v>
                </c:pt>
                <c:pt idx="67">
                  <c:v>KEI Industries</c:v>
                </c:pt>
                <c:pt idx="68">
                  <c:v>CDSL</c:v>
                </c:pt>
                <c:pt idx="69">
                  <c:v>Muthoot Finance</c:v>
                </c:pt>
                <c:pt idx="70">
                  <c:v>Affle India</c:v>
                </c:pt>
                <c:pt idx="71">
                  <c:v>Data Pattern</c:v>
                </c:pt>
                <c:pt idx="72">
                  <c:v>Varun Beverage</c:v>
                </c:pt>
                <c:pt idx="73">
                  <c:v>Rossari Biotech</c:v>
                </c:pt>
                <c:pt idx="74">
                  <c:v>Kajaria Ceramic</c:v>
                </c:pt>
                <c:pt idx="75">
                  <c:v>M&amp;M</c:v>
                </c:pt>
                <c:pt idx="76">
                  <c:v>Happiest Mind</c:v>
                </c:pt>
                <c:pt idx="77">
                  <c:v>Tata Chemical</c:v>
                </c:pt>
                <c:pt idx="78">
                  <c:v>APL Apollo</c:v>
                </c:pt>
                <c:pt idx="79">
                  <c:v>Cipla</c:v>
                </c:pt>
                <c:pt idx="80">
                  <c:v>TVS</c:v>
                </c:pt>
                <c:pt idx="81">
                  <c:v>Aarti Industries</c:v>
                </c:pt>
                <c:pt idx="82">
                  <c:v>UTI AMC</c:v>
                </c:pt>
                <c:pt idx="83">
                  <c:v>IPCA Lab</c:v>
                </c:pt>
                <c:pt idx="84">
                  <c:v>Coromandel International</c:v>
                </c:pt>
                <c:pt idx="85">
                  <c:v>Thyrocare</c:v>
                </c:pt>
                <c:pt idx="86">
                  <c:v>Sun pharma</c:v>
                </c:pt>
                <c:pt idx="87">
                  <c:v>Mold tech</c:v>
                </c:pt>
                <c:pt idx="88">
                  <c:v>Cyient</c:v>
                </c:pt>
                <c:pt idx="89">
                  <c:v>TTK Prestige</c:v>
                </c:pt>
                <c:pt idx="90">
                  <c:v>Poly Medicure Ltd</c:v>
                </c:pt>
                <c:pt idx="91">
                  <c:v>SBI Cards</c:v>
                </c:pt>
                <c:pt idx="92">
                  <c:v>stove kraft</c:v>
                </c:pt>
                <c:pt idx="93">
                  <c:v>Axis Bank</c:v>
                </c:pt>
                <c:pt idx="94">
                  <c:v>United Spirits</c:v>
                </c:pt>
                <c:pt idx="95">
                  <c:v>ICICI Bank</c:v>
                </c:pt>
                <c:pt idx="96">
                  <c:v>Godrej Consumer</c:v>
                </c:pt>
                <c:pt idx="97">
                  <c:v>Mahangar Gas</c:v>
                </c:pt>
                <c:pt idx="98">
                  <c:v>LIC</c:v>
                </c:pt>
                <c:pt idx="99">
                  <c:v>IRCTC</c:v>
                </c:pt>
                <c:pt idx="100">
                  <c:v>UPL</c:v>
                </c:pt>
                <c:pt idx="101">
                  <c:v>Borosil Renewable</c:v>
                </c:pt>
                <c:pt idx="102">
                  <c:v>Alembic Pharma</c:v>
                </c:pt>
                <c:pt idx="103">
                  <c:v>Dhanuka Agritech</c:v>
                </c:pt>
                <c:pt idx="104">
                  <c:v>Berger Paint</c:v>
                </c:pt>
                <c:pt idx="105">
                  <c:v>Krisna dignostic</c:v>
                </c:pt>
                <c:pt idx="106">
                  <c:v>KPIT</c:v>
                </c:pt>
                <c:pt idx="107">
                  <c:v>Century Plyboard</c:v>
                </c:pt>
                <c:pt idx="108">
                  <c:v>Prince Pipe</c:v>
                </c:pt>
                <c:pt idx="109">
                  <c:v>Heranba</c:v>
                </c:pt>
                <c:pt idx="110">
                  <c:v>AU Small Finance</c:v>
                </c:pt>
                <c:pt idx="111">
                  <c:v>Aurobindo Pharma</c:v>
                </c:pt>
                <c:pt idx="112">
                  <c:v>Gujarat Gas</c:v>
                </c:pt>
                <c:pt idx="113">
                  <c:v>Sonata Software</c:v>
                </c:pt>
                <c:pt idx="114">
                  <c:v>Newgen</c:v>
                </c:pt>
                <c:pt idx="115">
                  <c:v>Amara Raja Batter</c:v>
                </c:pt>
                <c:pt idx="116">
                  <c:v>Wipro</c:v>
                </c:pt>
                <c:pt idx="117">
                  <c:v>Avanti Feed</c:v>
                </c:pt>
                <c:pt idx="118">
                  <c:v>Apollo pipes</c:v>
                </c:pt>
                <c:pt idx="119">
                  <c:v>SBI Bank</c:v>
                </c:pt>
                <c:pt idx="120">
                  <c:v>Lauras Lab</c:v>
                </c:pt>
                <c:pt idx="121">
                  <c:v>Kansai Nerolac</c:v>
                </c:pt>
                <c:pt idx="122">
                  <c:v>Latent View</c:v>
                </c:pt>
                <c:pt idx="123">
                  <c:v>Dabur</c:v>
                </c:pt>
                <c:pt idx="124">
                  <c:v>Ambuja Cement</c:v>
                </c:pt>
                <c:pt idx="125">
                  <c:v>Finolex Cable</c:v>
                </c:pt>
                <c:pt idx="126">
                  <c:v>Vaibhav Global</c:v>
                </c:pt>
                <c:pt idx="127">
                  <c:v>Marico</c:v>
                </c:pt>
                <c:pt idx="128">
                  <c:v>Sumitomo Chemicals</c:v>
                </c:pt>
                <c:pt idx="129">
                  <c:v>Aarti Drugs</c:v>
                </c:pt>
                <c:pt idx="130">
                  <c:v>Gokaldas Export</c:v>
                </c:pt>
                <c:pt idx="131">
                  <c:v>Laxmi Orgamic</c:v>
                </c:pt>
                <c:pt idx="132">
                  <c:v>Zensar Tech</c:v>
                </c:pt>
                <c:pt idx="133">
                  <c:v>Somany home innovation ltd</c:v>
                </c:pt>
                <c:pt idx="134">
                  <c:v>Chemcom Speciality</c:v>
                </c:pt>
                <c:pt idx="135">
                  <c:v>Indraprastha Gas</c:v>
                </c:pt>
                <c:pt idx="136">
                  <c:v>Praj Industries</c:v>
                </c:pt>
                <c:pt idx="137">
                  <c:v>Crompton Greves</c:v>
                </c:pt>
                <c:pt idx="138">
                  <c:v>LIC Housing Finance</c:v>
                </c:pt>
                <c:pt idx="139">
                  <c:v>Gujarat Ambuja Export</c:v>
                </c:pt>
                <c:pt idx="140">
                  <c:v>Granules India</c:v>
                </c:pt>
                <c:pt idx="141">
                  <c:v>Nippon AMC</c:v>
                </c:pt>
                <c:pt idx="142">
                  <c:v>Orient Electric</c:v>
                </c:pt>
                <c:pt idx="143">
                  <c:v>Advance Enzymes</c:v>
                </c:pt>
                <c:pt idx="144">
                  <c:v>Bandhan Bank</c:v>
                </c:pt>
                <c:pt idx="145">
                  <c:v>Tata Power</c:v>
                </c:pt>
                <c:pt idx="146">
                  <c:v>IEX</c:v>
                </c:pt>
                <c:pt idx="147">
                  <c:v>Heidelberg Cement</c:v>
                </c:pt>
                <c:pt idx="148">
                  <c:v>Goldiam International</c:v>
                </c:pt>
                <c:pt idx="149">
                  <c:v>Finolex Industries</c:v>
                </c:pt>
                <c:pt idx="150">
                  <c:v>Bank of Baroda</c:v>
                </c:pt>
                <c:pt idx="151">
                  <c:v>Exide Battery</c:v>
                </c:pt>
                <c:pt idx="152">
                  <c:v>Bhansali Engineering</c:v>
                </c:pt>
                <c:pt idx="153">
                  <c:v>Mannapuran Finance</c:v>
                </c:pt>
                <c:pt idx="154">
                  <c:v>Federal Bank</c:v>
                </c:pt>
                <c:pt idx="155">
                  <c:v>Tata Steel</c:v>
                </c:pt>
                <c:pt idx="156">
                  <c:v>HFCL</c:v>
                </c:pt>
                <c:pt idx="157">
                  <c:v>Trident</c:v>
                </c:pt>
                <c:pt idx="158">
                  <c:v>Yesbank</c:v>
                </c:pt>
              </c:strCache>
            </c:strRef>
          </c:cat>
          <c:val>
            <c:numRef>
              <c:f>Pivots!$V$4:$V$163</c:f>
              <c:numCache>
                <c:formatCode>General</c:formatCode>
                <c:ptCount val="159"/>
                <c:pt idx="0">
                  <c:v>40260</c:v>
                </c:pt>
                <c:pt idx="1">
                  <c:v>24025</c:v>
                </c:pt>
                <c:pt idx="2">
                  <c:v>22241</c:v>
                </c:pt>
                <c:pt idx="3">
                  <c:v>9517.9</c:v>
                </c:pt>
                <c:pt idx="4">
                  <c:v>7701.2</c:v>
                </c:pt>
                <c:pt idx="5">
                  <c:v>6223</c:v>
                </c:pt>
                <c:pt idx="6">
                  <c:v>8454.2000000000007</c:v>
                </c:pt>
                <c:pt idx="7">
                  <c:v>5977</c:v>
                </c:pt>
                <c:pt idx="8">
                  <c:v>7244.95</c:v>
                </c:pt>
                <c:pt idx="9">
                  <c:v>5630</c:v>
                </c:pt>
                <c:pt idx="10">
                  <c:v>4477</c:v>
                </c:pt>
                <c:pt idx="11">
                  <c:v>6195</c:v>
                </c:pt>
                <c:pt idx="12">
                  <c:v>5294</c:v>
                </c:pt>
                <c:pt idx="13">
                  <c:v>3868.05</c:v>
                </c:pt>
                <c:pt idx="14">
                  <c:v>3731.8</c:v>
                </c:pt>
                <c:pt idx="15">
                  <c:v>3446.95</c:v>
                </c:pt>
                <c:pt idx="16">
                  <c:v>4669.05</c:v>
                </c:pt>
                <c:pt idx="17">
                  <c:v>4009</c:v>
                </c:pt>
                <c:pt idx="18">
                  <c:v>4224.8999999999996</c:v>
                </c:pt>
                <c:pt idx="19">
                  <c:v>4323.5</c:v>
                </c:pt>
                <c:pt idx="20">
                  <c:v>3352.15</c:v>
                </c:pt>
                <c:pt idx="21">
                  <c:v>4338</c:v>
                </c:pt>
                <c:pt idx="22">
                  <c:v>4289.8</c:v>
                </c:pt>
                <c:pt idx="23">
                  <c:v>2793.5</c:v>
                </c:pt>
                <c:pt idx="24">
                  <c:v>3602.45</c:v>
                </c:pt>
                <c:pt idx="25">
                  <c:v>3374.2</c:v>
                </c:pt>
                <c:pt idx="26">
                  <c:v>1870</c:v>
                </c:pt>
                <c:pt idx="27">
                  <c:v>1524.7</c:v>
                </c:pt>
                <c:pt idx="28">
                  <c:v>3164.9</c:v>
                </c:pt>
                <c:pt idx="29">
                  <c:v>3020</c:v>
                </c:pt>
                <c:pt idx="30">
                  <c:v>2562.6999999999998</c:v>
                </c:pt>
                <c:pt idx="31">
                  <c:v>2714.9</c:v>
                </c:pt>
                <c:pt idx="32">
                  <c:v>1453.65</c:v>
                </c:pt>
                <c:pt idx="33">
                  <c:v>3024.95</c:v>
                </c:pt>
                <c:pt idx="34">
                  <c:v>1391</c:v>
                </c:pt>
                <c:pt idx="35">
                  <c:v>3465.1</c:v>
                </c:pt>
                <c:pt idx="36">
                  <c:v>3262</c:v>
                </c:pt>
                <c:pt idx="37">
                  <c:v>2900.45</c:v>
                </c:pt>
                <c:pt idx="38">
                  <c:v>2035.55</c:v>
                </c:pt>
                <c:pt idx="39">
                  <c:v>2358</c:v>
                </c:pt>
                <c:pt idx="40">
                  <c:v>1714.7</c:v>
                </c:pt>
                <c:pt idx="41">
                  <c:v>1380.05</c:v>
                </c:pt>
                <c:pt idx="42">
                  <c:v>2662</c:v>
                </c:pt>
                <c:pt idx="43">
                  <c:v>2274</c:v>
                </c:pt>
                <c:pt idx="44">
                  <c:v>2732</c:v>
                </c:pt>
                <c:pt idx="45">
                  <c:v>2619.25</c:v>
                </c:pt>
                <c:pt idx="46">
                  <c:v>1555</c:v>
                </c:pt>
                <c:pt idx="47">
                  <c:v>2467.9</c:v>
                </c:pt>
                <c:pt idx="48">
                  <c:v>2620.6</c:v>
                </c:pt>
                <c:pt idx="49">
                  <c:v>1944.05</c:v>
                </c:pt>
                <c:pt idx="50">
                  <c:v>1463.5</c:v>
                </c:pt>
                <c:pt idx="51">
                  <c:v>2461</c:v>
                </c:pt>
                <c:pt idx="52">
                  <c:v>2229</c:v>
                </c:pt>
                <c:pt idx="53">
                  <c:v>2148</c:v>
                </c:pt>
                <c:pt idx="54">
                  <c:v>2000</c:v>
                </c:pt>
                <c:pt idx="55">
                  <c:v>1669.3</c:v>
                </c:pt>
                <c:pt idx="56">
                  <c:v>1795</c:v>
                </c:pt>
                <c:pt idx="57">
                  <c:v>2153.75</c:v>
                </c:pt>
                <c:pt idx="58">
                  <c:v>1567.45</c:v>
                </c:pt>
                <c:pt idx="59">
                  <c:v>731.9</c:v>
                </c:pt>
                <c:pt idx="60">
                  <c:v>1260</c:v>
                </c:pt>
                <c:pt idx="61">
                  <c:v>1780.5</c:v>
                </c:pt>
                <c:pt idx="62">
                  <c:v>1503.5</c:v>
                </c:pt>
                <c:pt idx="63">
                  <c:v>1190.8</c:v>
                </c:pt>
                <c:pt idx="64">
                  <c:v>1002.8</c:v>
                </c:pt>
                <c:pt idx="65">
                  <c:v>1398.5</c:v>
                </c:pt>
                <c:pt idx="66">
                  <c:v>1601</c:v>
                </c:pt>
                <c:pt idx="67">
                  <c:v>1436.05</c:v>
                </c:pt>
                <c:pt idx="68">
                  <c:v>1077.9000000000001</c:v>
                </c:pt>
                <c:pt idx="69">
                  <c:v>1065.5</c:v>
                </c:pt>
                <c:pt idx="70">
                  <c:v>1024</c:v>
                </c:pt>
                <c:pt idx="71">
                  <c:v>1227.0999999999999</c:v>
                </c:pt>
                <c:pt idx="72">
                  <c:v>1134.8</c:v>
                </c:pt>
                <c:pt idx="73">
                  <c:v>717</c:v>
                </c:pt>
                <c:pt idx="74">
                  <c:v>1118</c:v>
                </c:pt>
                <c:pt idx="75">
                  <c:v>1327.55</c:v>
                </c:pt>
                <c:pt idx="76">
                  <c:v>885.05</c:v>
                </c:pt>
                <c:pt idx="77">
                  <c:v>975.8</c:v>
                </c:pt>
                <c:pt idx="78">
                  <c:v>1136</c:v>
                </c:pt>
                <c:pt idx="79">
                  <c:v>1068.8499999999999</c:v>
                </c:pt>
                <c:pt idx="80">
                  <c:v>999.5</c:v>
                </c:pt>
                <c:pt idx="81">
                  <c:v>581.79999999999995</c:v>
                </c:pt>
                <c:pt idx="82">
                  <c:v>807.2</c:v>
                </c:pt>
                <c:pt idx="83">
                  <c:v>872.85</c:v>
                </c:pt>
                <c:pt idx="84">
                  <c:v>872</c:v>
                </c:pt>
                <c:pt idx="85">
                  <c:v>571.79999999999995</c:v>
                </c:pt>
                <c:pt idx="86">
                  <c:v>1031.05</c:v>
                </c:pt>
                <c:pt idx="87">
                  <c:v>988.1</c:v>
                </c:pt>
                <c:pt idx="88">
                  <c:v>876</c:v>
                </c:pt>
                <c:pt idx="89">
                  <c:v>789.5</c:v>
                </c:pt>
                <c:pt idx="90">
                  <c:v>891.5</c:v>
                </c:pt>
                <c:pt idx="91">
                  <c:v>786.05</c:v>
                </c:pt>
                <c:pt idx="92">
                  <c:v>498.5</c:v>
                </c:pt>
                <c:pt idx="93">
                  <c:v>933.9</c:v>
                </c:pt>
                <c:pt idx="94">
                  <c:v>846.75</c:v>
                </c:pt>
                <c:pt idx="95">
                  <c:v>873.25</c:v>
                </c:pt>
                <c:pt idx="96">
                  <c:v>916.75</c:v>
                </c:pt>
                <c:pt idx="97">
                  <c:v>853.05</c:v>
                </c:pt>
                <c:pt idx="98">
                  <c:v>712.7</c:v>
                </c:pt>
                <c:pt idx="99">
                  <c:v>641</c:v>
                </c:pt>
                <c:pt idx="100">
                  <c:v>718.45</c:v>
                </c:pt>
                <c:pt idx="101">
                  <c:v>499.35</c:v>
                </c:pt>
                <c:pt idx="102">
                  <c:v>555</c:v>
                </c:pt>
                <c:pt idx="103">
                  <c:v>717.5</c:v>
                </c:pt>
                <c:pt idx="104">
                  <c:v>564</c:v>
                </c:pt>
                <c:pt idx="105">
                  <c:v>429.35</c:v>
                </c:pt>
                <c:pt idx="106">
                  <c:v>696.3</c:v>
                </c:pt>
                <c:pt idx="107">
                  <c:v>523.9</c:v>
                </c:pt>
                <c:pt idx="108">
                  <c:v>590.70000000000005</c:v>
                </c:pt>
                <c:pt idx="109">
                  <c:v>481.35</c:v>
                </c:pt>
                <c:pt idx="110">
                  <c:v>619</c:v>
                </c:pt>
                <c:pt idx="111">
                  <c:v>435.3</c:v>
                </c:pt>
                <c:pt idx="112">
                  <c:v>450.2</c:v>
                </c:pt>
                <c:pt idx="113">
                  <c:v>582</c:v>
                </c:pt>
                <c:pt idx="114">
                  <c:v>382.15</c:v>
                </c:pt>
                <c:pt idx="115">
                  <c:v>576.5</c:v>
                </c:pt>
                <c:pt idx="116">
                  <c:v>393.65</c:v>
                </c:pt>
                <c:pt idx="117">
                  <c:v>389.4</c:v>
                </c:pt>
                <c:pt idx="118">
                  <c:v>510</c:v>
                </c:pt>
                <c:pt idx="119">
                  <c:v>600.04999999999995</c:v>
                </c:pt>
                <c:pt idx="120">
                  <c:v>357.4</c:v>
                </c:pt>
                <c:pt idx="121">
                  <c:v>415</c:v>
                </c:pt>
                <c:pt idx="122">
                  <c:v>367.25</c:v>
                </c:pt>
                <c:pt idx="123">
                  <c:v>544</c:v>
                </c:pt>
                <c:pt idx="124">
                  <c:v>518.70000000000005</c:v>
                </c:pt>
                <c:pt idx="125">
                  <c:v>553.4</c:v>
                </c:pt>
                <c:pt idx="126">
                  <c:v>299</c:v>
                </c:pt>
                <c:pt idx="127">
                  <c:v>497.5</c:v>
                </c:pt>
                <c:pt idx="128">
                  <c:v>493.2</c:v>
                </c:pt>
                <c:pt idx="129">
                  <c:v>448</c:v>
                </c:pt>
                <c:pt idx="130">
                  <c:v>386</c:v>
                </c:pt>
                <c:pt idx="131">
                  <c:v>289.39999999999998</c:v>
                </c:pt>
                <c:pt idx="132">
                  <c:v>211.35</c:v>
                </c:pt>
                <c:pt idx="133">
                  <c:v>462.25</c:v>
                </c:pt>
                <c:pt idx="134">
                  <c:v>288.10000000000002</c:v>
                </c:pt>
                <c:pt idx="135">
                  <c:v>416.85</c:v>
                </c:pt>
                <c:pt idx="136">
                  <c:v>353</c:v>
                </c:pt>
                <c:pt idx="137">
                  <c:v>337.35</c:v>
                </c:pt>
                <c:pt idx="138">
                  <c:v>402.9</c:v>
                </c:pt>
                <c:pt idx="139">
                  <c:v>241.5</c:v>
                </c:pt>
                <c:pt idx="140">
                  <c:v>318.60000000000002</c:v>
                </c:pt>
                <c:pt idx="141">
                  <c:v>252.6</c:v>
                </c:pt>
                <c:pt idx="142">
                  <c:v>267.2</c:v>
                </c:pt>
                <c:pt idx="143">
                  <c:v>276.7</c:v>
                </c:pt>
                <c:pt idx="144">
                  <c:v>237.75</c:v>
                </c:pt>
                <c:pt idx="145">
                  <c:v>206.55</c:v>
                </c:pt>
                <c:pt idx="146">
                  <c:v>141.55000000000001</c:v>
                </c:pt>
                <c:pt idx="147">
                  <c:v>186.9</c:v>
                </c:pt>
                <c:pt idx="148">
                  <c:v>165.55</c:v>
                </c:pt>
                <c:pt idx="149">
                  <c:v>173</c:v>
                </c:pt>
                <c:pt idx="150">
                  <c:v>184.9</c:v>
                </c:pt>
                <c:pt idx="151">
                  <c:v>182.85</c:v>
                </c:pt>
                <c:pt idx="152">
                  <c:v>118.6</c:v>
                </c:pt>
                <c:pt idx="153">
                  <c:v>121.55</c:v>
                </c:pt>
                <c:pt idx="154">
                  <c:v>138.44999999999999</c:v>
                </c:pt>
                <c:pt idx="155">
                  <c:v>120.45</c:v>
                </c:pt>
                <c:pt idx="156">
                  <c:v>73.599999999999994</c:v>
                </c:pt>
                <c:pt idx="157">
                  <c:v>33.75</c:v>
                </c:pt>
                <c:pt idx="158">
                  <c:v>20.149999999999999</c:v>
                </c:pt>
              </c:numCache>
            </c:numRef>
          </c:val>
          <c:smooth val="0"/>
          <c:extLst>
            <c:ext xmlns:c16="http://schemas.microsoft.com/office/drawing/2014/chart" uri="{C3380CC4-5D6E-409C-BE32-E72D297353CC}">
              <c16:uniqueId val="{00000001-FC57-4102-807C-622187FF2637}"/>
            </c:ext>
          </c:extLst>
        </c:ser>
        <c:dLbls>
          <c:showLegendKey val="0"/>
          <c:showVal val="0"/>
          <c:showCatName val="0"/>
          <c:showSerName val="0"/>
          <c:showPercent val="0"/>
          <c:showBubbleSize val="0"/>
        </c:dLbls>
        <c:marker val="1"/>
        <c:smooth val="0"/>
        <c:axId val="536873616"/>
        <c:axId val="238259552"/>
      </c:lineChart>
      <c:catAx>
        <c:axId val="536873616"/>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lgn="ctr">
              <a:defRPr lang="en-US" sz="1100" b="1" i="0" u="none" strike="noStrike" kern="1200" spc="20" baseline="0">
                <a:solidFill>
                  <a:schemeClr val="bg2">
                    <a:lumMod val="65000"/>
                  </a:schemeClr>
                </a:solidFill>
                <a:latin typeface="+mn-lt"/>
                <a:ea typeface="+mn-ea"/>
                <a:cs typeface="+mn-cs"/>
              </a:defRPr>
            </a:pPr>
            <a:endParaRPr lang="en-US"/>
          </a:p>
        </c:txPr>
        <c:crossAx val="238259552"/>
        <c:crosses val="autoZero"/>
        <c:auto val="1"/>
        <c:lblAlgn val="ctr"/>
        <c:lblOffset val="100"/>
        <c:noMultiLvlLbl val="0"/>
      </c:catAx>
      <c:valAx>
        <c:axId val="238259552"/>
        <c:scaling>
          <c:orientation val="minMax"/>
        </c:scaling>
        <c:delete val="0"/>
        <c:axPos val="l"/>
        <c:majorGridlines>
          <c:spPr>
            <a:ln>
              <a:solidFill>
                <a:schemeClr val="dk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100" b="1" i="0" u="none" strike="noStrike" kern="1200" spc="20" baseline="0">
                <a:solidFill>
                  <a:schemeClr val="bg2">
                    <a:lumMod val="65000"/>
                  </a:schemeClr>
                </a:solidFill>
                <a:latin typeface="+mn-lt"/>
                <a:ea typeface="+mn-ea"/>
                <a:cs typeface="+mn-cs"/>
              </a:defRPr>
            </a:pPr>
            <a:endParaRPr lang="en-US"/>
          </a:p>
        </c:txPr>
        <c:crossAx val="536873616"/>
        <c:crosses val="autoZero"/>
        <c:crossBetween val="between"/>
      </c:valAx>
      <c:spPr>
        <a:noFill/>
        <a:ln>
          <a:noFill/>
        </a:ln>
        <a:effectLst/>
      </c:spPr>
    </c:plotArea>
    <c:legend>
      <c:legendPos val="tr"/>
      <c:overlay val="1"/>
      <c:spPr>
        <a:noFill/>
        <a:ln>
          <a:noFill/>
        </a:ln>
        <a:effectLst/>
      </c:spPr>
      <c:txPr>
        <a:bodyPr rot="0" spcFirstLastPara="1" vertOverflow="ellipsis" vert="horz" wrap="square" anchor="ctr" anchorCtr="1"/>
        <a:lstStyle/>
        <a:p>
          <a:pPr algn="ctr">
            <a:defRPr lang="en-US" sz="1000" b="1" i="0" u="none" strike="noStrike" kern="1200" baseline="0">
              <a:solidFill>
                <a:schemeClr val="bg2">
                  <a:lumMod val="6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Market Tracking.xlsx]Pivots!PivotTable9</c:name>
    <c:fmtId val="2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00B050"/>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433256026311326E-2"/>
          <c:y val="7.2265515594765156E-2"/>
          <c:w val="0.84956638746603508"/>
          <c:h val="0.69791738881343124"/>
        </c:manualLayout>
      </c:layout>
      <c:barChart>
        <c:barDir val="col"/>
        <c:grouping val="stacked"/>
        <c:varyColors val="0"/>
        <c:ser>
          <c:idx val="0"/>
          <c:order val="0"/>
          <c:tx>
            <c:strRef>
              <c:f>Pivots!$Q$3</c:f>
              <c:strCache>
                <c:ptCount val="1"/>
                <c:pt idx="0">
                  <c:v>Sum of Yesterday Closing Price</c:v>
                </c:pt>
              </c:strCache>
            </c:strRef>
          </c:tx>
          <c:spPr>
            <a:solidFill>
              <a:srgbClr val="00B050"/>
            </a:solidFill>
            <a:ln>
              <a:noFill/>
            </a:ln>
            <a:effectLst>
              <a:outerShdw blurRad="57150" dist="19050" dir="5400000" algn="ctr" rotWithShape="0">
                <a:srgbClr val="000000">
                  <a:alpha val="63000"/>
                </a:srgbClr>
              </a:outerShdw>
            </a:effectLst>
          </c:spPr>
          <c:invertIfNegative val="0"/>
          <c:cat>
            <c:strRef>
              <c:f>Pivots!$P$4:$P$48</c:f>
              <c:strCache>
                <c:ptCount val="44"/>
                <c:pt idx="0">
                  <c:v>Textile</c:v>
                </c:pt>
                <c:pt idx="1">
                  <c:v>Pharma</c:v>
                </c:pt>
                <c:pt idx="2">
                  <c:v>Cement</c:v>
                </c:pt>
                <c:pt idx="3">
                  <c:v>chemical</c:v>
                </c:pt>
                <c:pt idx="4">
                  <c:v>Automobile</c:v>
                </c:pt>
                <c:pt idx="5">
                  <c:v>Technology</c:v>
                </c:pt>
                <c:pt idx="6">
                  <c:v>Agrochemical</c:v>
                </c:pt>
                <c:pt idx="7">
                  <c:v>IT</c:v>
                </c:pt>
                <c:pt idx="8">
                  <c:v>Consumer Electrical</c:v>
                </c:pt>
                <c:pt idx="9">
                  <c:v>IT-Software</c:v>
                </c:pt>
                <c:pt idx="10">
                  <c:v>NBFC</c:v>
                </c:pt>
                <c:pt idx="11">
                  <c:v>Bank</c:v>
                </c:pt>
                <c:pt idx="12">
                  <c:v>Ceramics</c:v>
                </c:pt>
                <c:pt idx="13">
                  <c:v>Financial Servcies</c:v>
                </c:pt>
                <c:pt idx="14">
                  <c:v>FMCG</c:v>
                </c:pt>
                <c:pt idx="15">
                  <c:v>Defence</c:v>
                </c:pt>
                <c:pt idx="16">
                  <c:v>Manufacturing</c:v>
                </c:pt>
                <c:pt idx="17">
                  <c:v>AMC</c:v>
                </c:pt>
                <c:pt idx="18">
                  <c:v>Reserach</c:v>
                </c:pt>
                <c:pt idx="19">
                  <c:v>Healthcare</c:v>
                </c:pt>
                <c:pt idx="20">
                  <c:v>Infrastructure</c:v>
                </c:pt>
                <c:pt idx="21">
                  <c:v>Telecom and oil</c:v>
                </c:pt>
                <c:pt idx="22">
                  <c:v>Plastic</c:v>
                </c:pt>
                <c:pt idx="23">
                  <c:v>Tyre</c:v>
                </c:pt>
                <c:pt idx="24">
                  <c:v>Automobile Ancilliary</c:v>
                </c:pt>
                <c:pt idx="25">
                  <c:v>(blank)</c:v>
                </c:pt>
                <c:pt idx="26">
                  <c:v>Logistic</c:v>
                </c:pt>
                <c:pt idx="27">
                  <c:v>Utility</c:v>
                </c:pt>
                <c:pt idx="28">
                  <c:v>Food</c:v>
                </c:pt>
                <c:pt idx="29">
                  <c:v>packaging</c:v>
                </c:pt>
                <c:pt idx="30">
                  <c:v>Piping</c:v>
                </c:pt>
                <c:pt idx="31">
                  <c:v>Form</c:v>
                </c:pt>
                <c:pt idx="32">
                  <c:v>Steel</c:v>
                </c:pt>
                <c:pt idx="33">
                  <c:v>Ceramic</c:v>
                </c:pt>
                <c:pt idx="34">
                  <c:v>Paint</c:v>
                </c:pt>
                <c:pt idx="35">
                  <c:v>Spirits</c:v>
                </c:pt>
                <c:pt idx="36">
                  <c:v>Insurance</c:v>
                </c:pt>
                <c:pt idx="37">
                  <c:v>Catering</c:v>
                </c:pt>
                <c:pt idx="38">
                  <c:v>Small Finance</c:v>
                </c:pt>
                <c:pt idx="39">
                  <c:v>Playboard</c:v>
                </c:pt>
                <c:pt idx="40">
                  <c:v>kitchen</c:v>
                </c:pt>
                <c:pt idx="41">
                  <c:v>Kitchen Appliances</c:v>
                </c:pt>
                <c:pt idx="42">
                  <c:v>Retail</c:v>
                </c:pt>
                <c:pt idx="43">
                  <c:v>Telecom</c:v>
                </c:pt>
              </c:strCache>
            </c:strRef>
          </c:cat>
          <c:val>
            <c:numRef>
              <c:f>Pivots!$Q$4:$Q$48</c:f>
              <c:numCache>
                <c:formatCode>General</c:formatCode>
                <c:ptCount val="44"/>
                <c:pt idx="0">
                  <c:v>45226.05</c:v>
                </c:pt>
                <c:pt idx="1">
                  <c:v>42255.95</c:v>
                </c:pt>
                <c:pt idx="2">
                  <c:v>34611.35</c:v>
                </c:pt>
                <c:pt idx="3">
                  <c:v>32419.45</c:v>
                </c:pt>
                <c:pt idx="4">
                  <c:v>23523.9</c:v>
                </c:pt>
                <c:pt idx="5">
                  <c:v>23283.5</c:v>
                </c:pt>
                <c:pt idx="6">
                  <c:v>20733.55</c:v>
                </c:pt>
                <c:pt idx="7">
                  <c:v>20696.000000000004</c:v>
                </c:pt>
                <c:pt idx="8">
                  <c:v>12222.400000000001</c:v>
                </c:pt>
                <c:pt idx="9">
                  <c:v>7654.3499999999995</c:v>
                </c:pt>
                <c:pt idx="10">
                  <c:v>7482.0499999999993</c:v>
                </c:pt>
                <c:pt idx="11">
                  <c:v>6346.6500000000005</c:v>
                </c:pt>
                <c:pt idx="12">
                  <c:v>5320</c:v>
                </c:pt>
                <c:pt idx="13">
                  <c:v>4780.8500000000004</c:v>
                </c:pt>
                <c:pt idx="14">
                  <c:v>4551.5</c:v>
                </c:pt>
                <c:pt idx="15">
                  <c:v>4340.1499999999996</c:v>
                </c:pt>
                <c:pt idx="16">
                  <c:v>4302.95</c:v>
                </c:pt>
                <c:pt idx="17">
                  <c:v>3215.55</c:v>
                </c:pt>
                <c:pt idx="18">
                  <c:v>3044.5</c:v>
                </c:pt>
                <c:pt idx="19">
                  <c:v>2854.95</c:v>
                </c:pt>
                <c:pt idx="20">
                  <c:v>2483.9</c:v>
                </c:pt>
                <c:pt idx="21">
                  <c:v>2471.6</c:v>
                </c:pt>
                <c:pt idx="22">
                  <c:v>2452.6999999999998</c:v>
                </c:pt>
                <c:pt idx="23">
                  <c:v>2214.25</c:v>
                </c:pt>
                <c:pt idx="24">
                  <c:v>2174.75</c:v>
                </c:pt>
                <c:pt idx="25">
                  <c:v>2166.65</c:v>
                </c:pt>
                <c:pt idx="26">
                  <c:v>1807.4</c:v>
                </c:pt>
                <c:pt idx="27">
                  <c:v>1747.9</c:v>
                </c:pt>
                <c:pt idx="28">
                  <c:v>1576</c:v>
                </c:pt>
                <c:pt idx="29">
                  <c:v>1559.1</c:v>
                </c:pt>
                <c:pt idx="30">
                  <c:v>1261.05</c:v>
                </c:pt>
                <c:pt idx="31">
                  <c:v>1251.3</c:v>
                </c:pt>
                <c:pt idx="32">
                  <c:v>1127.95</c:v>
                </c:pt>
                <c:pt idx="33">
                  <c:v>1112.5</c:v>
                </c:pt>
                <c:pt idx="34">
                  <c:v>975</c:v>
                </c:pt>
                <c:pt idx="35">
                  <c:v>857.75</c:v>
                </c:pt>
                <c:pt idx="36">
                  <c:v>705.55</c:v>
                </c:pt>
                <c:pt idx="37">
                  <c:v>640.65</c:v>
                </c:pt>
                <c:pt idx="38">
                  <c:v>628.15</c:v>
                </c:pt>
                <c:pt idx="39">
                  <c:v>517.65</c:v>
                </c:pt>
                <c:pt idx="40">
                  <c:v>503.15</c:v>
                </c:pt>
                <c:pt idx="41">
                  <c:v>473.2</c:v>
                </c:pt>
                <c:pt idx="42">
                  <c:v>462.75</c:v>
                </c:pt>
                <c:pt idx="43">
                  <c:v>72.400000000000006</c:v>
                </c:pt>
              </c:numCache>
            </c:numRef>
          </c:val>
          <c:extLst>
            <c:ext xmlns:c16="http://schemas.microsoft.com/office/drawing/2014/chart" uri="{C3380CC4-5D6E-409C-BE32-E72D297353CC}">
              <c16:uniqueId val="{00000000-6F09-46D9-AB06-D39C381DFE00}"/>
            </c:ext>
          </c:extLst>
        </c:ser>
        <c:ser>
          <c:idx val="1"/>
          <c:order val="1"/>
          <c:tx>
            <c:strRef>
              <c:f>Pivots!$R$3</c:f>
              <c:strCache>
                <c:ptCount val="1"/>
                <c:pt idx="0">
                  <c:v>Sum of Current price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Pivots!$P$4:$P$48</c:f>
              <c:strCache>
                <c:ptCount val="44"/>
                <c:pt idx="0">
                  <c:v>Textile</c:v>
                </c:pt>
                <c:pt idx="1">
                  <c:v>Pharma</c:v>
                </c:pt>
                <c:pt idx="2">
                  <c:v>Cement</c:v>
                </c:pt>
                <c:pt idx="3">
                  <c:v>chemical</c:v>
                </c:pt>
                <c:pt idx="4">
                  <c:v>Automobile</c:v>
                </c:pt>
                <c:pt idx="5">
                  <c:v>Technology</c:v>
                </c:pt>
                <c:pt idx="6">
                  <c:v>Agrochemical</c:v>
                </c:pt>
                <c:pt idx="7">
                  <c:v>IT</c:v>
                </c:pt>
                <c:pt idx="8">
                  <c:v>Consumer Electrical</c:v>
                </c:pt>
                <c:pt idx="9">
                  <c:v>IT-Software</c:v>
                </c:pt>
                <c:pt idx="10">
                  <c:v>NBFC</c:v>
                </c:pt>
                <c:pt idx="11">
                  <c:v>Bank</c:v>
                </c:pt>
                <c:pt idx="12">
                  <c:v>Ceramics</c:v>
                </c:pt>
                <c:pt idx="13">
                  <c:v>Financial Servcies</c:v>
                </c:pt>
                <c:pt idx="14">
                  <c:v>FMCG</c:v>
                </c:pt>
                <c:pt idx="15">
                  <c:v>Defence</c:v>
                </c:pt>
                <c:pt idx="16">
                  <c:v>Manufacturing</c:v>
                </c:pt>
                <c:pt idx="17">
                  <c:v>AMC</c:v>
                </c:pt>
                <c:pt idx="18">
                  <c:v>Reserach</c:v>
                </c:pt>
                <c:pt idx="19">
                  <c:v>Healthcare</c:v>
                </c:pt>
                <c:pt idx="20">
                  <c:v>Infrastructure</c:v>
                </c:pt>
                <c:pt idx="21">
                  <c:v>Telecom and oil</c:v>
                </c:pt>
                <c:pt idx="22">
                  <c:v>Plastic</c:v>
                </c:pt>
                <c:pt idx="23">
                  <c:v>Tyre</c:v>
                </c:pt>
                <c:pt idx="24">
                  <c:v>Automobile Ancilliary</c:v>
                </c:pt>
                <c:pt idx="25">
                  <c:v>(blank)</c:v>
                </c:pt>
                <c:pt idx="26">
                  <c:v>Logistic</c:v>
                </c:pt>
                <c:pt idx="27">
                  <c:v>Utility</c:v>
                </c:pt>
                <c:pt idx="28">
                  <c:v>Food</c:v>
                </c:pt>
                <c:pt idx="29">
                  <c:v>packaging</c:v>
                </c:pt>
                <c:pt idx="30">
                  <c:v>Piping</c:v>
                </c:pt>
                <c:pt idx="31">
                  <c:v>Form</c:v>
                </c:pt>
                <c:pt idx="32">
                  <c:v>Steel</c:v>
                </c:pt>
                <c:pt idx="33">
                  <c:v>Ceramic</c:v>
                </c:pt>
                <c:pt idx="34">
                  <c:v>Paint</c:v>
                </c:pt>
                <c:pt idx="35">
                  <c:v>Spirits</c:v>
                </c:pt>
                <c:pt idx="36">
                  <c:v>Insurance</c:v>
                </c:pt>
                <c:pt idx="37">
                  <c:v>Catering</c:v>
                </c:pt>
                <c:pt idx="38">
                  <c:v>Small Finance</c:v>
                </c:pt>
                <c:pt idx="39">
                  <c:v>Playboard</c:v>
                </c:pt>
                <c:pt idx="40">
                  <c:v>kitchen</c:v>
                </c:pt>
                <c:pt idx="41">
                  <c:v>Kitchen Appliances</c:v>
                </c:pt>
                <c:pt idx="42">
                  <c:v>Retail</c:v>
                </c:pt>
                <c:pt idx="43">
                  <c:v>Telecom</c:v>
                </c:pt>
              </c:strCache>
            </c:strRef>
          </c:cat>
          <c:val>
            <c:numRef>
              <c:f>Pivots!$R$4:$R$48</c:f>
              <c:numCache>
                <c:formatCode>General</c:formatCode>
                <c:ptCount val="44"/>
                <c:pt idx="0">
                  <c:v>44843.399999999994</c:v>
                </c:pt>
                <c:pt idx="1">
                  <c:v>42351.55</c:v>
                </c:pt>
                <c:pt idx="2">
                  <c:v>34876</c:v>
                </c:pt>
                <c:pt idx="3">
                  <c:v>32296.65</c:v>
                </c:pt>
                <c:pt idx="4">
                  <c:v>23745.7</c:v>
                </c:pt>
                <c:pt idx="5">
                  <c:v>23191.05</c:v>
                </c:pt>
                <c:pt idx="6">
                  <c:v>20731.449999999997</c:v>
                </c:pt>
                <c:pt idx="7">
                  <c:v>20865.3</c:v>
                </c:pt>
                <c:pt idx="8">
                  <c:v>12240.5</c:v>
                </c:pt>
                <c:pt idx="9">
                  <c:v>7681</c:v>
                </c:pt>
                <c:pt idx="10">
                  <c:v>7566.95</c:v>
                </c:pt>
                <c:pt idx="11">
                  <c:v>6369.9500000000007</c:v>
                </c:pt>
                <c:pt idx="12">
                  <c:v>5294</c:v>
                </c:pt>
                <c:pt idx="13">
                  <c:v>4796.3</c:v>
                </c:pt>
                <c:pt idx="14">
                  <c:v>4578.8500000000004</c:v>
                </c:pt>
                <c:pt idx="15">
                  <c:v>4338</c:v>
                </c:pt>
                <c:pt idx="16">
                  <c:v>4289.8</c:v>
                </c:pt>
                <c:pt idx="17">
                  <c:v>3207.8</c:v>
                </c:pt>
                <c:pt idx="18">
                  <c:v>3020</c:v>
                </c:pt>
                <c:pt idx="19">
                  <c:v>2843.3500000000004</c:v>
                </c:pt>
                <c:pt idx="20">
                  <c:v>2480.75</c:v>
                </c:pt>
                <c:pt idx="21">
                  <c:v>2467.9</c:v>
                </c:pt>
                <c:pt idx="22">
                  <c:v>2461</c:v>
                </c:pt>
                <c:pt idx="23">
                  <c:v>2229</c:v>
                </c:pt>
                <c:pt idx="24">
                  <c:v>2157.85</c:v>
                </c:pt>
                <c:pt idx="25">
                  <c:v>2163.5499999999997</c:v>
                </c:pt>
                <c:pt idx="26">
                  <c:v>1795</c:v>
                </c:pt>
                <c:pt idx="27">
                  <c:v>1720.1</c:v>
                </c:pt>
                <c:pt idx="28">
                  <c:v>1524.1999999999998</c:v>
                </c:pt>
                <c:pt idx="29">
                  <c:v>1555</c:v>
                </c:pt>
                <c:pt idx="30">
                  <c:v>1273.7</c:v>
                </c:pt>
                <c:pt idx="31">
                  <c:v>1260</c:v>
                </c:pt>
                <c:pt idx="32">
                  <c:v>1136</c:v>
                </c:pt>
                <c:pt idx="33">
                  <c:v>1118</c:v>
                </c:pt>
                <c:pt idx="34">
                  <c:v>979</c:v>
                </c:pt>
                <c:pt idx="35">
                  <c:v>846.75</c:v>
                </c:pt>
                <c:pt idx="36">
                  <c:v>712.7</c:v>
                </c:pt>
                <c:pt idx="37">
                  <c:v>641</c:v>
                </c:pt>
                <c:pt idx="38">
                  <c:v>619</c:v>
                </c:pt>
                <c:pt idx="39">
                  <c:v>523.9</c:v>
                </c:pt>
                <c:pt idx="40">
                  <c:v>498.5</c:v>
                </c:pt>
                <c:pt idx="41">
                  <c:v>462.25</c:v>
                </c:pt>
                <c:pt idx="42">
                  <c:v>464.55</c:v>
                </c:pt>
                <c:pt idx="43">
                  <c:v>73.599999999999994</c:v>
                </c:pt>
              </c:numCache>
            </c:numRef>
          </c:val>
          <c:extLst>
            <c:ext xmlns:c16="http://schemas.microsoft.com/office/drawing/2014/chart" uri="{C3380CC4-5D6E-409C-BE32-E72D297353CC}">
              <c16:uniqueId val="{00000001-6F09-46D9-AB06-D39C381DFE00}"/>
            </c:ext>
          </c:extLst>
        </c:ser>
        <c:dLbls>
          <c:showLegendKey val="0"/>
          <c:showVal val="0"/>
          <c:showCatName val="0"/>
          <c:showSerName val="0"/>
          <c:showPercent val="0"/>
          <c:showBubbleSize val="0"/>
        </c:dLbls>
        <c:gapWidth val="150"/>
        <c:overlap val="100"/>
        <c:axId val="49126688"/>
        <c:axId val="114902384"/>
      </c:barChart>
      <c:catAx>
        <c:axId val="4912668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100" b="1" i="0" u="none" strike="noStrike" kern="1200" baseline="0">
                <a:solidFill>
                  <a:schemeClr val="bg2">
                    <a:lumMod val="65000"/>
                  </a:schemeClr>
                </a:solidFill>
                <a:latin typeface="+mn-lt"/>
                <a:ea typeface="+mn-ea"/>
                <a:cs typeface="+mn-cs"/>
              </a:defRPr>
            </a:pPr>
            <a:endParaRPr lang="en-US"/>
          </a:p>
        </c:txPr>
        <c:crossAx val="114902384"/>
        <c:crosses val="autoZero"/>
        <c:auto val="1"/>
        <c:lblAlgn val="ctr"/>
        <c:lblOffset val="100"/>
        <c:noMultiLvlLbl val="0"/>
      </c:catAx>
      <c:valAx>
        <c:axId val="114902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100" b="1" i="0" u="none" strike="noStrike" kern="1200" baseline="0">
                <a:solidFill>
                  <a:schemeClr val="bg2">
                    <a:lumMod val="65000"/>
                  </a:schemeClr>
                </a:solidFill>
                <a:latin typeface="+mn-lt"/>
                <a:ea typeface="+mn-ea"/>
                <a:cs typeface="+mn-cs"/>
              </a:defRPr>
            </a:pPr>
            <a:endParaRPr lang="en-US"/>
          </a:p>
        </c:txPr>
        <c:crossAx val="49126688"/>
        <c:crosses val="autoZero"/>
        <c:crossBetween val="between"/>
      </c:valAx>
      <c:spPr>
        <a:noFill/>
        <a:ln>
          <a:noFill/>
        </a:ln>
        <a:effectLst/>
      </c:spPr>
    </c:plotArea>
    <c:legend>
      <c:legendPos val="tr"/>
      <c:layout>
        <c:manualLayout>
          <c:xMode val="edge"/>
          <c:yMode val="edge"/>
          <c:x val="0.90576876864179867"/>
          <c:y val="1.8455743514574224E-2"/>
          <c:w val="8.9277189262323989E-2"/>
          <c:h val="0.25257921895330537"/>
        </c:manualLayout>
      </c:layout>
      <c:overlay val="0"/>
      <c:spPr>
        <a:noFill/>
        <a:ln>
          <a:noFill/>
        </a:ln>
        <a:effectLst/>
      </c:spPr>
      <c:txPr>
        <a:bodyPr rot="0" spcFirstLastPara="1" vertOverflow="ellipsis" vert="horz" wrap="square" anchor="ctr" anchorCtr="1"/>
        <a:lstStyle/>
        <a:p>
          <a:pPr algn="ctr">
            <a:defRPr lang="en-US" sz="1000" b="1" i="0" u="none" strike="noStrike" kern="1200" baseline="0">
              <a:solidFill>
                <a:schemeClr val="bg2">
                  <a:lumMod val="6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Market Tracking.xlsx]Pivots!PivotTable11</c:name>
    <c:fmtId val="3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75000"/>
              </a:schemeClr>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555909294590743E-2"/>
          <c:y val="0.1105481106545788"/>
          <c:w val="0.92800677419232025"/>
          <c:h val="0.46579890385324579"/>
        </c:manualLayout>
      </c:layout>
      <c:lineChart>
        <c:grouping val="stacked"/>
        <c:varyColors val="0"/>
        <c:ser>
          <c:idx val="1"/>
          <c:order val="1"/>
          <c:tx>
            <c:strRef>
              <c:f>Pivots!$Z$3</c:f>
              <c:strCache>
                <c:ptCount val="1"/>
                <c:pt idx="0">
                  <c:v>Sum of % Above 52 Week low</c:v>
                </c:pt>
              </c:strCache>
            </c:strRef>
          </c:tx>
          <c:spPr>
            <a:ln w="28575" cap="rnd">
              <a:solidFill>
                <a:schemeClr val="accent2">
                  <a:lumMod val="75000"/>
                </a:schemeClr>
              </a:solidFill>
              <a:round/>
            </a:ln>
            <a:effectLst/>
          </c:spPr>
          <c:marker>
            <c:symbol val="circle"/>
            <c:size val="5"/>
            <c:spPr>
              <a:solidFill>
                <a:schemeClr val="accent2"/>
              </a:solidFill>
              <a:ln w="9525">
                <a:solidFill>
                  <a:schemeClr val="accent2"/>
                </a:solidFill>
              </a:ln>
              <a:effectLst/>
            </c:spPr>
          </c:marker>
          <c:cat>
            <c:strRef>
              <c:f>Pivots!$X$4:$X$163</c:f>
              <c:strCache>
                <c:ptCount val="159"/>
                <c:pt idx="0">
                  <c:v>Tanla Platform</c:v>
                </c:pt>
                <c:pt idx="1">
                  <c:v>Bajaj Finserv</c:v>
                </c:pt>
                <c:pt idx="2">
                  <c:v>Gland Pharma</c:v>
                </c:pt>
                <c:pt idx="3">
                  <c:v>Lux Industries</c:v>
                </c:pt>
                <c:pt idx="4">
                  <c:v>Zensar Tech</c:v>
                </c:pt>
                <c:pt idx="5">
                  <c:v>Metropolis Healthcare</c:v>
                </c:pt>
                <c:pt idx="6">
                  <c:v>Amber Enterprise</c:v>
                </c:pt>
                <c:pt idx="7">
                  <c:v>Trident</c:v>
                </c:pt>
                <c:pt idx="8">
                  <c:v>stove kraft</c:v>
                </c:pt>
                <c:pt idx="9">
                  <c:v>Mastek</c:v>
                </c:pt>
                <c:pt idx="10">
                  <c:v>Aarti Industries</c:v>
                </c:pt>
                <c:pt idx="11">
                  <c:v>IEX</c:v>
                </c:pt>
                <c:pt idx="12">
                  <c:v>Rossari Biotech</c:v>
                </c:pt>
                <c:pt idx="13">
                  <c:v>Thyrocare</c:v>
                </c:pt>
                <c:pt idx="14">
                  <c:v>Vaibhav Global</c:v>
                </c:pt>
                <c:pt idx="15">
                  <c:v>Polyplex Corporation</c:v>
                </c:pt>
                <c:pt idx="16">
                  <c:v>Krisna dignostic</c:v>
                </c:pt>
                <c:pt idx="17">
                  <c:v>clean science</c:v>
                </c:pt>
                <c:pt idx="18">
                  <c:v>Newgen</c:v>
                </c:pt>
                <c:pt idx="19">
                  <c:v>Lauras Lab</c:v>
                </c:pt>
                <c:pt idx="20">
                  <c:v>Tech Mahindra</c:v>
                </c:pt>
                <c:pt idx="21">
                  <c:v>Laxmi Orgamic</c:v>
                </c:pt>
                <c:pt idx="22">
                  <c:v>Tata Elxsi</c:v>
                </c:pt>
                <c:pt idx="23">
                  <c:v>Mphasis</c:v>
                </c:pt>
                <c:pt idx="24">
                  <c:v>Wipro</c:v>
                </c:pt>
                <c:pt idx="25">
                  <c:v>Latent View</c:v>
                </c:pt>
                <c:pt idx="26">
                  <c:v>Aurobindo Pharma</c:v>
                </c:pt>
                <c:pt idx="27">
                  <c:v>Borosil Renewable</c:v>
                </c:pt>
                <c:pt idx="28">
                  <c:v>Chemcom Speciality</c:v>
                </c:pt>
                <c:pt idx="29">
                  <c:v>L&amp;T Technology</c:v>
                </c:pt>
                <c:pt idx="30">
                  <c:v>Avanti Feed</c:v>
                </c:pt>
                <c:pt idx="31">
                  <c:v>Gujarat Ambuja Export</c:v>
                </c:pt>
                <c:pt idx="32">
                  <c:v>Route Mobile</c:v>
                </c:pt>
                <c:pt idx="33">
                  <c:v>Sheela Form</c:v>
                </c:pt>
                <c:pt idx="34">
                  <c:v>Gujarat Gas</c:v>
                </c:pt>
                <c:pt idx="35">
                  <c:v>Infoedge</c:v>
                </c:pt>
                <c:pt idx="36">
                  <c:v>Heranba</c:v>
                </c:pt>
                <c:pt idx="37">
                  <c:v>Indiamart Intermesh</c:v>
                </c:pt>
                <c:pt idx="38">
                  <c:v>Bhansali Engineering</c:v>
                </c:pt>
                <c:pt idx="39">
                  <c:v>Happiest Mind</c:v>
                </c:pt>
                <c:pt idx="40">
                  <c:v>CDSL</c:v>
                </c:pt>
                <c:pt idx="41">
                  <c:v>Coforge</c:v>
                </c:pt>
                <c:pt idx="42">
                  <c:v>Bharat Rasayan</c:v>
                </c:pt>
                <c:pt idx="43">
                  <c:v>Kansai Nerolac</c:v>
                </c:pt>
                <c:pt idx="44">
                  <c:v>Balaji Amine</c:v>
                </c:pt>
                <c:pt idx="45">
                  <c:v>Gujarat Florochemical</c:v>
                </c:pt>
                <c:pt idx="46">
                  <c:v>Nippon AMC</c:v>
                </c:pt>
                <c:pt idx="47">
                  <c:v>Alembic Pharma</c:v>
                </c:pt>
                <c:pt idx="48">
                  <c:v>Affle India</c:v>
                </c:pt>
                <c:pt idx="49">
                  <c:v>Bandhan Bank</c:v>
                </c:pt>
                <c:pt idx="50">
                  <c:v>Galaxy Surfactant</c:v>
                </c:pt>
                <c:pt idx="51">
                  <c:v>Tata Power</c:v>
                </c:pt>
                <c:pt idx="52">
                  <c:v>IRCTC</c:v>
                </c:pt>
                <c:pt idx="53">
                  <c:v>Muthoot Finance</c:v>
                </c:pt>
                <c:pt idx="54">
                  <c:v>Century Plyboard</c:v>
                </c:pt>
                <c:pt idx="55">
                  <c:v>Mannapuran Finance</c:v>
                </c:pt>
                <c:pt idx="56">
                  <c:v>Atul Ltd</c:v>
                </c:pt>
                <c:pt idx="57">
                  <c:v>Berger Paint</c:v>
                </c:pt>
                <c:pt idx="58">
                  <c:v>Alkyl Amine</c:v>
                </c:pt>
                <c:pt idx="59">
                  <c:v>Orient Electric</c:v>
                </c:pt>
                <c:pt idx="60">
                  <c:v>Divi's Lab</c:v>
                </c:pt>
                <c:pt idx="61">
                  <c:v>Deepak Nitrite</c:v>
                </c:pt>
                <c:pt idx="62">
                  <c:v>HFCL</c:v>
                </c:pt>
                <c:pt idx="63">
                  <c:v>Astec Lifesciences</c:v>
                </c:pt>
                <c:pt idx="64">
                  <c:v>UTI AMC</c:v>
                </c:pt>
                <c:pt idx="65">
                  <c:v>Page Industries</c:v>
                </c:pt>
                <c:pt idx="66">
                  <c:v>GMM Pfaudler</c:v>
                </c:pt>
                <c:pt idx="67">
                  <c:v>Bajaj Finance</c:v>
                </c:pt>
                <c:pt idx="68">
                  <c:v>Gokaldas Export</c:v>
                </c:pt>
                <c:pt idx="69">
                  <c:v>Crompton Greves</c:v>
                </c:pt>
                <c:pt idx="70">
                  <c:v>TTK Prestige</c:v>
                </c:pt>
                <c:pt idx="71">
                  <c:v>SBI Cards</c:v>
                </c:pt>
                <c:pt idx="72">
                  <c:v>Praj Industries</c:v>
                </c:pt>
                <c:pt idx="73">
                  <c:v>CAMS</c:v>
                </c:pt>
                <c:pt idx="74">
                  <c:v>Fine Organics</c:v>
                </c:pt>
                <c:pt idx="75">
                  <c:v>Infosys</c:v>
                </c:pt>
                <c:pt idx="76">
                  <c:v>Heidelberg Cement</c:v>
                </c:pt>
                <c:pt idx="77">
                  <c:v>LIC</c:v>
                </c:pt>
                <c:pt idx="78">
                  <c:v>Advance Enzymes</c:v>
                </c:pt>
                <c:pt idx="79">
                  <c:v>Crisil</c:v>
                </c:pt>
                <c:pt idx="80">
                  <c:v>Prince Pipe</c:v>
                </c:pt>
                <c:pt idx="81">
                  <c:v>Goldiam International</c:v>
                </c:pt>
                <c:pt idx="82">
                  <c:v>Varun Beverage</c:v>
                </c:pt>
                <c:pt idx="83">
                  <c:v>J K Cement</c:v>
                </c:pt>
                <c:pt idx="84">
                  <c:v>Coromandel International</c:v>
                </c:pt>
                <c:pt idx="85">
                  <c:v>IPCA Lab</c:v>
                </c:pt>
                <c:pt idx="86">
                  <c:v>TCI Express</c:v>
                </c:pt>
                <c:pt idx="87">
                  <c:v>Apollo pipes</c:v>
                </c:pt>
                <c:pt idx="88">
                  <c:v>Tata Chemical</c:v>
                </c:pt>
                <c:pt idx="89">
                  <c:v>Endurance Technology</c:v>
                </c:pt>
                <c:pt idx="90">
                  <c:v>Garware technical</c:v>
                </c:pt>
                <c:pt idx="91">
                  <c:v>Persistent System</c:v>
                </c:pt>
                <c:pt idx="92">
                  <c:v>Kajaria Ceramic</c:v>
                </c:pt>
                <c:pt idx="93">
                  <c:v>Eicher Motor</c:v>
                </c:pt>
                <c:pt idx="94">
                  <c:v>Yesbank</c:v>
                </c:pt>
                <c:pt idx="95">
                  <c:v>Bayer Cropscience</c:v>
                </c:pt>
                <c:pt idx="96">
                  <c:v>Data Pattern</c:v>
                </c:pt>
                <c:pt idx="97">
                  <c:v>Cyient</c:v>
                </c:pt>
                <c:pt idx="98">
                  <c:v>Aarti Drugs</c:v>
                </c:pt>
                <c:pt idx="99">
                  <c:v>TCS</c:v>
                </c:pt>
                <c:pt idx="100">
                  <c:v>Granules India</c:v>
                </c:pt>
                <c:pt idx="101">
                  <c:v>Sonata Software</c:v>
                </c:pt>
                <c:pt idx="102">
                  <c:v>Vinita Organics</c:v>
                </c:pt>
                <c:pt idx="103">
                  <c:v>AU Small Finance</c:v>
                </c:pt>
                <c:pt idx="104">
                  <c:v>Finolex Industries</c:v>
                </c:pt>
                <c:pt idx="105">
                  <c:v>UPL</c:v>
                </c:pt>
                <c:pt idx="106">
                  <c:v>TVS</c:v>
                </c:pt>
                <c:pt idx="107">
                  <c:v>Poly Medicure Ltd</c:v>
                </c:pt>
                <c:pt idx="108">
                  <c:v>Pfizer</c:v>
                </c:pt>
                <c:pt idx="109">
                  <c:v>HDFC AMC</c:v>
                </c:pt>
                <c:pt idx="110">
                  <c:v>Shree Cement</c:v>
                </c:pt>
                <c:pt idx="111">
                  <c:v>Amara Raja Batter</c:v>
                </c:pt>
                <c:pt idx="112">
                  <c:v>KEI Industries</c:v>
                </c:pt>
                <c:pt idx="113">
                  <c:v>Reliance</c:v>
                </c:pt>
                <c:pt idx="114">
                  <c:v>Maruti Suzuki</c:v>
                </c:pt>
                <c:pt idx="115">
                  <c:v>Ambuja Cement</c:v>
                </c:pt>
                <c:pt idx="116">
                  <c:v>Tata Steel</c:v>
                </c:pt>
                <c:pt idx="117">
                  <c:v>Bajaj Auto</c:v>
                </c:pt>
                <c:pt idx="118">
                  <c:v>Cera Sanitaryware</c:v>
                </c:pt>
                <c:pt idx="119">
                  <c:v>Balkrishna Industries</c:v>
                </c:pt>
                <c:pt idx="120">
                  <c:v>Polycab</c:v>
                </c:pt>
                <c:pt idx="121">
                  <c:v>Dhanuka Agritech</c:v>
                </c:pt>
                <c:pt idx="122">
                  <c:v>PI industries</c:v>
                </c:pt>
                <c:pt idx="123">
                  <c:v>United Spirits</c:v>
                </c:pt>
                <c:pt idx="124">
                  <c:v>Dabur</c:v>
                </c:pt>
                <c:pt idx="125">
                  <c:v>Kotak Bank</c:v>
                </c:pt>
                <c:pt idx="126">
                  <c:v>HDFC</c:v>
                </c:pt>
                <c:pt idx="127">
                  <c:v>Indraprastha Gas</c:v>
                </c:pt>
                <c:pt idx="128">
                  <c:v>Marico</c:v>
                </c:pt>
                <c:pt idx="129">
                  <c:v>Cipla</c:v>
                </c:pt>
                <c:pt idx="130">
                  <c:v>Dr Reddy</c:v>
                </c:pt>
                <c:pt idx="131">
                  <c:v>LIC Housing Finance</c:v>
                </c:pt>
                <c:pt idx="132">
                  <c:v>KPIT</c:v>
                </c:pt>
                <c:pt idx="133">
                  <c:v>ICICI Bank</c:v>
                </c:pt>
                <c:pt idx="134">
                  <c:v>Ultratech Cement</c:v>
                </c:pt>
                <c:pt idx="135">
                  <c:v>Sumitomo Chemicals</c:v>
                </c:pt>
                <c:pt idx="136">
                  <c:v>Mahangar Gas</c:v>
                </c:pt>
                <c:pt idx="137">
                  <c:v>HDFC Bank</c:v>
                </c:pt>
                <c:pt idx="138">
                  <c:v>Hero Motocorp</c:v>
                </c:pt>
                <c:pt idx="139">
                  <c:v>Finolex Cable</c:v>
                </c:pt>
                <c:pt idx="140">
                  <c:v>craftsman automation</c:v>
                </c:pt>
                <c:pt idx="141">
                  <c:v>Mold tech</c:v>
                </c:pt>
                <c:pt idx="142">
                  <c:v>Bank of Baroda</c:v>
                </c:pt>
                <c:pt idx="143">
                  <c:v>Exide Battery</c:v>
                </c:pt>
                <c:pt idx="144">
                  <c:v>Hawkins Cooker</c:v>
                </c:pt>
                <c:pt idx="145">
                  <c:v>Supreme Industries</c:v>
                </c:pt>
                <c:pt idx="146">
                  <c:v>APL Apollo</c:v>
                </c:pt>
                <c:pt idx="147">
                  <c:v>SBI Bank</c:v>
                </c:pt>
                <c:pt idx="148">
                  <c:v>HUL</c:v>
                </c:pt>
                <c:pt idx="149">
                  <c:v>Solar Industries</c:v>
                </c:pt>
                <c:pt idx="150">
                  <c:v>Godrej Consumer</c:v>
                </c:pt>
                <c:pt idx="151">
                  <c:v>Somany home innovation ltd</c:v>
                </c:pt>
                <c:pt idx="152">
                  <c:v>Sun pharma</c:v>
                </c:pt>
                <c:pt idx="153">
                  <c:v>Axis Bank</c:v>
                </c:pt>
                <c:pt idx="154">
                  <c:v>M&amp;M</c:v>
                </c:pt>
                <c:pt idx="155">
                  <c:v>Federal Bank</c:v>
                </c:pt>
                <c:pt idx="156">
                  <c:v>L&amp;T</c:v>
                </c:pt>
                <c:pt idx="157">
                  <c:v>Abbott India</c:v>
                </c:pt>
                <c:pt idx="158">
                  <c:v>L&amp;T Infotech</c:v>
                </c:pt>
              </c:strCache>
            </c:strRef>
          </c:cat>
          <c:val>
            <c:numRef>
              <c:f>Pivots!$Z$4:$Z$163</c:f>
              <c:numCache>
                <c:formatCode>General</c:formatCode>
                <c:ptCount val="159"/>
                <c:pt idx="0">
                  <c:v>0.25153898768809801</c:v>
                </c:pt>
                <c:pt idx="1">
                  <c:v>1.2114817913923E-2</c:v>
                </c:pt>
                <c:pt idx="2">
                  <c:v>2.5172413793103999E-3</c:v>
                </c:pt>
                <c:pt idx="3">
                  <c:v>6.3362154313247503E-3</c:v>
                </c:pt>
                <c:pt idx="4">
                  <c:v>4.6287128712871203E-2</c:v>
                </c:pt>
                <c:pt idx="5">
                  <c:v>8.9183536561303803E-2</c:v>
                </c:pt>
                <c:pt idx="6">
                  <c:v>1.40172979421413E-2</c:v>
                </c:pt>
                <c:pt idx="7">
                  <c:v>0.108374384236453</c:v>
                </c:pt>
                <c:pt idx="8">
                  <c:v>5.5696738670055E-2</c:v>
                </c:pt>
                <c:pt idx="9">
                  <c:v>0.14926273458445</c:v>
                </c:pt>
                <c:pt idx="10">
                  <c:v>4.8359240069083802E-3</c:v>
                </c:pt>
                <c:pt idx="11">
                  <c:v>9.5164410058027102E-2</c:v>
                </c:pt>
                <c:pt idx="12">
                  <c:v>6.22222222222222E-2</c:v>
                </c:pt>
                <c:pt idx="13">
                  <c:v>1.7256715886852701E-2</c:v>
                </c:pt>
                <c:pt idx="14">
                  <c:v>3.8194444444444399E-2</c:v>
                </c:pt>
                <c:pt idx="15">
                  <c:v>6.2666575548417994E-2</c:v>
                </c:pt>
                <c:pt idx="16">
                  <c:v>1.0491956166939699E-3</c:v>
                </c:pt>
                <c:pt idx="17">
                  <c:v>3.78696546344231E-2</c:v>
                </c:pt>
                <c:pt idx="18">
                  <c:v>0.19105501012934301</c:v>
                </c:pt>
                <c:pt idx="19">
                  <c:v>9.6045197740112307E-3</c:v>
                </c:pt>
                <c:pt idx="20">
                  <c:v>6.2625834481296896E-2</c:v>
                </c:pt>
                <c:pt idx="21">
                  <c:v>5.4856934572625998E-2</c:v>
                </c:pt>
                <c:pt idx="22">
                  <c:v>9.0023734246503298E-2</c:v>
                </c:pt>
                <c:pt idx="23">
                  <c:v>7.2838432550662705E-2</c:v>
                </c:pt>
                <c:pt idx="24">
                  <c:v>5.7062298603651897E-2</c:v>
                </c:pt>
                <c:pt idx="25">
                  <c:v>0.20311220311220299</c:v>
                </c:pt>
                <c:pt idx="26">
                  <c:v>1.4212488350419401E-2</c:v>
                </c:pt>
                <c:pt idx="27">
                  <c:v>6.6987179487179499E-2</c:v>
                </c:pt>
                <c:pt idx="28">
                  <c:v>0.103831417624521</c:v>
                </c:pt>
                <c:pt idx="29">
                  <c:v>0.17910958318367601</c:v>
                </c:pt>
                <c:pt idx="30">
                  <c:v>6.9486404833836696E-2</c:v>
                </c:pt>
                <c:pt idx="31">
                  <c:v>0.42688330871491798</c:v>
                </c:pt>
                <c:pt idx="32">
                  <c:v>0.13129393881816401</c:v>
                </c:pt>
                <c:pt idx="33">
                  <c:v>4.6381264792592199E-2</c:v>
                </c:pt>
                <c:pt idx="34">
                  <c:v>0.11559905835708</c:v>
                </c:pt>
                <c:pt idx="35">
                  <c:v>0.12607121303560601</c:v>
                </c:pt>
                <c:pt idx="36">
                  <c:v>7.4298869820008601E-3</c:v>
                </c:pt>
                <c:pt idx="37">
                  <c:v>0.217899891186071</c:v>
                </c:pt>
                <c:pt idx="38">
                  <c:v>0.210204081632653</c:v>
                </c:pt>
                <c:pt idx="39">
                  <c:v>0.12666284768633401</c:v>
                </c:pt>
                <c:pt idx="40">
                  <c:v>6.1970443349753698E-2</c:v>
                </c:pt>
                <c:pt idx="41">
                  <c:v>0.20499999999999999</c:v>
                </c:pt>
                <c:pt idx="42">
                  <c:v>2.3320073110418098E-2</c:v>
                </c:pt>
                <c:pt idx="43">
                  <c:v>0.15873237470333601</c:v>
                </c:pt>
                <c:pt idx="44">
                  <c:v>1.2924901185770599E-2</c:v>
                </c:pt>
                <c:pt idx="45">
                  <c:v>0.32698382538061399</c:v>
                </c:pt>
                <c:pt idx="46">
                  <c:v>4.7915370255133698E-2</c:v>
                </c:pt>
                <c:pt idx="47">
                  <c:v>2.77777777777777E-2</c:v>
                </c:pt>
                <c:pt idx="48">
                  <c:v>0.174918249096437</c:v>
                </c:pt>
                <c:pt idx="49">
                  <c:v>0.13457408732999199</c:v>
                </c:pt>
                <c:pt idx="50">
                  <c:v>2.0735033115449501E-2</c:v>
                </c:pt>
                <c:pt idx="51">
                  <c:v>8.7105263157894797E-2</c:v>
                </c:pt>
                <c:pt idx="52">
                  <c:v>0.1508078994614</c:v>
                </c:pt>
                <c:pt idx="53">
                  <c:v>0.121342875184171</c:v>
                </c:pt>
                <c:pt idx="54">
                  <c:v>8.0874767897668606E-2</c:v>
                </c:pt>
                <c:pt idx="55">
                  <c:v>0.49141104294478499</c:v>
                </c:pt>
                <c:pt idx="56">
                  <c:v>1.30292088422354E-2</c:v>
                </c:pt>
                <c:pt idx="57">
                  <c:v>3.7527593818984503E-2</c:v>
                </c:pt>
                <c:pt idx="58">
                  <c:v>8.3273481765222299E-2</c:v>
                </c:pt>
                <c:pt idx="59">
                  <c:v>9.5081967213114696E-2</c:v>
                </c:pt>
                <c:pt idx="60">
                  <c:v>4.9136973225044199E-2</c:v>
                </c:pt>
                <c:pt idx="61">
                  <c:v>0.15638104868691</c:v>
                </c:pt>
                <c:pt idx="62">
                  <c:v>0.42774005819592598</c:v>
                </c:pt>
                <c:pt idx="63">
                  <c:v>0.30807506954511599</c:v>
                </c:pt>
                <c:pt idx="64">
                  <c:v>0.35663865546218398</c:v>
                </c:pt>
                <c:pt idx="65">
                  <c:v>6.43754130865829E-2</c:v>
                </c:pt>
                <c:pt idx="66">
                  <c:v>0.24730438380799999</c:v>
                </c:pt>
                <c:pt idx="67">
                  <c:v>0.14501915708812199</c:v>
                </c:pt>
                <c:pt idx="68">
                  <c:v>0.28196612421122502</c:v>
                </c:pt>
                <c:pt idx="69">
                  <c:v>8.1250000000000003E-2</c:v>
                </c:pt>
                <c:pt idx="70">
                  <c:v>6.0158453068349597E-2</c:v>
                </c:pt>
                <c:pt idx="71">
                  <c:v>0.19879518072289101</c:v>
                </c:pt>
                <c:pt idx="72">
                  <c:v>0.22124199965403901</c:v>
                </c:pt>
                <c:pt idx="73">
                  <c:v>0.11626537073853099</c:v>
                </c:pt>
                <c:pt idx="74">
                  <c:v>0.62853258511469101</c:v>
                </c:pt>
                <c:pt idx="75">
                  <c:v>0.109184802655846</c:v>
                </c:pt>
                <c:pt idx="76">
                  <c:v>0.13963414634146301</c:v>
                </c:pt>
                <c:pt idx="77">
                  <c:v>0.21207482993197199</c:v>
                </c:pt>
                <c:pt idx="78">
                  <c:v>7.0820433436532507E-2</c:v>
                </c:pt>
                <c:pt idx="79">
                  <c:v>0.18897637795275499</c:v>
                </c:pt>
                <c:pt idx="80">
                  <c:v>0.15123757552134001</c:v>
                </c:pt>
                <c:pt idx="81">
                  <c:v>0.41798715203426101</c:v>
                </c:pt>
                <c:pt idx="82">
                  <c:v>1.0365019830231601</c:v>
                </c:pt>
                <c:pt idx="83">
                  <c:v>0.44660847880299198</c:v>
                </c:pt>
                <c:pt idx="84">
                  <c:v>0.195257350421492</c:v>
                </c:pt>
                <c:pt idx="85">
                  <c:v>5.1626506024096401E-2</c:v>
                </c:pt>
                <c:pt idx="86">
                  <c:v>0.24264451367255099</c:v>
                </c:pt>
                <c:pt idx="87">
                  <c:v>0.291139240506329</c:v>
                </c:pt>
                <c:pt idx="88">
                  <c:v>0.26088641943403501</c:v>
                </c:pt>
                <c:pt idx="89">
                  <c:v>0.335466004583651</c:v>
                </c:pt>
                <c:pt idx="90">
                  <c:v>0.15464920986334799</c:v>
                </c:pt>
                <c:pt idx="91">
                  <c:v>0.29655083197231602</c:v>
                </c:pt>
                <c:pt idx="92">
                  <c:v>0.26284875183553602</c:v>
                </c:pt>
                <c:pt idx="93">
                  <c:v>0.46553680164849098</c:v>
                </c:pt>
                <c:pt idx="94">
                  <c:v>0.66391412056151899</c:v>
                </c:pt>
                <c:pt idx="95">
                  <c:v>0.10692144474342399</c:v>
                </c:pt>
                <c:pt idx="96">
                  <c:v>1.13408695652173</c:v>
                </c:pt>
                <c:pt idx="97">
                  <c:v>0.21666666666666601</c:v>
                </c:pt>
                <c:pt idx="98">
                  <c:v>0.18393234672304401</c:v>
                </c:pt>
                <c:pt idx="99">
                  <c:v>0.153178400546821</c:v>
                </c:pt>
                <c:pt idx="100">
                  <c:v>0.40352422907489</c:v>
                </c:pt>
                <c:pt idx="101">
                  <c:v>0.27190873726998499</c:v>
                </c:pt>
                <c:pt idx="102">
                  <c:v>0.19460040616413801</c:v>
                </c:pt>
                <c:pt idx="103">
                  <c:v>0.17904761904761901</c:v>
                </c:pt>
                <c:pt idx="104">
                  <c:v>0.3515625</c:v>
                </c:pt>
                <c:pt idx="105">
                  <c:v>0.18205001645277999</c:v>
                </c:pt>
                <c:pt idx="106">
                  <c:v>0.94834307992202704</c:v>
                </c:pt>
                <c:pt idx="107">
                  <c:v>0.36670243752874399</c:v>
                </c:pt>
                <c:pt idx="108">
                  <c:v>4.1642011834319398E-2</c:v>
                </c:pt>
                <c:pt idx="109">
                  <c:v>0.27100591715976302</c:v>
                </c:pt>
                <c:pt idx="110">
                  <c:v>0.34479322929494199</c:v>
                </c:pt>
                <c:pt idx="111">
                  <c:v>0.31605981052391202</c:v>
                </c:pt>
                <c:pt idx="112">
                  <c:v>0.586444984533804</c:v>
                </c:pt>
                <c:pt idx="113">
                  <c:v>0.13206422018348599</c:v>
                </c:pt>
                <c:pt idx="114">
                  <c:v>0.293373415639748</c:v>
                </c:pt>
                <c:pt idx="115">
                  <c:v>0.893065693430657</c:v>
                </c:pt>
                <c:pt idx="116">
                  <c:v>0.456293072179905</c:v>
                </c:pt>
                <c:pt idx="117">
                  <c:v>0.152783999999999</c:v>
                </c:pt>
                <c:pt idx="118">
                  <c:v>0.50457568351048698</c:v>
                </c:pt>
                <c:pt idx="119">
                  <c:v>0.31850581171807901</c:v>
                </c:pt>
                <c:pt idx="120">
                  <c:v>0.30244391711720497</c:v>
                </c:pt>
                <c:pt idx="121">
                  <c:v>0.137715055894711</c:v>
                </c:pt>
                <c:pt idx="122">
                  <c:v>0.39787019776735</c:v>
                </c:pt>
                <c:pt idx="123">
                  <c:v>0.18925561797752799</c:v>
                </c:pt>
                <c:pt idx="124">
                  <c:v>0.128045619491964</c:v>
                </c:pt>
                <c:pt idx="125">
                  <c:v>9.1661557326793305E-2</c:v>
                </c:pt>
                <c:pt idx="126">
                  <c:v>0.29281836130305999</c:v>
                </c:pt>
                <c:pt idx="127">
                  <c:v>0.29416330332194901</c:v>
                </c:pt>
                <c:pt idx="128">
                  <c:v>9.1846812246241694E-2</c:v>
                </c:pt>
                <c:pt idx="129">
                  <c:v>0.242848837209302</c:v>
                </c:pt>
                <c:pt idx="130">
                  <c:v>0.183223864258347</c:v>
                </c:pt>
                <c:pt idx="131">
                  <c:v>0.38097686375321299</c:v>
                </c:pt>
                <c:pt idx="132">
                  <c:v>0.58249999999999902</c:v>
                </c:pt>
                <c:pt idx="133">
                  <c:v>0.36020249221183798</c:v>
                </c:pt>
                <c:pt idx="134">
                  <c:v>0.404863245460098</c:v>
                </c:pt>
                <c:pt idx="135">
                  <c:v>0.40312944523470801</c:v>
                </c:pt>
                <c:pt idx="136">
                  <c:v>0.280183086966308</c:v>
                </c:pt>
                <c:pt idx="137">
                  <c:v>0.25904372444164803</c:v>
                </c:pt>
                <c:pt idx="138">
                  <c:v>0.27256212590539602</c:v>
                </c:pt>
                <c:pt idx="139">
                  <c:v>0.61106259097525395</c:v>
                </c:pt>
                <c:pt idx="140">
                  <c:v>0.87810298102980999</c:v>
                </c:pt>
                <c:pt idx="141">
                  <c:v>0.52472803024458003</c:v>
                </c:pt>
                <c:pt idx="142">
                  <c:v>1.05672969966629</c:v>
                </c:pt>
                <c:pt idx="143">
                  <c:v>0.40383877159309001</c:v>
                </c:pt>
                <c:pt idx="144">
                  <c:v>0.25606999118013801</c:v>
                </c:pt>
                <c:pt idx="145">
                  <c:v>0.47696924231057702</c:v>
                </c:pt>
                <c:pt idx="146">
                  <c:v>0.47341115434500602</c:v>
                </c:pt>
                <c:pt idx="147">
                  <c:v>0.41188235294117598</c:v>
                </c:pt>
                <c:pt idx="148">
                  <c:v>0.37813888669769302</c:v>
                </c:pt>
                <c:pt idx="149">
                  <c:v>1.00828684521191</c:v>
                </c:pt>
                <c:pt idx="150">
                  <c:v>0.38859436534383501</c:v>
                </c:pt>
                <c:pt idx="151">
                  <c:v>0.78509364742228205</c:v>
                </c:pt>
                <c:pt idx="152">
                  <c:v>0.31377420998980599</c:v>
                </c:pt>
                <c:pt idx="153">
                  <c:v>0.51055398301657895</c:v>
                </c:pt>
                <c:pt idx="154">
                  <c:v>0.97802279669224401</c:v>
                </c:pt>
                <c:pt idx="155">
                  <c:v>0.678181818181818</c:v>
                </c:pt>
                <c:pt idx="156">
                  <c:v>0.47841158704008702</c:v>
                </c:pt>
                <c:pt idx="157">
                  <c:v>0.433608353745004</c:v>
                </c:pt>
                <c:pt idx="158">
                  <c:v>3.4322294421873699E-2</c:v>
                </c:pt>
              </c:numCache>
            </c:numRef>
          </c:val>
          <c:smooth val="0"/>
          <c:extLst>
            <c:ext xmlns:c16="http://schemas.microsoft.com/office/drawing/2014/chart" uri="{C3380CC4-5D6E-409C-BE32-E72D297353CC}">
              <c16:uniqueId val="{00000000-FAE6-4100-850D-2DD4CF79B803}"/>
            </c:ext>
          </c:extLst>
        </c:ser>
        <c:dLbls>
          <c:showLegendKey val="0"/>
          <c:showVal val="0"/>
          <c:showCatName val="0"/>
          <c:showSerName val="0"/>
          <c:showPercent val="0"/>
          <c:showBubbleSize val="0"/>
        </c:dLbls>
        <c:marker val="1"/>
        <c:smooth val="0"/>
        <c:axId val="590620272"/>
        <c:axId val="583866880"/>
      </c:lineChart>
      <c:lineChart>
        <c:grouping val="stacked"/>
        <c:varyColors val="0"/>
        <c:ser>
          <c:idx val="0"/>
          <c:order val="0"/>
          <c:tx>
            <c:strRef>
              <c:f>Pivots!$Y$3</c:f>
              <c:strCache>
                <c:ptCount val="1"/>
                <c:pt idx="0">
                  <c:v>Sum of % Below 52 week high</c:v>
                </c:pt>
              </c:strCache>
            </c:strRef>
          </c:tx>
          <c:spPr>
            <a:ln w="28575" cap="rnd">
              <a:solidFill>
                <a:srgbClr val="00B050"/>
              </a:solidFill>
              <a:round/>
            </a:ln>
            <a:effectLst/>
          </c:spPr>
          <c:marker>
            <c:symbol val="none"/>
          </c:marker>
          <c:cat>
            <c:strRef>
              <c:f>Pivots!$X$4:$X$163</c:f>
              <c:strCache>
                <c:ptCount val="159"/>
                <c:pt idx="0">
                  <c:v>Tanla Platform</c:v>
                </c:pt>
                <c:pt idx="1">
                  <c:v>Bajaj Finserv</c:v>
                </c:pt>
                <c:pt idx="2">
                  <c:v>Gland Pharma</c:v>
                </c:pt>
                <c:pt idx="3">
                  <c:v>Lux Industries</c:v>
                </c:pt>
                <c:pt idx="4">
                  <c:v>Zensar Tech</c:v>
                </c:pt>
                <c:pt idx="5">
                  <c:v>Metropolis Healthcare</c:v>
                </c:pt>
                <c:pt idx="6">
                  <c:v>Amber Enterprise</c:v>
                </c:pt>
                <c:pt idx="7">
                  <c:v>Trident</c:v>
                </c:pt>
                <c:pt idx="8">
                  <c:v>stove kraft</c:v>
                </c:pt>
                <c:pt idx="9">
                  <c:v>Mastek</c:v>
                </c:pt>
                <c:pt idx="10">
                  <c:v>Aarti Industries</c:v>
                </c:pt>
                <c:pt idx="11">
                  <c:v>IEX</c:v>
                </c:pt>
                <c:pt idx="12">
                  <c:v>Rossari Biotech</c:v>
                </c:pt>
                <c:pt idx="13">
                  <c:v>Thyrocare</c:v>
                </c:pt>
                <c:pt idx="14">
                  <c:v>Vaibhav Global</c:v>
                </c:pt>
                <c:pt idx="15">
                  <c:v>Polyplex Corporation</c:v>
                </c:pt>
                <c:pt idx="16">
                  <c:v>Krisna dignostic</c:v>
                </c:pt>
                <c:pt idx="17">
                  <c:v>clean science</c:v>
                </c:pt>
                <c:pt idx="18">
                  <c:v>Newgen</c:v>
                </c:pt>
                <c:pt idx="19">
                  <c:v>Lauras Lab</c:v>
                </c:pt>
                <c:pt idx="20">
                  <c:v>Tech Mahindra</c:v>
                </c:pt>
                <c:pt idx="21">
                  <c:v>Laxmi Orgamic</c:v>
                </c:pt>
                <c:pt idx="22">
                  <c:v>Tata Elxsi</c:v>
                </c:pt>
                <c:pt idx="23">
                  <c:v>Mphasis</c:v>
                </c:pt>
                <c:pt idx="24">
                  <c:v>Wipro</c:v>
                </c:pt>
                <c:pt idx="25">
                  <c:v>Latent View</c:v>
                </c:pt>
                <c:pt idx="26">
                  <c:v>Aurobindo Pharma</c:v>
                </c:pt>
                <c:pt idx="27">
                  <c:v>Borosil Renewable</c:v>
                </c:pt>
                <c:pt idx="28">
                  <c:v>Chemcom Speciality</c:v>
                </c:pt>
                <c:pt idx="29">
                  <c:v>L&amp;T Technology</c:v>
                </c:pt>
                <c:pt idx="30">
                  <c:v>Avanti Feed</c:v>
                </c:pt>
                <c:pt idx="31">
                  <c:v>Gujarat Ambuja Export</c:v>
                </c:pt>
                <c:pt idx="32">
                  <c:v>Route Mobile</c:v>
                </c:pt>
                <c:pt idx="33">
                  <c:v>Sheela Form</c:v>
                </c:pt>
                <c:pt idx="34">
                  <c:v>Gujarat Gas</c:v>
                </c:pt>
                <c:pt idx="35">
                  <c:v>Infoedge</c:v>
                </c:pt>
                <c:pt idx="36">
                  <c:v>Heranba</c:v>
                </c:pt>
                <c:pt idx="37">
                  <c:v>Indiamart Intermesh</c:v>
                </c:pt>
                <c:pt idx="38">
                  <c:v>Bhansali Engineering</c:v>
                </c:pt>
                <c:pt idx="39">
                  <c:v>Happiest Mind</c:v>
                </c:pt>
                <c:pt idx="40">
                  <c:v>CDSL</c:v>
                </c:pt>
                <c:pt idx="41">
                  <c:v>Coforge</c:v>
                </c:pt>
                <c:pt idx="42">
                  <c:v>Bharat Rasayan</c:v>
                </c:pt>
                <c:pt idx="43">
                  <c:v>Kansai Nerolac</c:v>
                </c:pt>
                <c:pt idx="44">
                  <c:v>Balaji Amine</c:v>
                </c:pt>
                <c:pt idx="45">
                  <c:v>Gujarat Florochemical</c:v>
                </c:pt>
                <c:pt idx="46">
                  <c:v>Nippon AMC</c:v>
                </c:pt>
                <c:pt idx="47">
                  <c:v>Alembic Pharma</c:v>
                </c:pt>
                <c:pt idx="48">
                  <c:v>Affle India</c:v>
                </c:pt>
                <c:pt idx="49">
                  <c:v>Bandhan Bank</c:v>
                </c:pt>
                <c:pt idx="50">
                  <c:v>Galaxy Surfactant</c:v>
                </c:pt>
                <c:pt idx="51">
                  <c:v>Tata Power</c:v>
                </c:pt>
                <c:pt idx="52">
                  <c:v>IRCTC</c:v>
                </c:pt>
                <c:pt idx="53">
                  <c:v>Muthoot Finance</c:v>
                </c:pt>
                <c:pt idx="54">
                  <c:v>Century Plyboard</c:v>
                </c:pt>
                <c:pt idx="55">
                  <c:v>Mannapuran Finance</c:v>
                </c:pt>
                <c:pt idx="56">
                  <c:v>Atul Ltd</c:v>
                </c:pt>
                <c:pt idx="57">
                  <c:v>Berger Paint</c:v>
                </c:pt>
                <c:pt idx="58">
                  <c:v>Alkyl Amine</c:v>
                </c:pt>
                <c:pt idx="59">
                  <c:v>Orient Electric</c:v>
                </c:pt>
                <c:pt idx="60">
                  <c:v>Divi's Lab</c:v>
                </c:pt>
                <c:pt idx="61">
                  <c:v>Deepak Nitrite</c:v>
                </c:pt>
                <c:pt idx="62">
                  <c:v>HFCL</c:v>
                </c:pt>
                <c:pt idx="63">
                  <c:v>Astec Lifesciences</c:v>
                </c:pt>
                <c:pt idx="64">
                  <c:v>UTI AMC</c:v>
                </c:pt>
                <c:pt idx="65">
                  <c:v>Page Industries</c:v>
                </c:pt>
                <c:pt idx="66">
                  <c:v>GMM Pfaudler</c:v>
                </c:pt>
                <c:pt idx="67">
                  <c:v>Bajaj Finance</c:v>
                </c:pt>
                <c:pt idx="68">
                  <c:v>Gokaldas Export</c:v>
                </c:pt>
                <c:pt idx="69">
                  <c:v>Crompton Greves</c:v>
                </c:pt>
                <c:pt idx="70">
                  <c:v>TTK Prestige</c:v>
                </c:pt>
                <c:pt idx="71">
                  <c:v>SBI Cards</c:v>
                </c:pt>
                <c:pt idx="72">
                  <c:v>Praj Industries</c:v>
                </c:pt>
                <c:pt idx="73">
                  <c:v>CAMS</c:v>
                </c:pt>
                <c:pt idx="74">
                  <c:v>Fine Organics</c:v>
                </c:pt>
                <c:pt idx="75">
                  <c:v>Infosys</c:v>
                </c:pt>
                <c:pt idx="76">
                  <c:v>Heidelberg Cement</c:v>
                </c:pt>
                <c:pt idx="77">
                  <c:v>LIC</c:v>
                </c:pt>
                <c:pt idx="78">
                  <c:v>Advance Enzymes</c:v>
                </c:pt>
                <c:pt idx="79">
                  <c:v>Crisil</c:v>
                </c:pt>
                <c:pt idx="80">
                  <c:v>Prince Pipe</c:v>
                </c:pt>
                <c:pt idx="81">
                  <c:v>Goldiam International</c:v>
                </c:pt>
                <c:pt idx="82">
                  <c:v>Varun Beverage</c:v>
                </c:pt>
                <c:pt idx="83">
                  <c:v>J K Cement</c:v>
                </c:pt>
                <c:pt idx="84">
                  <c:v>Coromandel International</c:v>
                </c:pt>
                <c:pt idx="85">
                  <c:v>IPCA Lab</c:v>
                </c:pt>
                <c:pt idx="86">
                  <c:v>TCI Express</c:v>
                </c:pt>
                <c:pt idx="87">
                  <c:v>Apollo pipes</c:v>
                </c:pt>
                <c:pt idx="88">
                  <c:v>Tata Chemical</c:v>
                </c:pt>
                <c:pt idx="89">
                  <c:v>Endurance Technology</c:v>
                </c:pt>
                <c:pt idx="90">
                  <c:v>Garware technical</c:v>
                </c:pt>
                <c:pt idx="91">
                  <c:v>Persistent System</c:v>
                </c:pt>
                <c:pt idx="92">
                  <c:v>Kajaria Ceramic</c:v>
                </c:pt>
                <c:pt idx="93">
                  <c:v>Eicher Motor</c:v>
                </c:pt>
                <c:pt idx="94">
                  <c:v>Yesbank</c:v>
                </c:pt>
                <c:pt idx="95">
                  <c:v>Bayer Cropscience</c:v>
                </c:pt>
                <c:pt idx="96">
                  <c:v>Data Pattern</c:v>
                </c:pt>
                <c:pt idx="97">
                  <c:v>Cyient</c:v>
                </c:pt>
                <c:pt idx="98">
                  <c:v>Aarti Drugs</c:v>
                </c:pt>
                <c:pt idx="99">
                  <c:v>TCS</c:v>
                </c:pt>
                <c:pt idx="100">
                  <c:v>Granules India</c:v>
                </c:pt>
                <c:pt idx="101">
                  <c:v>Sonata Software</c:v>
                </c:pt>
                <c:pt idx="102">
                  <c:v>Vinita Organics</c:v>
                </c:pt>
                <c:pt idx="103">
                  <c:v>AU Small Finance</c:v>
                </c:pt>
                <c:pt idx="104">
                  <c:v>Finolex Industries</c:v>
                </c:pt>
                <c:pt idx="105">
                  <c:v>UPL</c:v>
                </c:pt>
                <c:pt idx="106">
                  <c:v>TVS</c:v>
                </c:pt>
                <c:pt idx="107">
                  <c:v>Poly Medicure Ltd</c:v>
                </c:pt>
                <c:pt idx="108">
                  <c:v>Pfizer</c:v>
                </c:pt>
                <c:pt idx="109">
                  <c:v>HDFC AMC</c:v>
                </c:pt>
                <c:pt idx="110">
                  <c:v>Shree Cement</c:v>
                </c:pt>
                <c:pt idx="111">
                  <c:v>Amara Raja Batter</c:v>
                </c:pt>
                <c:pt idx="112">
                  <c:v>KEI Industries</c:v>
                </c:pt>
                <c:pt idx="113">
                  <c:v>Reliance</c:v>
                </c:pt>
                <c:pt idx="114">
                  <c:v>Maruti Suzuki</c:v>
                </c:pt>
                <c:pt idx="115">
                  <c:v>Ambuja Cement</c:v>
                </c:pt>
                <c:pt idx="116">
                  <c:v>Tata Steel</c:v>
                </c:pt>
                <c:pt idx="117">
                  <c:v>Bajaj Auto</c:v>
                </c:pt>
                <c:pt idx="118">
                  <c:v>Cera Sanitaryware</c:v>
                </c:pt>
                <c:pt idx="119">
                  <c:v>Balkrishna Industries</c:v>
                </c:pt>
                <c:pt idx="120">
                  <c:v>Polycab</c:v>
                </c:pt>
                <c:pt idx="121">
                  <c:v>Dhanuka Agritech</c:v>
                </c:pt>
                <c:pt idx="122">
                  <c:v>PI industries</c:v>
                </c:pt>
                <c:pt idx="123">
                  <c:v>United Spirits</c:v>
                </c:pt>
                <c:pt idx="124">
                  <c:v>Dabur</c:v>
                </c:pt>
                <c:pt idx="125">
                  <c:v>Kotak Bank</c:v>
                </c:pt>
                <c:pt idx="126">
                  <c:v>HDFC</c:v>
                </c:pt>
                <c:pt idx="127">
                  <c:v>Indraprastha Gas</c:v>
                </c:pt>
                <c:pt idx="128">
                  <c:v>Marico</c:v>
                </c:pt>
                <c:pt idx="129">
                  <c:v>Cipla</c:v>
                </c:pt>
                <c:pt idx="130">
                  <c:v>Dr Reddy</c:v>
                </c:pt>
                <c:pt idx="131">
                  <c:v>LIC Housing Finance</c:v>
                </c:pt>
                <c:pt idx="132">
                  <c:v>KPIT</c:v>
                </c:pt>
                <c:pt idx="133">
                  <c:v>ICICI Bank</c:v>
                </c:pt>
                <c:pt idx="134">
                  <c:v>Ultratech Cement</c:v>
                </c:pt>
                <c:pt idx="135">
                  <c:v>Sumitomo Chemicals</c:v>
                </c:pt>
                <c:pt idx="136">
                  <c:v>Mahangar Gas</c:v>
                </c:pt>
                <c:pt idx="137">
                  <c:v>HDFC Bank</c:v>
                </c:pt>
                <c:pt idx="138">
                  <c:v>Hero Motocorp</c:v>
                </c:pt>
                <c:pt idx="139">
                  <c:v>Finolex Cable</c:v>
                </c:pt>
                <c:pt idx="140">
                  <c:v>craftsman automation</c:v>
                </c:pt>
                <c:pt idx="141">
                  <c:v>Mold tech</c:v>
                </c:pt>
                <c:pt idx="142">
                  <c:v>Bank of Baroda</c:v>
                </c:pt>
                <c:pt idx="143">
                  <c:v>Exide Battery</c:v>
                </c:pt>
                <c:pt idx="144">
                  <c:v>Hawkins Cooker</c:v>
                </c:pt>
                <c:pt idx="145">
                  <c:v>Supreme Industries</c:v>
                </c:pt>
                <c:pt idx="146">
                  <c:v>APL Apollo</c:v>
                </c:pt>
                <c:pt idx="147">
                  <c:v>SBI Bank</c:v>
                </c:pt>
                <c:pt idx="148">
                  <c:v>HUL</c:v>
                </c:pt>
                <c:pt idx="149">
                  <c:v>Solar Industries</c:v>
                </c:pt>
                <c:pt idx="150">
                  <c:v>Godrej Consumer</c:v>
                </c:pt>
                <c:pt idx="151">
                  <c:v>Somany home innovation ltd</c:v>
                </c:pt>
                <c:pt idx="152">
                  <c:v>Sun pharma</c:v>
                </c:pt>
                <c:pt idx="153">
                  <c:v>Axis Bank</c:v>
                </c:pt>
                <c:pt idx="154">
                  <c:v>M&amp;M</c:v>
                </c:pt>
                <c:pt idx="155">
                  <c:v>Federal Bank</c:v>
                </c:pt>
                <c:pt idx="156">
                  <c:v>L&amp;T</c:v>
                </c:pt>
                <c:pt idx="157">
                  <c:v>Abbott India</c:v>
                </c:pt>
                <c:pt idx="158">
                  <c:v>L&amp;T Infotech</c:v>
                </c:pt>
              </c:strCache>
            </c:strRef>
          </c:cat>
          <c:val>
            <c:numRef>
              <c:f>Pivots!$Y$4:$Y$163</c:f>
              <c:numCache>
                <c:formatCode>General</c:formatCode>
                <c:ptCount val="159"/>
                <c:pt idx="0">
                  <c:v>0.65054430863254298</c:v>
                </c:pt>
                <c:pt idx="1">
                  <c:v>0.62649696579130998</c:v>
                </c:pt>
                <c:pt idx="2">
                  <c:v>0.61482001616343596</c:v>
                </c:pt>
                <c:pt idx="3">
                  <c:v>0.61154140127388501</c:v>
                </c:pt>
                <c:pt idx="4">
                  <c:v>0.57397702076194301</c:v>
                </c:pt>
                <c:pt idx="5">
                  <c:v>0.56077339274347504</c:v>
                </c:pt>
                <c:pt idx="6">
                  <c:v>0.53524784710399698</c:v>
                </c:pt>
                <c:pt idx="7">
                  <c:v>0.52397743300423105</c:v>
                </c:pt>
                <c:pt idx="8">
                  <c:v>0.50149999999999995</c:v>
                </c:pt>
                <c:pt idx="9">
                  <c:v>0.497280736473313</c:v>
                </c:pt>
                <c:pt idx="10">
                  <c:v>0.47960644007155601</c:v>
                </c:pt>
                <c:pt idx="11">
                  <c:v>0.47949990807133602</c:v>
                </c:pt>
                <c:pt idx="12">
                  <c:v>0.478545454545454</c:v>
                </c:pt>
                <c:pt idx="13">
                  <c:v>0.473965041398344</c:v>
                </c:pt>
                <c:pt idx="14">
                  <c:v>0.472197705207413</c:v>
                </c:pt>
                <c:pt idx="15">
                  <c:v>0.45818815331010398</c:v>
                </c:pt>
                <c:pt idx="16">
                  <c:v>0.448136246786632</c:v>
                </c:pt>
                <c:pt idx="17">
                  <c:v>0.44226371951219501</c:v>
                </c:pt>
                <c:pt idx="18">
                  <c:v>0.43047690014903101</c:v>
                </c:pt>
                <c:pt idx="19">
                  <c:v>0.42934695832668002</c:v>
                </c:pt>
                <c:pt idx="20">
                  <c:v>0.42729868646487701</c:v>
                </c:pt>
                <c:pt idx="21">
                  <c:v>0.42304625199362</c:v>
                </c:pt>
                <c:pt idx="22">
                  <c:v>0.42165427509293602</c:v>
                </c:pt>
                <c:pt idx="23">
                  <c:v>0.41277694438033602</c:v>
                </c:pt>
                <c:pt idx="24">
                  <c:v>0.40893393393393301</c:v>
                </c:pt>
                <c:pt idx="25">
                  <c:v>0.405166828636216</c:v>
                </c:pt>
                <c:pt idx="26">
                  <c:v>0.40201936946218803</c:v>
                </c:pt>
                <c:pt idx="27">
                  <c:v>0.40054021608643398</c:v>
                </c:pt>
                <c:pt idx="28">
                  <c:v>0.39721728214248297</c:v>
                </c:pt>
                <c:pt idx="29">
                  <c:v>0.39675358767938401</c:v>
                </c:pt>
                <c:pt idx="30">
                  <c:v>0.39041953663118301</c:v>
                </c:pt>
                <c:pt idx="31">
                  <c:v>0.386822394312555</c:v>
                </c:pt>
                <c:pt idx="32">
                  <c:v>0.379468473163105</c:v>
                </c:pt>
                <c:pt idx="33">
                  <c:v>0.378391711889491</c:v>
                </c:pt>
                <c:pt idx="34">
                  <c:v>0.37628151842615598</c:v>
                </c:pt>
                <c:pt idx="35">
                  <c:v>0.355474956822107</c:v>
                </c:pt>
                <c:pt idx="36">
                  <c:v>0.353154605926224</c:v>
                </c:pt>
                <c:pt idx="37">
                  <c:v>0.35104185540858801</c:v>
                </c:pt>
                <c:pt idx="38">
                  <c:v>0.34978070175438603</c:v>
                </c:pt>
                <c:pt idx="39">
                  <c:v>0.34915615692907298</c:v>
                </c:pt>
                <c:pt idx="40">
                  <c:v>0.34830713422007198</c:v>
                </c:pt>
                <c:pt idx="41">
                  <c:v>0.340159669742924</c:v>
                </c:pt>
                <c:pt idx="42">
                  <c:v>0.33732741995000998</c:v>
                </c:pt>
                <c:pt idx="43">
                  <c:v>0.33493589743589702</c:v>
                </c:pt>
                <c:pt idx="44">
                  <c:v>0.33295157280997401</c:v>
                </c:pt>
                <c:pt idx="45">
                  <c:v>0.33056950119220202</c:v>
                </c:pt>
                <c:pt idx="46">
                  <c:v>0.32675906183368802</c:v>
                </c:pt>
                <c:pt idx="47">
                  <c:v>0.32547399124939203</c:v>
                </c:pt>
                <c:pt idx="48">
                  <c:v>0.322303110522832</c:v>
                </c:pt>
                <c:pt idx="49">
                  <c:v>0.31983979402088403</c:v>
                </c:pt>
                <c:pt idx="50">
                  <c:v>0.31603602558338501</c:v>
                </c:pt>
                <c:pt idx="51">
                  <c:v>0.30687919463087199</c:v>
                </c:pt>
                <c:pt idx="52">
                  <c:v>0.30223697817449502</c:v>
                </c:pt>
                <c:pt idx="53">
                  <c:v>0.301952306079664</c:v>
                </c:pt>
                <c:pt idx="54">
                  <c:v>0.30053404539385797</c:v>
                </c:pt>
                <c:pt idx="55">
                  <c:v>0.30043165467625899</c:v>
                </c:pt>
                <c:pt idx="56">
                  <c:v>0.29080025785063002</c:v>
                </c:pt>
                <c:pt idx="57">
                  <c:v>0.28882163797994997</c:v>
                </c:pt>
                <c:pt idx="58">
                  <c:v>0.28510111649462799</c:v>
                </c:pt>
                <c:pt idx="59">
                  <c:v>0.28210639441160601</c:v>
                </c:pt>
                <c:pt idx="60">
                  <c:v>0.28188731790916799</c:v>
                </c:pt>
                <c:pt idx="61">
                  <c:v>0.27731826545974902</c:v>
                </c:pt>
                <c:pt idx="62">
                  <c:v>0.27380365071534202</c:v>
                </c:pt>
                <c:pt idx="63">
                  <c:v>0.269660709207446</c:v>
                </c:pt>
                <c:pt idx="64">
                  <c:v>0.26353724738834899</c:v>
                </c:pt>
                <c:pt idx="65">
                  <c:v>0.25923336356995702</c:v>
                </c:pt>
                <c:pt idx="66">
                  <c:v>0.2571327014218</c:v>
                </c:pt>
                <c:pt idx="67">
                  <c:v>0.25705407085145998</c:v>
                </c:pt>
                <c:pt idx="68">
                  <c:v>0.25704936964680902</c:v>
                </c:pt>
                <c:pt idx="69">
                  <c:v>0.25356787255227298</c:v>
                </c:pt>
                <c:pt idx="70">
                  <c:v>0.24802362129726599</c:v>
                </c:pt>
                <c:pt idx="71">
                  <c:v>0.23584309531910699</c:v>
                </c:pt>
                <c:pt idx="72">
                  <c:v>0.23510292524376999</c:v>
                </c:pt>
                <c:pt idx="73">
                  <c:v>0.23472993437657699</c:v>
                </c:pt>
                <c:pt idx="74">
                  <c:v>0.23179259764625601</c:v>
                </c:pt>
                <c:pt idx="75">
                  <c:v>0.23043456006551599</c:v>
                </c:pt>
                <c:pt idx="76">
                  <c:v>0.22768595041322301</c:v>
                </c:pt>
                <c:pt idx="77">
                  <c:v>0.22532608695652101</c:v>
                </c:pt>
                <c:pt idx="78">
                  <c:v>0.220343758805297</c:v>
                </c:pt>
                <c:pt idx="79">
                  <c:v>0.218335468675182</c:v>
                </c:pt>
                <c:pt idx="80">
                  <c:v>0.21029411764705799</c:v>
                </c:pt>
                <c:pt idx="81">
                  <c:v>0.209445585215605</c:v>
                </c:pt>
                <c:pt idx="82">
                  <c:v>0.20756956810167199</c:v>
                </c:pt>
                <c:pt idx="83">
                  <c:v>0.20453890983887499</c:v>
                </c:pt>
                <c:pt idx="84">
                  <c:v>0.20292504570383901</c:v>
                </c:pt>
                <c:pt idx="85">
                  <c:v>0.202876712328767</c:v>
                </c:pt>
                <c:pt idx="86">
                  <c:v>0.201867496665184</c:v>
                </c:pt>
                <c:pt idx="87">
                  <c:v>0.197734780556866</c:v>
                </c:pt>
                <c:pt idx="88">
                  <c:v>0.19664100769769</c:v>
                </c:pt>
                <c:pt idx="89">
                  <c:v>0.19448204360222299</c:v>
                </c:pt>
                <c:pt idx="90">
                  <c:v>0.19438859075595499</c:v>
                </c:pt>
                <c:pt idx="91">
                  <c:v>0.19075494549858699</c:v>
                </c:pt>
                <c:pt idx="92">
                  <c:v>0.186642901313157</c:v>
                </c:pt>
                <c:pt idx="93">
                  <c:v>0.18632781869834</c:v>
                </c:pt>
                <c:pt idx="94">
                  <c:v>0.185858585858585</c:v>
                </c:pt>
                <c:pt idx="95">
                  <c:v>0.17620748974460701</c:v>
                </c:pt>
                <c:pt idx="96">
                  <c:v>0.17087837837837799</c:v>
                </c:pt>
                <c:pt idx="97">
                  <c:v>0.16718163236202799</c:v>
                </c:pt>
                <c:pt idx="98">
                  <c:v>0.16635653144771101</c:v>
                </c:pt>
                <c:pt idx="99">
                  <c:v>0.16593746137683801</c:v>
                </c:pt>
                <c:pt idx="100">
                  <c:v>0.16432786885245801</c:v>
                </c:pt>
                <c:pt idx="101">
                  <c:v>0.16198704103671699</c:v>
                </c:pt>
                <c:pt idx="102">
                  <c:v>0.15860328144720201</c:v>
                </c:pt>
                <c:pt idx="103">
                  <c:v>0.15550219651286501</c:v>
                </c:pt>
                <c:pt idx="104">
                  <c:v>0.15403422982885001</c:v>
                </c:pt>
                <c:pt idx="105">
                  <c:v>0.152771226415094</c:v>
                </c:pt>
                <c:pt idx="106">
                  <c:v>0.15080713678844501</c:v>
                </c:pt>
                <c:pt idx="107">
                  <c:v>0.146399846801991</c:v>
                </c:pt>
                <c:pt idx="108">
                  <c:v>0.14581185176199399</c:v>
                </c:pt>
                <c:pt idx="109">
                  <c:v>0.14331864318902399</c:v>
                </c:pt>
                <c:pt idx="110">
                  <c:v>0.140021656062355</c:v>
                </c:pt>
                <c:pt idx="111">
                  <c:v>0.13716979720122699</c:v>
                </c:pt>
                <c:pt idx="112">
                  <c:v>0.13618454690366599</c:v>
                </c:pt>
                <c:pt idx="113">
                  <c:v>0.135934737321219</c:v>
                </c:pt>
                <c:pt idx="114">
                  <c:v>0.13458900603951199</c:v>
                </c:pt>
                <c:pt idx="115">
                  <c:v>0.132826214160327</c:v>
                </c:pt>
                <c:pt idx="116">
                  <c:v>0.13114044579095399</c:v>
                </c:pt>
                <c:pt idx="117">
                  <c:v>0.12810552429357999</c:v>
                </c:pt>
                <c:pt idx="118">
                  <c:v>0.12754719468683801</c:v>
                </c:pt>
                <c:pt idx="119">
                  <c:v>0.12155904549843299</c:v>
                </c:pt>
                <c:pt idx="120">
                  <c:v>0.12</c:v>
                </c:pt>
                <c:pt idx="121">
                  <c:v>0.11963190184049</c:v>
                </c:pt>
                <c:pt idx="122">
                  <c:v>0.118008895618434</c:v>
                </c:pt>
                <c:pt idx="123">
                  <c:v>0.116127348643006</c:v>
                </c:pt>
                <c:pt idx="124">
                  <c:v>0.109291854277527</c:v>
                </c:pt>
                <c:pt idx="125">
                  <c:v>0.10865810618007</c:v>
                </c:pt>
                <c:pt idx="126">
                  <c:v>0.107215897470856</c:v>
                </c:pt>
                <c:pt idx="127">
                  <c:v>0.106718097074895</c:v>
                </c:pt>
                <c:pt idx="128">
                  <c:v>0.10255253900965</c:v>
                </c:pt>
                <c:pt idx="129">
                  <c:v>9.8207129297616602E-2</c:v>
                </c:pt>
                <c:pt idx="130">
                  <c:v>9.1625346667787197E-2</c:v>
                </c:pt>
                <c:pt idx="131">
                  <c:v>9.15445321307779E-2</c:v>
                </c:pt>
                <c:pt idx="132">
                  <c:v>8.8910696761530905E-2</c:v>
                </c:pt>
                <c:pt idx="133">
                  <c:v>8.8465553235908101E-2</c:v>
                </c:pt>
                <c:pt idx="134">
                  <c:v>8.8226780770198798E-2</c:v>
                </c:pt>
                <c:pt idx="135">
                  <c:v>8.8017751479289794E-2</c:v>
                </c:pt>
                <c:pt idx="136">
                  <c:v>7.7783783783783797E-2</c:v>
                </c:pt>
                <c:pt idx="137">
                  <c:v>7.0321119563323806E-2</c:v>
                </c:pt>
                <c:pt idx="138">
                  <c:v>7.0305587694820607E-2</c:v>
                </c:pt>
                <c:pt idx="139">
                  <c:v>6.8193298535106903E-2</c:v>
                </c:pt>
                <c:pt idx="140">
                  <c:v>6.5998194045741795E-2</c:v>
                </c:pt>
                <c:pt idx="141">
                  <c:v>6.5935624143309404E-2</c:v>
                </c:pt>
                <c:pt idx="142">
                  <c:v>6.2373225152129702E-2</c:v>
                </c:pt>
                <c:pt idx="143">
                  <c:v>5.8444902162718797E-2</c:v>
                </c:pt>
                <c:pt idx="144">
                  <c:v>5.74721387547069E-2</c:v>
                </c:pt>
                <c:pt idx="145">
                  <c:v>5.62383755488658E-2</c:v>
                </c:pt>
                <c:pt idx="146">
                  <c:v>4.8456673786488998E-2</c:v>
                </c:pt>
                <c:pt idx="147">
                  <c:v>4.70102437862304E-2</c:v>
                </c:pt>
                <c:pt idx="148">
                  <c:v>4.4134811788736503E-2</c:v>
                </c:pt>
                <c:pt idx="149">
                  <c:v>4.3640251766443497E-2</c:v>
                </c:pt>
                <c:pt idx="150">
                  <c:v>4.0705279129388303E-2</c:v>
                </c:pt>
                <c:pt idx="151">
                  <c:v>3.7781015820149803E-2</c:v>
                </c:pt>
                <c:pt idx="152">
                  <c:v>3.7256641299780603E-2</c:v>
                </c:pt>
                <c:pt idx="153">
                  <c:v>3.7216494845360798E-2</c:v>
                </c:pt>
                <c:pt idx="154">
                  <c:v>2.8539021623797099E-2</c:v>
                </c:pt>
                <c:pt idx="155">
                  <c:v>2.67135325131811E-2</c:v>
                </c:pt>
                <c:pt idx="156">
                  <c:v>2.5672924677674701E-2</c:v>
                </c:pt>
                <c:pt idx="157">
                  <c:v>1.1467176318947499E-2</c:v>
                </c:pt>
                <c:pt idx="158">
                  <c:v>8.03587026145651E-4</c:v>
                </c:pt>
              </c:numCache>
            </c:numRef>
          </c:val>
          <c:smooth val="0"/>
          <c:extLst>
            <c:ext xmlns:c16="http://schemas.microsoft.com/office/drawing/2014/chart" uri="{C3380CC4-5D6E-409C-BE32-E72D297353CC}">
              <c16:uniqueId val="{00000001-FAE6-4100-850D-2DD4CF79B803}"/>
            </c:ext>
          </c:extLst>
        </c:ser>
        <c:dLbls>
          <c:showLegendKey val="0"/>
          <c:showVal val="0"/>
          <c:showCatName val="0"/>
          <c:showSerName val="0"/>
          <c:showPercent val="0"/>
          <c:showBubbleSize val="0"/>
        </c:dLbls>
        <c:marker val="1"/>
        <c:smooth val="0"/>
        <c:axId val="534618720"/>
        <c:axId val="471613168"/>
      </c:lineChart>
      <c:catAx>
        <c:axId val="59062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100" b="1" i="0" u="none" strike="noStrike" kern="1200" baseline="0">
                <a:solidFill>
                  <a:schemeClr val="bg2">
                    <a:lumMod val="65000"/>
                  </a:schemeClr>
                </a:solidFill>
                <a:latin typeface="+mn-lt"/>
                <a:ea typeface="+mn-ea"/>
                <a:cs typeface="+mn-cs"/>
              </a:defRPr>
            </a:pPr>
            <a:endParaRPr lang="en-US"/>
          </a:p>
        </c:txPr>
        <c:crossAx val="583866880"/>
        <c:crosses val="autoZero"/>
        <c:auto val="1"/>
        <c:lblAlgn val="ctr"/>
        <c:lblOffset val="100"/>
        <c:noMultiLvlLbl val="0"/>
      </c:catAx>
      <c:valAx>
        <c:axId val="583866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100" b="1" i="0" u="none" strike="noStrike" kern="1200" baseline="0">
                <a:solidFill>
                  <a:schemeClr val="bg2">
                    <a:lumMod val="65000"/>
                  </a:schemeClr>
                </a:solidFill>
                <a:latin typeface="+mn-lt"/>
                <a:ea typeface="+mn-ea"/>
                <a:cs typeface="+mn-cs"/>
              </a:defRPr>
            </a:pPr>
            <a:endParaRPr lang="en-US"/>
          </a:p>
        </c:txPr>
        <c:crossAx val="590620272"/>
        <c:crosses val="autoZero"/>
        <c:crossBetween val="between"/>
      </c:valAx>
      <c:valAx>
        <c:axId val="47161316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1100" b="1" i="0" u="none" strike="noStrike" kern="1200" baseline="0">
                <a:solidFill>
                  <a:schemeClr val="bg2">
                    <a:lumMod val="65000"/>
                  </a:schemeClr>
                </a:solidFill>
                <a:latin typeface="+mn-lt"/>
                <a:ea typeface="+mn-ea"/>
                <a:cs typeface="+mn-cs"/>
              </a:defRPr>
            </a:pPr>
            <a:endParaRPr lang="en-US"/>
          </a:p>
        </c:txPr>
        <c:crossAx val="534618720"/>
        <c:crosses val="max"/>
        <c:crossBetween val="between"/>
      </c:valAx>
      <c:catAx>
        <c:axId val="534618720"/>
        <c:scaling>
          <c:orientation val="minMax"/>
        </c:scaling>
        <c:delete val="1"/>
        <c:axPos val="b"/>
        <c:numFmt formatCode="General" sourceLinked="1"/>
        <c:majorTickMark val="out"/>
        <c:minorTickMark val="none"/>
        <c:tickLblPos val="nextTo"/>
        <c:crossAx val="471613168"/>
        <c:crosses val="autoZero"/>
        <c:auto val="1"/>
        <c:lblAlgn val="ctr"/>
        <c:lblOffset val="100"/>
        <c:noMultiLvlLbl val="0"/>
      </c:catAx>
      <c:spPr>
        <a:noFill/>
        <a:ln>
          <a:noFill/>
        </a:ln>
        <a:effectLst/>
      </c:spPr>
    </c:plotArea>
    <c:legend>
      <c:legendPos val="t"/>
      <c:layout>
        <c:manualLayout>
          <c:xMode val="edge"/>
          <c:yMode val="edge"/>
          <c:x val="0.35463936061947687"/>
          <c:y val="0"/>
          <c:w val="0.33678109976071552"/>
          <c:h val="9.313331340190488E-2"/>
        </c:manualLayout>
      </c:layout>
      <c:overlay val="0"/>
      <c:spPr>
        <a:noFill/>
        <a:ln>
          <a:noFill/>
        </a:ln>
        <a:effectLst/>
      </c:spPr>
      <c:txPr>
        <a:bodyPr rot="0" spcFirstLastPara="1" vertOverflow="ellipsis" vert="horz" wrap="square" anchor="ctr" anchorCtr="1"/>
        <a:lstStyle/>
        <a:p>
          <a:pPr algn="ctr">
            <a:defRPr lang="en-US" sz="1000" b="1" i="0" u="none" strike="noStrike" kern="1200" baseline="0">
              <a:solidFill>
                <a:schemeClr val="bg2">
                  <a:lumMod val="6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[Stock Market Tracking.xlsx]Pivots!PivotTable12</c:name>
    <c:fmtId val="14"/>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061281097907312E-2"/>
          <c:y val="7.0059614297538111E-2"/>
          <c:w val="0.92875734972764556"/>
          <c:h val="0.54281641349129717"/>
        </c:manualLayout>
      </c:layout>
      <c:barChart>
        <c:barDir val="col"/>
        <c:grouping val="stacked"/>
        <c:varyColors val="0"/>
        <c:ser>
          <c:idx val="0"/>
          <c:order val="0"/>
          <c:tx>
            <c:strRef>
              <c:f>Pivots!$AC$3</c:f>
              <c:strCache>
                <c:ptCount val="1"/>
                <c:pt idx="0">
                  <c:v>Sum of 52 Week High</c:v>
                </c:pt>
              </c:strCache>
            </c:strRef>
          </c:tx>
          <c:spPr>
            <a:solidFill>
              <a:srgbClr val="00B050"/>
            </a:solidFill>
            <a:ln>
              <a:noFill/>
            </a:ln>
            <a:effectLst>
              <a:outerShdw blurRad="57150" dist="19050" dir="5400000" algn="ctr" rotWithShape="0">
                <a:srgbClr val="000000">
                  <a:alpha val="63000"/>
                </a:srgbClr>
              </a:outerShdw>
            </a:effectLst>
          </c:spPr>
          <c:invertIfNegative val="0"/>
          <c:cat>
            <c:strRef>
              <c:f>Pivots!$AB$4:$AB$163</c:f>
              <c:strCache>
                <c:ptCount val="159"/>
                <c:pt idx="0">
                  <c:v>Page Industries</c:v>
                </c:pt>
                <c:pt idx="1">
                  <c:v>Shree Cement</c:v>
                </c:pt>
                <c:pt idx="2">
                  <c:v>Abbott India</c:v>
                </c:pt>
                <c:pt idx="3">
                  <c:v>Bharat Rasayan</c:v>
                </c:pt>
                <c:pt idx="4">
                  <c:v>Atul Ltd</c:v>
                </c:pt>
                <c:pt idx="5">
                  <c:v>Maruti Suzuki</c:v>
                </c:pt>
                <c:pt idx="6">
                  <c:v>Tata Elxsi</c:v>
                </c:pt>
                <c:pt idx="7">
                  <c:v>Bajaj Finance</c:v>
                </c:pt>
                <c:pt idx="8">
                  <c:v>Ultratech Cement</c:v>
                </c:pt>
                <c:pt idx="9">
                  <c:v>Hawkins Cooker</c:v>
                </c:pt>
                <c:pt idx="10">
                  <c:v>Bayer Cropscience</c:v>
                </c:pt>
                <c:pt idx="11">
                  <c:v>L&amp;T Infotech</c:v>
                </c:pt>
                <c:pt idx="12">
                  <c:v>Pfizer</c:v>
                </c:pt>
                <c:pt idx="13">
                  <c:v>Indiamart Intermesh</c:v>
                </c:pt>
                <c:pt idx="14">
                  <c:v>Dr Reddy</c:v>
                </c:pt>
                <c:pt idx="15">
                  <c:v>Cera Sanitaryware</c:v>
                </c:pt>
                <c:pt idx="16">
                  <c:v>Fine Organics</c:v>
                </c:pt>
                <c:pt idx="17">
                  <c:v>Infoedge</c:v>
                </c:pt>
                <c:pt idx="18">
                  <c:v>Coforge</c:v>
                </c:pt>
                <c:pt idx="19">
                  <c:v>Divi's Lab</c:v>
                </c:pt>
                <c:pt idx="20">
                  <c:v>Bajaj Auto</c:v>
                </c:pt>
                <c:pt idx="21">
                  <c:v>Persistent System</c:v>
                </c:pt>
                <c:pt idx="22">
                  <c:v>TCS</c:v>
                </c:pt>
                <c:pt idx="23">
                  <c:v>L&amp;T Technology</c:v>
                </c:pt>
                <c:pt idx="24">
                  <c:v>Garware technical</c:v>
                </c:pt>
                <c:pt idx="25">
                  <c:v>Crisil</c:v>
                </c:pt>
                <c:pt idx="26">
                  <c:v>Balaji Amine</c:v>
                </c:pt>
                <c:pt idx="27">
                  <c:v>Alkyl Amine</c:v>
                </c:pt>
                <c:pt idx="28">
                  <c:v>PI industries</c:v>
                </c:pt>
                <c:pt idx="29">
                  <c:v>Galaxy Surfactant</c:v>
                </c:pt>
                <c:pt idx="30">
                  <c:v>Reliance</c:v>
                </c:pt>
                <c:pt idx="31">
                  <c:v>Solar Industries</c:v>
                </c:pt>
                <c:pt idx="32">
                  <c:v>Eicher Motor</c:v>
                </c:pt>
                <c:pt idx="33">
                  <c:v>Hero Motocorp</c:v>
                </c:pt>
                <c:pt idx="34">
                  <c:v>Gujarat Florochemical</c:v>
                </c:pt>
                <c:pt idx="35">
                  <c:v>Polycab</c:v>
                </c:pt>
                <c:pt idx="36">
                  <c:v>CAMS</c:v>
                </c:pt>
                <c:pt idx="37">
                  <c:v>HDFC</c:v>
                </c:pt>
                <c:pt idx="38">
                  <c:v>J K Cement</c:v>
                </c:pt>
                <c:pt idx="39">
                  <c:v>HUL</c:v>
                </c:pt>
                <c:pt idx="40">
                  <c:v>Mphasis</c:v>
                </c:pt>
                <c:pt idx="41">
                  <c:v>craftsman automation</c:v>
                </c:pt>
                <c:pt idx="42">
                  <c:v>Amber Enterprise</c:v>
                </c:pt>
                <c:pt idx="43">
                  <c:v>Balkrishna Industries</c:v>
                </c:pt>
                <c:pt idx="44">
                  <c:v>HDFC AMC</c:v>
                </c:pt>
                <c:pt idx="45">
                  <c:v>Deepak Nitrite</c:v>
                </c:pt>
                <c:pt idx="46">
                  <c:v>Vinita Organics</c:v>
                </c:pt>
                <c:pt idx="47">
                  <c:v>Supreme Industries</c:v>
                </c:pt>
                <c:pt idx="48">
                  <c:v>Kotak Bank</c:v>
                </c:pt>
                <c:pt idx="49">
                  <c:v>Lux Industries</c:v>
                </c:pt>
                <c:pt idx="50">
                  <c:v>Mastek</c:v>
                </c:pt>
                <c:pt idx="51">
                  <c:v>Polyplex Corporation</c:v>
                </c:pt>
                <c:pt idx="52">
                  <c:v>L&amp;T</c:v>
                </c:pt>
                <c:pt idx="53">
                  <c:v>Gland Pharma</c:v>
                </c:pt>
                <c:pt idx="54">
                  <c:v>TCI Express</c:v>
                </c:pt>
                <c:pt idx="55">
                  <c:v>clean science</c:v>
                </c:pt>
                <c:pt idx="56">
                  <c:v>Bajaj Finserv</c:v>
                </c:pt>
                <c:pt idx="57">
                  <c:v>Infosys</c:v>
                </c:pt>
                <c:pt idx="58">
                  <c:v>Astec Lifesciences</c:v>
                </c:pt>
                <c:pt idx="59">
                  <c:v>HDFC Bank</c:v>
                </c:pt>
                <c:pt idx="60">
                  <c:v>Metropolis Healthcare</c:v>
                </c:pt>
                <c:pt idx="61">
                  <c:v>GMM Pfaudler</c:v>
                </c:pt>
                <c:pt idx="62">
                  <c:v>Sheela Form</c:v>
                </c:pt>
                <c:pt idx="63">
                  <c:v>Route Mobile</c:v>
                </c:pt>
                <c:pt idx="64">
                  <c:v>Endurance Technology</c:v>
                </c:pt>
                <c:pt idx="65">
                  <c:v>CDSL</c:v>
                </c:pt>
                <c:pt idx="66">
                  <c:v>Muthoot Finance</c:v>
                </c:pt>
                <c:pt idx="67">
                  <c:v>Tech Mahindra</c:v>
                </c:pt>
                <c:pt idx="68">
                  <c:v>KEI Industries</c:v>
                </c:pt>
                <c:pt idx="69">
                  <c:v>Kajaria Ceramic</c:v>
                </c:pt>
                <c:pt idx="70">
                  <c:v>Affle India</c:v>
                </c:pt>
                <c:pt idx="71">
                  <c:v>Cipla</c:v>
                </c:pt>
                <c:pt idx="72">
                  <c:v>IPCA Lab</c:v>
                </c:pt>
                <c:pt idx="73">
                  <c:v>Happiest Mind</c:v>
                </c:pt>
                <c:pt idx="74">
                  <c:v>Sun pharma</c:v>
                </c:pt>
                <c:pt idx="75">
                  <c:v>Tata Chemical</c:v>
                </c:pt>
                <c:pt idx="76">
                  <c:v>APL Apollo</c:v>
                </c:pt>
                <c:pt idx="77">
                  <c:v>TTK Prestige</c:v>
                </c:pt>
                <c:pt idx="78">
                  <c:v>Coromandel International</c:v>
                </c:pt>
                <c:pt idx="79">
                  <c:v>Cyient</c:v>
                </c:pt>
                <c:pt idx="80">
                  <c:v>United Spirits</c:v>
                </c:pt>
                <c:pt idx="81">
                  <c:v>Rossari Biotech</c:v>
                </c:pt>
                <c:pt idx="82">
                  <c:v>M&amp;M</c:v>
                </c:pt>
                <c:pt idx="83">
                  <c:v>Mahangar Gas</c:v>
                </c:pt>
                <c:pt idx="84">
                  <c:v>Godrej Consumer</c:v>
                </c:pt>
                <c:pt idx="85">
                  <c:v>SBI Cards</c:v>
                </c:pt>
                <c:pt idx="86">
                  <c:v>Poly Medicure Ltd</c:v>
                </c:pt>
                <c:pt idx="87">
                  <c:v>Mold tech</c:v>
                </c:pt>
                <c:pt idx="88">
                  <c:v>ICICI Bank</c:v>
                </c:pt>
                <c:pt idx="89">
                  <c:v>Dhanuka Agritech</c:v>
                </c:pt>
                <c:pt idx="90">
                  <c:v>Axis Bank</c:v>
                </c:pt>
                <c:pt idx="91">
                  <c:v>UPL</c:v>
                </c:pt>
                <c:pt idx="92">
                  <c:v>UTI AMC</c:v>
                </c:pt>
                <c:pt idx="93">
                  <c:v>LIC</c:v>
                </c:pt>
                <c:pt idx="94">
                  <c:v>Tanla Platform</c:v>
                </c:pt>
                <c:pt idx="95">
                  <c:v>Aarti Industries</c:v>
                </c:pt>
                <c:pt idx="96">
                  <c:v>Data Pattern</c:v>
                </c:pt>
                <c:pt idx="97">
                  <c:v>Thyrocare</c:v>
                </c:pt>
                <c:pt idx="98">
                  <c:v>Varun Beverage</c:v>
                </c:pt>
                <c:pt idx="99">
                  <c:v>IRCTC</c:v>
                </c:pt>
                <c:pt idx="100">
                  <c:v>Berger Paint</c:v>
                </c:pt>
                <c:pt idx="101">
                  <c:v>Alembic Pharma</c:v>
                </c:pt>
                <c:pt idx="102">
                  <c:v>AU Small Finance</c:v>
                </c:pt>
                <c:pt idx="103">
                  <c:v>Prince Pipe</c:v>
                </c:pt>
                <c:pt idx="104">
                  <c:v>TVS</c:v>
                </c:pt>
                <c:pt idx="105">
                  <c:v>Century Plyboard</c:v>
                </c:pt>
                <c:pt idx="106">
                  <c:v>Dabur</c:v>
                </c:pt>
                <c:pt idx="107">
                  <c:v>Heranba</c:v>
                </c:pt>
                <c:pt idx="108">
                  <c:v>stove kraft</c:v>
                </c:pt>
                <c:pt idx="109">
                  <c:v>Borosil Renewable</c:v>
                </c:pt>
                <c:pt idx="110">
                  <c:v>Sonata Software</c:v>
                </c:pt>
                <c:pt idx="111">
                  <c:v>Marico</c:v>
                </c:pt>
                <c:pt idx="112">
                  <c:v>KPIT</c:v>
                </c:pt>
                <c:pt idx="113">
                  <c:v>Amara Raja Batter</c:v>
                </c:pt>
                <c:pt idx="114">
                  <c:v>Aurobindo Pharma</c:v>
                </c:pt>
                <c:pt idx="115">
                  <c:v>Krisna dignostic</c:v>
                </c:pt>
                <c:pt idx="116">
                  <c:v>SBI Bank</c:v>
                </c:pt>
                <c:pt idx="117">
                  <c:v>Gujarat Gas</c:v>
                </c:pt>
                <c:pt idx="118">
                  <c:v>Apollo pipes</c:v>
                </c:pt>
                <c:pt idx="119">
                  <c:v>Aarti Drugs</c:v>
                </c:pt>
                <c:pt idx="120">
                  <c:v>Wipro</c:v>
                </c:pt>
                <c:pt idx="121">
                  <c:v>Avanti Feed</c:v>
                </c:pt>
                <c:pt idx="122">
                  <c:v>Kansai Nerolac</c:v>
                </c:pt>
                <c:pt idx="123">
                  <c:v>Lauras Lab</c:v>
                </c:pt>
                <c:pt idx="124">
                  <c:v>Sumitomo Chemicals</c:v>
                </c:pt>
                <c:pt idx="125">
                  <c:v>Finolex Cable</c:v>
                </c:pt>
                <c:pt idx="126">
                  <c:v>Indraprastha Gas</c:v>
                </c:pt>
                <c:pt idx="127">
                  <c:v>Newgen</c:v>
                </c:pt>
                <c:pt idx="128">
                  <c:v>Crompton Greves</c:v>
                </c:pt>
                <c:pt idx="129">
                  <c:v>Latent View</c:v>
                </c:pt>
                <c:pt idx="130">
                  <c:v>Gokaldas Export</c:v>
                </c:pt>
                <c:pt idx="131">
                  <c:v>LIC Housing Finance</c:v>
                </c:pt>
                <c:pt idx="132">
                  <c:v>Praj Industries</c:v>
                </c:pt>
                <c:pt idx="133">
                  <c:v>Vaibhav Global</c:v>
                </c:pt>
                <c:pt idx="134">
                  <c:v>Laxmi Orgamic</c:v>
                </c:pt>
                <c:pt idx="135">
                  <c:v>Ambuja Cement</c:v>
                </c:pt>
                <c:pt idx="136">
                  <c:v>Chemcom Speciality</c:v>
                </c:pt>
                <c:pt idx="137">
                  <c:v>Somany home innovation ltd</c:v>
                </c:pt>
                <c:pt idx="138">
                  <c:v>Advance Enzymes</c:v>
                </c:pt>
                <c:pt idx="139">
                  <c:v>Orient Electric</c:v>
                </c:pt>
                <c:pt idx="140">
                  <c:v>Nippon AMC</c:v>
                </c:pt>
                <c:pt idx="141">
                  <c:v>Granules India</c:v>
                </c:pt>
                <c:pt idx="142">
                  <c:v>Bandhan Bank</c:v>
                </c:pt>
                <c:pt idx="143">
                  <c:v>Zensar Tech</c:v>
                </c:pt>
                <c:pt idx="144">
                  <c:v>Tata Power</c:v>
                </c:pt>
                <c:pt idx="145">
                  <c:v>Gujarat Ambuja Export</c:v>
                </c:pt>
                <c:pt idx="146">
                  <c:v>Heidelberg Cement</c:v>
                </c:pt>
                <c:pt idx="147">
                  <c:v>Exide Battery</c:v>
                </c:pt>
                <c:pt idx="148">
                  <c:v>IEX</c:v>
                </c:pt>
                <c:pt idx="149">
                  <c:v>Finolex Industries</c:v>
                </c:pt>
                <c:pt idx="150">
                  <c:v>Goldiam International</c:v>
                </c:pt>
                <c:pt idx="151">
                  <c:v>Bhansali Engineering</c:v>
                </c:pt>
                <c:pt idx="152">
                  <c:v>Bank of Baroda</c:v>
                </c:pt>
                <c:pt idx="153">
                  <c:v>Tata Steel</c:v>
                </c:pt>
                <c:pt idx="154">
                  <c:v>Federal Bank</c:v>
                </c:pt>
                <c:pt idx="155">
                  <c:v>Mannapuran Finance</c:v>
                </c:pt>
                <c:pt idx="156">
                  <c:v>HFCL</c:v>
                </c:pt>
                <c:pt idx="157">
                  <c:v>Trident</c:v>
                </c:pt>
                <c:pt idx="158">
                  <c:v>Yesbank</c:v>
                </c:pt>
              </c:strCache>
            </c:strRef>
          </c:cat>
          <c:val>
            <c:numRef>
              <c:f>Pivots!$AC$4:$AC$163</c:f>
              <c:numCache>
                <c:formatCode>General</c:formatCode>
                <c:ptCount val="159"/>
                <c:pt idx="0">
                  <c:v>54349.1</c:v>
                </c:pt>
                <c:pt idx="1">
                  <c:v>27936.75</c:v>
                </c:pt>
                <c:pt idx="2">
                  <c:v>22499</c:v>
                </c:pt>
                <c:pt idx="3">
                  <c:v>14362.9</c:v>
                </c:pt>
                <c:pt idx="4">
                  <c:v>10859</c:v>
                </c:pt>
                <c:pt idx="5">
                  <c:v>9769</c:v>
                </c:pt>
                <c:pt idx="6">
                  <c:v>10760</c:v>
                </c:pt>
                <c:pt idx="7">
                  <c:v>8045</c:v>
                </c:pt>
                <c:pt idx="8">
                  <c:v>7946</c:v>
                </c:pt>
                <c:pt idx="9">
                  <c:v>6572.75</c:v>
                </c:pt>
                <c:pt idx="10">
                  <c:v>5667.75</c:v>
                </c:pt>
                <c:pt idx="11">
                  <c:v>4293.25</c:v>
                </c:pt>
                <c:pt idx="12">
                  <c:v>4946.1000000000004</c:v>
                </c:pt>
                <c:pt idx="13">
                  <c:v>6898.75</c:v>
                </c:pt>
                <c:pt idx="14">
                  <c:v>4759.6000000000004</c:v>
                </c:pt>
                <c:pt idx="15">
                  <c:v>6067.95</c:v>
                </c:pt>
                <c:pt idx="16">
                  <c:v>7328.75</c:v>
                </c:pt>
                <c:pt idx="17">
                  <c:v>5790</c:v>
                </c:pt>
                <c:pt idx="18">
                  <c:v>5862.1</c:v>
                </c:pt>
                <c:pt idx="19">
                  <c:v>4668</c:v>
                </c:pt>
                <c:pt idx="20">
                  <c:v>4131.75</c:v>
                </c:pt>
                <c:pt idx="21">
                  <c:v>4954</c:v>
                </c:pt>
                <c:pt idx="22">
                  <c:v>4045.5</c:v>
                </c:pt>
                <c:pt idx="23">
                  <c:v>5714</c:v>
                </c:pt>
                <c:pt idx="24">
                  <c:v>3754.85</c:v>
                </c:pt>
                <c:pt idx="25">
                  <c:v>3863.55</c:v>
                </c:pt>
                <c:pt idx="26">
                  <c:v>3841.85</c:v>
                </c:pt>
                <c:pt idx="27">
                  <c:v>3797.6</c:v>
                </c:pt>
                <c:pt idx="28">
                  <c:v>3698.45</c:v>
                </c:pt>
                <c:pt idx="29">
                  <c:v>3447.55</c:v>
                </c:pt>
                <c:pt idx="30">
                  <c:v>2856.15</c:v>
                </c:pt>
                <c:pt idx="31">
                  <c:v>4535.95</c:v>
                </c:pt>
                <c:pt idx="32">
                  <c:v>3889.65</c:v>
                </c:pt>
                <c:pt idx="33">
                  <c:v>2938.6</c:v>
                </c:pt>
                <c:pt idx="34">
                  <c:v>4172.95</c:v>
                </c:pt>
                <c:pt idx="35">
                  <c:v>3025</c:v>
                </c:pt>
                <c:pt idx="36">
                  <c:v>2971.5</c:v>
                </c:pt>
                <c:pt idx="37">
                  <c:v>2933.8</c:v>
                </c:pt>
                <c:pt idx="38">
                  <c:v>3646.25</c:v>
                </c:pt>
                <c:pt idx="39">
                  <c:v>2741.6</c:v>
                </c:pt>
                <c:pt idx="40">
                  <c:v>3466.4</c:v>
                </c:pt>
                <c:pt idx="41">
                  <c:v>3709.95</c:v>
                </c:pt>
                <c:pt idx="42">
                  <c:v>4023.65</c:v>
                </c:pt>
                <c:pt idx="43">
                  <c:v>2537.4499999999998</c:v>
                </c:pt>
                <c:pt idx="44">
                  <c:v>2507.35</c:v>
                </c:pt>
                <c:pt idx="45">
                  <c:v>2690.05</c:v>
                </c:pt>
                <c:pt idx="46">
                  <c:v>2377</c:v>
                </c:pt>
                <c:pt idx="47">
                  <c:v>2607.65</c:v>
                </c:pt>
                <c:pt idx="48">
                  <c:v>1997.55</c:v>
                </c:pt>
                <c:pt idx="49">
                  <c:v>3925</c:v>
                </c:pt>
                <c:pt idx="50">
                  <c:v>3410.85</c:v>
                </c:pt>
                <c:pt idx="51">
                  <c:v>2870</c:v>
                </c:pt>
                <c:pt idx="52">
                  <c:v>2210.5</c:v>
                </c:pt>
                <c:pt idx="53">
                  <c:v>3773.95</c:v>
                </c:pt>
                <c:pt idx="54">
                  <c:v>2249</c:v>
                </c:pt>
                <c:pt idx="55">
                  <c:v>2624</c:v>
                </c:pt>
                <c:pt idx="56">
                  <c:v>3724.2</c:v>
                </c:pt>
                <c:pt idx="57">
                  <c:v>1953.7</c:v>
                </c:pt>
                <c:pt idx="58">
                  <c:v>2285.65</c:v>
                </c:pt>
                <c:pt idx="59">
                  <c:v>1722.1</c:v>
                </c:pt>
                <c:pt idx="60">
                  <c:v>3142</c:v>
                </c:pt>
                <c:pt idx="61">
                  <c:v>2110</c:v>
                </c:pt>
                <c:pt idx="62">
                  <c:v>2027</c:v>
                </c:pt>
                <c:pt idx="63">
                  <c:v>1919</c:v>
                </c:pt>
                <c:pt idx="64">
                  <c:v>1736.15</c:v>
                </c:pt>
                <c:pt idx="65">
                  <c:v>1654</c:v>
                </c:pt>
                <c:pt idx="66">
                  <c:v>1526.4</c:v>
                </c:pt>
                <c:pt idx="67">
                  <c:v>1751</c:v>
                </c:pt>
                <c:pt idx="68">
                  <c:v>1662.45</c:v>
                </c:pt>
                <c:pt idx="69">
                  <c:v>1374.55</c:v>
                </c:pt>
                <c:pt idx="70">
                  <c:v>1511</c:v>
                </c:pt>
                <c:pt idx="71">
                  <c:v>1185.25</c:v>
                </c:pt>
                <c:pt idx="72">
                  <c:v>1095</c:v>
                </c:pt>
                <c:pt idx="73">
                  <c:v>1359.85</c:v>
                </c:pt>
                <c:pt idx="74">
                  <c:v>1070.95</c:v>
                </c:pt>
                <c:pt idx="75">
                  <c:v>1214.6500000000001</c:v>
                </c:pt>
                <c:pt idx="76">
                  <c:v>1193.8499999999999</c:v>
                </c:pt>
                <c:pt idx="77">
                  <c:v>1049.9000000000001</c:v>
                </c:pt>
                <c:pt idx="78">
                  <c:v>1094</c:v>
                </c:pt>
                <c:pt idx="79">
                  <c:v>1051.8499999999999</c:v>
                </c:pt>
                <c:pt idx="80">
                  <c:v>958</c:v>
                </c:pt>
                <c:pt idx="81">
                  <c:v>1375</c:v>
                </c:pt>
                <c:pt idx="82">
                  <c:v>1366.55</c:v>
                </c:pt>
                <c:pt idx="83">
                  <c:v>925</c:v>
                </c:pt>
                <c:pt idx="84">
                  <c:v>955.65</c:v>
                </c:pt>
                <c:pt idx="85">
                  <c:v>1028.6500000000001</c:v>
                </c:pt>
                <c:pt idx="86">
                  <c:v>1044.4000000000001</c:v>
                </c:pt>
                <c:pt idx="87">
                  <c:v>1057.8499999999999</c:v>
                </c:pt>
                <c:pt idx="88">
                  <c:v>958</c:v>
                </c:pt>
                <c:pt idx="89">
                  <c:v>815</c:v>
                </c:pt>
                <c:pt idx="90">
                  <c:v>970</c:v>
                </c:pt>
                <c:pt idx="91">
                  <c:v>848</c:v>
                </c:pt>
                <c:pt idx="92">
                  <c:v>1096.05</c:v>
                </c:pt>
                <c:pt idx="93">
                  <c:v>920</c:v>
                </c:pt>
                <c:pt idx="94">
                  <c:v>2094.4</c:v>
                </c:pt>
                <c:pt idx="95">
                  <c:v>1118</c:v>
                </c:pt>
                <c:pt idx="96">
                  <c:v>1480</c:v>
                </c:pt>
                <c:pt idx="97">
                  <c:v>1087</c:v>
                </c:pt>
                <c:pt idx="98">
                  <c:v>1432.05</c:v>
                </c:pt>
                <c:pt idx="99">
                  <c:v>918.65</c:v>
                </c:pt>
                <c:pt idx="100">
                  <c:v>793.05</c:v>
                </c:pt>
                <c:pt idx="101">
                  <c:v>822.8</c:v>
                </c:pt>
                <c:pt idx="102">
                  <c:v>732.98</c:v>
                </c:pt>
                <c:pt idx="103">
                  <c:v>748</c:v>
                </c:pt>
                <c:pt idx="104">
                  <c:v>1177</c:v>
                </c:pt>
                <c:pt idx="105">
                  <c:v>749</c:v>
                </c:pt>
                <c:pt idx="106">
                  <c:v>610.75</c:v>
                </c:pt>
                <c:pt idx="107">
                  <c:v>744.15</c:v>
                </c:pt>
                <c:pt idx="108">
                  <c:v>1000</c:v>
                </c:pt>
                <c:pt idx="109">
                  <c:v>833</c:v>
                </c:pt>
                <c:pt idx="110">
                  <c:v>694.5</c:v>
                </c:pt>
                <c:pt idx="111">
                  <c:v>554.35</c:v>
                </c:pt>
                <c:pt idx="112">
                  <c:v>764.25</c:v>
                </c:pt>
                <c:pt idx="113">
                  <c:v>668.15</c:v>
                </c:pt>
                <c:pt idx="114">
                  <c:v>727.95</c:v>
                </c:pt>
                <c:pt idx="115">
                  <c:v>778</c:v>
                </c:pt>
                <c:pt idx="116">
                  <c:v>629.65</c:v>
                </c:pt>
                <c:pt idx="117">
                  <c:v>721.8</c:v>
                </c:pt>
                <c:pt idx="118">
                  <c:v>635.70000000000005</c:v>
                </c:pt>
                <c:pt idx="119">
                  <c:v>537.4</c:v>
                </c:pt>
                <c:pt idx="120">
                  <c:v>666</c:v>
                </c:pt>
                <c:pt idx="121">
                  <c:v>638.79999999999995</c:v>
                </c:pt>
                <c:pt idx="122">
                  <c:v>624</c:v>
                </c:pt>
                <c:pt idx="123">
                  <c:v>626.29999999999995</c:v>
                </c:pt>
                <c:pt idx="124">
                  <c:v>540.79999999999995</c:v>
                </c:pt>
                <c:pt idx="125">
                  <c:v>593.9</c:v>
                </c:pt>
                <c:pt idx="126">
                  <c:v>466.65</c:v>
                </c:pt>
                <c:pt idx="127">
                  <c:v>671</c:v>
                </c:pt>
                <c:pt idx="128">
                  <c:v>451.95</c:v>
                </c:pt>
                <c:pt idx="129">
                  <c:v>617.4</c:v>
                </c:pt>
                <c:pt idx="130">
                  <c:v>519.54999999999995</c:v>
                </c:pt>
                <c:pt idx="131">
                  <c:v>443.5</c:v>
                </c:pt>
                <c:pt idx="132">
                  <c:v>461.5</c:v>
                </c:pt>
                <c:pt idx="133">
                  <c:v>566.5</c:v>
                </c:pt>
                <c:pt idx="134">
                  <c:v>501.6</c:v>
                </c:pt>
                <c:pt idx="135">
                  <c:v>598.15</c:v>
                </c:pt>
                <c:pt idx="136">
                  <c:v>477.95</c:v>
                </c:pt>
                <c:pt idx="137">
                  <c:v>480.4</c:v>
                </c:pt>
                <c:pt idx="138">
                  <c:v>354.9</c:v>
                </c:pt>
                <c:pt idx="139">
                  <c:v>372.2</c:v>
                </c:pt>
                <c:pt idx="140">
                  <c:v>375.2</c:v>
                </c:pt>
                <c:pt idx="141">
                  <c:v>381.25</c:v>
                </c:pt>
                <c:pt idx="142">
                  <c:v>349.55</c:v>
                </c:pt>
                <c:pt idx="143">
                  <c:v>496.1</c:v>
                </c:pt>
                <c:pt idx="144">
                  <c:v>298</c:v>
                </c:pt>
                <c:pt idx="145">
                  <c:v>393.85</c:v>
                </c:pt>
                <c:pt idx="146">
                  <c:v>242</c:v>
                </c:pt>
                <c:pt idx="147">
                  <c:v>194.2</c:v>
                </c:pt>
                <c:pt idx="148">
                  <c:v>271.95</c:v>
                </c:pt>
                <c:pt idx="149">
                  <c:v>204.5</c:v>
                </c:pt>
                <c:pt idx="150">
                  <c:v>209.41</c:v>
                </c:pt>
                <c:pt idx="151">
                  <c:v>182.4</c:v>
                </c:pt>
                <c:pt idx="152">
                  <c:v>197.2</c:v>
                </c:pt>
                <c:pt idx="153">
                  <c:v>138.63</c:v>
                </c:pt>
                <c:pt idx="154">
                  <c:v>142.25</c:v>
                </c:pt>
                <c:pt idx="155">
                  <c:v>173.75</c:v>
                </c:pt>
                <c:pt idx="156">
                  <c:v>101.35</c:v>
                </c:pt>
                <c:pt idx="157">
                  <c:v>70.900000000000006</c:v>
                </c:pt>
                <c:pt idx="158">
                  <c:v>24.75</c:v>
                </c:pt>
              </c:numCache>
            </c:numRef>
          </c:val>
          <c:extLst>
            <c:ext xmlns:c16="http://schemas.microsoft.com/office/drawing/2014/chart" uri="{C3380CC4-5D6E-409C-BE32-E72D297353CC}">
              <c16:uniqueId val="{00000000-A51B-49DB-A319-1044A9F0A963}"/>
            </c:ext>
          </c:extLst>
        </c:ser>
        <c:ser>
          <c:idx val="1"/>
          <c:order val="1"/>
          <c:tx>
            <c:strRef>
              <c:f>Pivots!$AD$3</c:f>
              <c:strCache>
                <c:ptCount val="1"/>
                <c:pt idx="0">
                  <c:v>Sum of 52 Week Low</c:v>
                </c:pt>
              </c:strCache>
            </c:strRef>
          </c:tx>
          <c:spPr>
            <a:solidFill>
              <a:schemeClr val="accent2">
                <a:lumMod val="75000"/>
              </a:schemeClr>
            </a:solidFill>
            <a:ln>
              <a:noFill/>
            </a:ln>
            <a:effectLst>
              <a:outerShdw blurRad="57150" dist="19050" dir="5400000" algn="ctr" rotWithShape="0">
                <a:srgbClr val="000000">
                  <a:alpha val="63000"/>
                </a:srgbClr>
              </a:outerShdw>
            </a:effectLst>
          </c:spPr>
          <c:invertIfNegative val="0"/>
          <c:cat>
            <c:strRef>
              <c:f>Pivots!$AB$4:$AB$163</c:f>
              <c:strCache>
                <c:ptCount val="159"/>
                <c:pt idx="0">
                  <c:v>Page Industries</c:v>
                </c:pt>
                <c:pt idx="1">
                  <c:v>Shree Cement</c:v>
                </c:pt>
                <c:pt idx="2">
                  <c:v>Abbott India</c:v>
                </c:pt>
                <c:pt idx="3">
                  <c:v>Bharat Rasayan</c:v>
                </c:pt>
                <c:pt idx="4">
                  <c:v>Atul Ltd</c:v>
                </c:pt>
                <c:pt idx="5">
                  <c:v>Maruti Suzuki</c:v>
                </c:pt>
                <c:pt idx="6">
                  <c:v>Tata Elxsi</c:v>
                </c:pt>
                <c:pt idx="7">
                  <c:v>Bajaj Finance</c:v>
                </c:pt>
                <c:pt idx="8">
                  <c:v>Ultratech Cement</c:v>
                </c:pt>
                <c:pt idx="9">
                  <c:v>Hawkins Cooker</c:v>
                </c:pt>
                <c:pt idx="10">
                  <c:v>Bayer Cropscience</c:v>
                </c:pt>
                <c:pt idx="11">
                  <c:v>L&amp;T Infotech</c:v>
                </c:pt>
                <c:pt idx="12">
                  <c:v>Pfizer</c:v>
                </c:pt>
                <c:pt idx="13">
                  <c:v>Indiamart Intermesh</c:v>
                </c:pt>
                <c:pt idx="14">
                  <c:v>Dr Reddy</c:v>
                </c:pt>
                <c:pt idx="15">
                  <c:v>Cera Sanitaryware</c:v>
                </c:pt>
                <c:pt idx="16">
                  <c:v>Fine Organics</c:v>
                </c:pt>
                <c:pt idx="17">
                  <c:v>Infoedge</c:v>
                </c:pt>
                <c:pt idx="18">
                  <c:v>Coforge</c:v>
                </c:pt>
                <c:pt idx="19">
                  <c:v>Divi's Lab</c:v>
                </c:pt>
                <c:pt idx="20">
                  <c:v>Bajaj Auto</c:v>
                </c:pt>
                <c:pt idx="21">
                  <c:v>Persistent System</c:v>
                </c:pt>
                <c:pt idx="22">
                  <c:v>TCS</c:v>
                </c:pt>
                <c:pt idx="23">
                  <c:v>L&amp;T Technology</c:v>
                </c:pt>
                <c:pt idx="24">
                  <c:v>Garware technical</c:v>
                </c:pt>
                <c:pt idx="25">
                  <c:v>Crisil</c:v>
                </c:pt>
                <c:pt idx="26">
                  <c:v>Balaji Amine</c:v>
                </c:pt>
                <c:pt idx="27">
                  <c:v>Alkyl Amine</c:v>
                </c:pt>
                <c:pt idx="28">
                  <c:v>PI industries</c:v>
                </c:pt>
                <c:pt idx="29">
                  <c:v>Galaxy Surfactant</c:v>
                </c:pt>
                <c:pt idx="30">
                  <c:v>Reliance</c:v>
                </c:pt>
                <c:pt idx="31">
                  <c:v>Solar Industries</c:v>
                </c:pt>
                <c:pt idx="32">
                  <c:v>Eicher Motor</c:v>
                </c:pt>
                <c:pt idx="33">
                  <c:v>Hero Motocorp</c:v>
                </c:pt>
                <c:pt idx="34">
                  <c:v>Gujarat Florochemical</c:v>
                </c:pt>
                <c:pt idx="35">
                  <c:v>Polycab</c:v>
                </c:pt>
                <c:pt idx="36">
                  <c:v>CAMS</c:v>
                </c:pt>
                <c:pt idx="37">
                  <c:v>HDFC</c:v>
                </c:pt>
                <c:pt idx="38">
                  <c:v>J K Cement</c:v>
                </c:pt>
                <c:pt idx="39">
                  <c:v>HUL</c:v>
                </c:pt>
                <c:pt idx="40">
                  <c:v>Mphasis</c:v>
                </c:pt>
                <c:pt idx="41">
                  <c:v>craftsman automation</c:v>
                </c:pt>
                <c:pt idx="42">
                  <c:v>Amber Enterprise</c:v>
                </c:pt>
                <c:pt idx="43">
                  <c:v>Balkrishna Industries</c:v>
                </c:pt>
                <c:pt idx="44">
                  <c:v>HDFC AMC</c:v>
                </c:pt>
                <c:pt idx="45">
                  <c:v>Deepak Nitrite</c:v>
                </c:pt>
                <c:pt idx="46">
                  <c:v>Vinita Organics</c:v>
                </c:pt>
                <c:pt idx="47">
                  <c:v>Supreme Industries</c:v>
                </c:pt>
                <c:pt idx="48">
                  <c:v>Kotak Bank</c:v>
                </c:pt>
                <c:pt idx="49">
                  <c:v>Lux Industries</c:v>
                </c:pt>
                <c:pt idx="50">
                  <c:v>Mastek</c:v>
                </c:pt>
                <c:pt idx="51">
                  <c:v>Polyplex Corporation</c:v>
                </c:pt>
                <c:pt idx="52">
                  <c:v>L&amp;T</c:v>
                </c:pt>
                <c:pt idx="53">
                  <c:v>Gland Pharma</c:v>
                </c:pt>
                <c:pt idx="54">
                  <c:v>TCI Express</c:v>
                </c:pt>
                <c:pt idx="55">
                  <c:v>clean science</c:v>
                </c:pt>
                <c:pt idx="56">
                  <c:v>Bajaj Finserv</c:v>
                </c:pt>
                <c:pt idx="57">
                  <c:v>Infosys</c:v>
                </c:pt>
                <c:pt idx="58">
                  <c:v>Astec Lifesciences</c:v>
                </c:pt>
                <c:pt idx="59">
                  <c:v>HDFC Bank</c:v>
                </c:pt>
                <c:pt idx="60">
                  <c:v>Metropolis Healthcare</c:v>
                </c:pt>
                <c:pt idx="61">
                  <c:v>GMM Pfaudler</c:v>
                </c:pt>
                <c:pt idx="62">
                  <c:v>Sheela Form</c:v>
                </c:pt>
                <c:pt idx="63">
                  <c:v>Route Mobile</c:v>
                </c:pt>
                <c:pt idx="64">
                  <c:v>Endurance Technology</c:v>
                </c:pt>
                <c:pt idx="65">
                  <c:v>CDSL</c:v>
                </c:pt>
                <c:pt idx="66">
                  <c:v>Muthoot Finance</c:v>
                </c:pt>
                <c:pt idx="67">
                  <c:v>Tech Mahindra</c:v>
                </c:pt>
                <c:pt idx="68">
                  <c:v>KEI Industries</c:v>
                </c:pt>
                <c:pt idx="69">
                  <c:v>Kajaria Ceramic</c:v>
                </c:pt>
                <c:pt idx="70">
                  <c:v>Affle India</c:v>
                </c:pt>
                <c:pt idx="71">
                  <c:v>Cipla</c:v>
                </c:pt>
                <c:pt idx="72">
                  <c:v>IPCA Lab</c:v>
                </c:pt>
                <c:pt idx="73">
                  <c:v>Happiest Mind</c:v>
                </c:pt>
                <c:pt idx="74">
                  <c:v>Sun pharma</c:v>
                </c:pt>
                <c:pt idx="75">
                  <c:v>Tata Chemical</c:v>
                </c:pt>
                <c:pt idx="76">
                  <c:v>APL Apollo</c:v>
                </c:pt>
                <c:pt idx="77">
                  <c:v>TTK Prestige</c:v>
                </c:pt>
                <c:pt idx="78">
                  <c:v>Coromandel International</c:v>
                </c:pt>
                <c:pt idx="79">
                  <c:v>Cyient</c:v>
                </c:pt>
                <c:pt idx="80">
                  <c:v>United Spirits</c:v>
                </c:pt>
                <c:pt idx="81">
                  <c:v>Rossari Biotech</c:v>
                </c:pt>
                <c:pt idx="82">
                  <c:v>M&amp;M</c:v>
                </c:pt>
                <c:pt idx="83">
                  <c:v>Mahangar Gas</c:v>
                </c:pt>
                <c:pt idx="84">
                  <c:v>Godrej Consumer</c:v>
                </c:pt>
                <c:pt idx="85">
                  <c:v>SBI Cards</c:v>
                </c:pt>
                <c:pt idx="86">
                  <c:v>Poly Medicure Ltd</c:v>
                </c:pt>
                <c:pt idx="87">
                  <c:v>Mold tech</c:v>
                </c:pt>
                <c:pt idx="88">
                  <c:v>ICICI Bank</c:v>
                </c:pt>
                <c:pt idx="89">
                  <c:v>Dhanuka Agritech</c:v>
                </c:pt>
                <c:pt idx="90">
                  <c:v>Axis Bank</c:v>
                </c:pt>
                <c:pt idx="91">
                  <c:v>UPL</c:v>
                </c:pt>
                <c:pt idx="92">
                  <c:v>UTI AMC</c:v>
                </c:pt>
                <c:pt idx="93">
                  <c:v>LIC</c:v>
                </c:pt>
                <c:pt idx="94">
                  <c:v>Tanla Platform</c:v>
                </c:pt>
                <c:pt idx="95">
                  <c:v>Aarti Industries</c:v>
                </c:pt>
                <c:pt idx="96">
                  <c:v>Data Pattern</c:v>
                </c:pt>
                <c:pt idx="97">
                  <c:v>Thyrocare</c:v>
                </c:pt>
                <c:pt idx="98">
                  <c:v>Varun Beverage</c:v>
                </c:pt>
                <c:pt idx="99">
                  <c:v>IRCTC</c:v>
                </c:pt>
                <c:pt idx="100">
                  <c:v>Berger Paint</c:v>
                </c:pt>
                <c:pt idx="101">
                  <c:v>Alembic Pharma</c:v>
                </c:pt>
                <c:pt idx="102">
                  <c:v>AU Small Finance</c:v>
                </c:pt>
                <c:pt idx="103">
                  <c:v>Prince Pipe</c:v>
                </c:pt>
                <c:pt idx="104">
                  <c:v>TVS</c:v>
                </c:pt>
                <c:pt idx="105">
                  <c:v>Century Plyboard</c:v>
                </c:pt>
                <c:pt idx="106">
                  <c:v>Dabur</c:v>
                </c:pt>
                <c:pt idx="107">
                  <c:v>Heranba</c:v>
                </c:pt>
                <c:pt idx="108">
                  <c:v>stove kraft</c:v>
                </c:pt>
                <c:pt idx="109">
                  <c:v>Borosil Renewable</c:v>
                </c:pt>
                <c:pt idx="110">
                  <c:v>Sonata Software</c:v>
                </c:pt>
                <c:pt idx="111">
                  <c:v>Marico</c:v>
                </c:pt>
                <c:pt idx="112">
                  <c:v>KPIT</c:v>
                </c:pt>
                <c:pt idx="113">
                  <c:v>Amara Raja Batter</c:v>
                </c:pt>
                <c:pt idx="114">
                  <c:v>Aurobindo Pharma</c:v>
                </c:pt>
                <c:pt idx="115">
                  <c:v>Krisna dignostic</c:v>
                </c:pt>
                <c:pt idx="116">
                  <c:v>SBI Bank</c:v>
                </c:pt>
                <c:pt idx="117">
                  <c:v>Gujarat Gas</c:v>
                </c:pt>
                <c:pt idx="118">
                  <c:v>Apollo pipes</c:v>
                </c:pt>
                <c:pt idx="119">
                  <c:v>Aarti Drugs</c:v>
                </c:pt>
                <c:pt idx="120">
                  <c:v>Wipro</c:v>
                </c:pt>
                <c:pt idx="121">
                  <c:v>Avanti Feed</c:v>
                </c:pt>
                <c:pt idx="122">
                  <c:v>Kansai Nerolac</c:v>
                </c:pt>
                <c:pt idx="123">
                  <c:v>Lauras Lab</c:v>
                </c:pt>
                <c:pt idx="124">
                  <c:v>Sumitomo Chemicals</c:v>
                </c:pt>
                <c:pt idx="125">
                  <c:v>Finolex Cable</c:v>
                </c:pt>
                <c:pt idx="126">
                  <c:v>Indraprastha Gas</c:v>
                </c:pt>
                <c:pt idx="127">
                  <c:v>Newgen</c:v>
                </c:pt>
                <c:pt idx="128">
                  <c:v>Crompton Greves</c:v>
                </c:pt>
                <c:pt idx="129">
                  <c:v>Latent View</c:v>
                </c:pt>
                <c:pt idx="130">
                  <c:v>Gokaldas Export</c:v>
                </c:pt>
                <c:pt idx="131">
                  <c:v>LIC Housing Finance</c:v>
                </c:pt>
                <c:pt idx="132">
                  <c:v>Praj Industries</c:v>
                </c:pt>
                <c:pt idx="133">
                  <c:v>Vaibhav Global</c:v>
                </c:pt>
                <c:pt idx="134">
                  <c:v>Laxmi Orgamic</c:v>
                </c:pt>
                <c:pt idx="135">
                  <c:v>Ambuja Cement</c:v>
                </c:pt>
                <c:pt idx="136">
                  <c:v>Chemcom Speciality</c:v>
                </c:pt>
                <c:pt idx="137">
                  <c:v>Somany home innovation ltd</c:v>
                </c:pt>
                <c:pt idx="138">
                  <c:v>Advance Enzymes</c:v>
                </c:pt>
                <c:pt idx="139">
                  <c:v>Orient Electric</c:v>
                </c:pt>
                <c:pt idx="140">
                  <c:v>Nippon AMC</c:v>
                </c:pt>
                <c:pt idx="141">
                  <c:v>Granules India</c:v>
                </c:pt>
                <c:pt idx="142">
                  <c:v>Bandhan Bank</c:v>
                </c:pt>
                <c:pt idx="143">
                  <c:v>Zensar Tech</c:v>
                </c:pt>
                <c:pt idx="144">
                  <c:v>Tata Power</c:v>
                </c:pt>
                <c:pt idx="145">
                  <c:v>Gujarat Ambuja Export</c:v>
                </c:pt>
                <c:pt idx="146">
                  <c:v>Heidelberg Cement</c:v>
                </c:pt>
                <c:pt idx="147">
                  <c:v>Exide Battery</c:v>
                </c:pt>
                <c:pt idx="148">
                  <c:v>IEX</c:v>
                </c:pt>
                <c:pt idx="149">
                  <c:v>Finolex Industries</c:v>
                </c:pt>
                <c:pt idx="150">
                  <c:v>Goldiam International</c:v>
                </c:pt>
                <c:pt idx="151">
                  <c:v>Bhansali Engineering</c:v>
                </c:pt>
                <c:pt idx="152">
                  <c:v>Bank of Baroda</c:v>
                </c:pt>
                <c:pt idx="153">
                  <c:v>Tata Steel</c:v>
                </c:pt>
                <c:pt idx="154">
                  <c:v>Federal Bank</c:v>
                </c:pt>
                <c:pt idx="155">
                  <c:v>Mannapuran Finance</c:v>
                </c:pt>
                <c:pt idx="156">
                  <c:v>HFCL</c:v>
                </c:pt>
                <c:pt idx="157">
                  <c:v>Trident</c:v>
                </c:pt>
                <c:pt idx="158">
                  <c:v>Yesbank</c:v>
                </c:pt>
              </c:strCache>
            </c:strRef>
          </c:cat>
          <c:val>
            <c:numRef>
              <c:f>Pivots!$AD$4:$AD$163</c:f>
              <c:numCache>
                <c:formatCode>General</c:formatCode>
                <c:ptCount val="159"/>
                <c:pt idx="0">
                  <c:v>37825</c:v>
                </c:pt>
                <c:pt idx="1">
                  <c:v>17865.2</c:v>
                </c:pt>
                <c:pt idx="2">
                  <c:v>15514</c:v>
                </c:pt>
                <c:pt idx="3">
                  <c:v>9301</c:v>
                </c:pt>
                <c:pt idx="4">
                  <c:v>7602.15</c:v>
                </c:pt>
                <c:pt idx="5">
                  <c:v>6536.55</c:v>
                </c:pt>
                <c:pt idx="6">
                  <c:v>5709.05</c:v>
                </c:pt>
                <c:pt idx="7">
                  <c:v>5220</c:v>
                </c:pt>
                <c:pt idx="8">
                  <c:v>5157.05</c:v>
                </c:pt>
                <c:pt idx="9">
                  <c:v>4932.05</c:v>
                </c:pt>
                <c:pt idx="10">
                  <c:v>4218.05</c:v>
                </c:pt>
                <c:pt idx="11">
                  <c:v>4147.45</c:v>
                </c:pt>
                <c:pt idx="12">
                  <c:v>4056</c:v>
                </c:pt>
                <c:pt idx="13">
                  <c:v>3676</c:v>
                </c:pt>
                <c:pt idx="14">
                  <c:v>3654</c:v>
                </c:pt>
                <c:pt idx="15">
                  <c:v>3518.6</c:v>
                </c:pt>
                <c:pt idx="16">
                  <c:v>3457.1</c:v>
                </c:pt>
                <c:pt idx="17">
                  <c:v>3314</c:v>
                </c:pt>
                <c:pt idx="18">
                  <c:v>3210</c:v>
                </c:pt>
                <c:pt idx="19">
                  <c:v>3195.15</c:v>
                </c:pt>
                <c:pt idx="20">
                  <c:v>3125</c:v>
                </c:pt>
                <c:pt idx="21">
                  <c:v>3092.05</c:v>
                </c:pt>
                <c:pt idx="22">
                  <c:v>2926</c:v>
                </c:pt>
                <c:pt idx="23">
                  <c:v>2923.35</c:v>
                </c:pt>
                <c:pt idx="24">
                  <c:v>2619.8000000000002</c:v>
                </c:pt>
                <c:pt idx="25">
                  <c:v>2540</c:v>
                </c:pt>
                <c:pt idx="26">
                  <c:v>2530</c:v>
                </c:pt>
                <c:pt idx="27">
                  <c:v>2506.1999999999998</c:v>
                </c:pt>
                <c:pt idx="28">
                  <c:v>2333.5500000000002</c:v>
                </c:pt>
                <c:pt idx="29">
                  <c:v>2310.1</c:v>
                </c:pt>
                <c:pt idx="30">
                  <c:v>2180</c:v>
                </c:pt>
                <c:pt idx="31">
                  <c:v>2160.0500000000002</c:v>
                </c:pt>
                <c:pt idx="32">
                  <c:v>2159.5500000000002</c:v>
                </c:pt>
                <c:pt idx="33">
                  <c:v>2146.85</c:v>
                </c:pt>
                <c:pt idx="34">
                  <c:v>2105.15</c:v>
                </c:pt>
                <c:pt idx="35">
                  <c:v>2043.85</c:v>
                </c:pt>
                <c:pt idx="36">
                  <c:v>2037.15</c:v>
                </c:pt>
                <c:pt idx="37">
                  <c:v>2026</c:v>
                </c:pt>
                <c:pt idx="38">
                  <c:v>2005</c:v>
                </c:pt>
                <c:pt idx="39">
                  <c:v>1901.55</c:v>
                </c:pt>
                <c:pt idx="40">
                  <c:v>1897.35</c:v>
                </c:pt>
                <c:pt idx="41">
                  <c:v>1845</c:v>
                </c:pt>
                <c:pt idx="42">
                  <c:v>1844.15</c:v>
                </c:pt>
                <c:pt idx="43">
                  <c:v>1690.55</c:v>
                </c:pt>
                <c:pt idx="44">
                  <c:v>1690</c:v>
                </c:pt>
                <c:pt idx="45">
                  <c:v>1681.15</c:v>
                </c:pt>
                <c:pt idx="46">
                  <c:v>1674.2</c:v>
                </c:pt>
                <c:pt idx="47">
                  <c:v>1666.25</c:v>
                </c:pt>
                <c:pt idx="48">
                  <c:v>1631</c:v>
                </c:pt>
                <c:pt idx="49">
                  <c:v>1515.1</c:v>
                </c:pt>
                <c:pt idx="50">
                  <c:v>1492</c:v>
                </c:pt>
                <c:pt idx="51">
                  <c:v>1463.3</c:v>
                </c:pt>
                <c:pt idx="52">
                  <c:v>1456.8</c:v>
                </c:pt>
                <c:pt idx="53">
                  <c:v>1450</c:v>
                </c:pt>
                <c:pt idx="54">
                  <c:v>1444.5</c:v>
                </c:pt>
                <c:pt idx="55">
                  <c:v>1410.1</c:v>
                </c:pt>
                <c:pt idx="56">
                  <c:v>1374.35</c:v>
                </c:pt>
                <c:pt idx="57">
                  <c:v>1355.5</c:v>
                </c:pt>
                <c:pt idx="58">
                  <c:v>1276.1500000000001</c:v>
                </c:pt>
                <c:pt idx="59">
                  <c:v>1271.5999999999999</c:v>
                </c:pt>
                <c:pt idx="60">
                  <c:v>1267.05</c:v>
                </c:pt>
                <c:pt idx="61">
                  <c:v>1256.67</c:v>
                </c:pt>
                <c:pt idx="62">
                  <c:v>1204.1500000000001</c:v>
                </c:pt>
                <c:pt idx="63">
                  <c:v>1052.5999999999999</c:v>
                </c:pt>
                <c:pt idx="64">
                  <c:v>1047.2</c:v>
                </c:pt>
                <c:pt idx="65">
                  <c:v>1015</c:v>
                </c:pt>
                <c:pt idx="66">
                  <c:v>950.2</c:v>
                </c:pt>
                <c:pt idx="67">
                  <c:v>943.7</c:v>
                </c:pt>
                <c:pt idx="68">
                  <c:v>905.2</c:v>
                </c:pt>
                <c:pt idx="69">
                  <c:v>885.3</c:v>
                </c:pt>
                <c:pt idx="70">
                  <c:v>871.55</c:v>
                </c:pt>
                <c:pt idx="71">
                  <c:v>860</c:v>
                </c:pt>
                <c:pt idx="72">
                  <c:v>830</c:v>
                </c:pt>
                <c:pt idx="73">
                  <c:v>785.55</c:v>
                </c:pt>
                <c:pt idx="74">
                  <c:v>784.8</c:v>
                </c:pt>
                <c:pt idx="75">
                  <c:v>773.9</c:v>
                </c:pt>
                <c:pt idx="76">
                  <c:v>771</c:v>
                </c:pt>
                <c:pt idx="77">
                  <c:v>744.7</c:v>
                </c:pt>
                <c:pt idx="78">
                  <c:v>729.55</c:v>
                </c:pt>
                <c:pt idx="79">
                  <c:v>720</c:v>
                </c:pt>
                <c:pt idx="80">
                  <c:v>712</c:v>
                </c:pt>
                <c:pt idx="81">
                  <c:v>675</c:v>
                </c:pt>
                <c:pt idx="82">
                  <c:v>671.15</c:v>
                </c:pt>
                <c:pt idx="83">
                  <c:v>666.35</c:v>
                </c:pt>
                <c:pt idx="84">
                  <c:v>660.2</c:v>
                </c:pt>
                <c:pt idx="85">
                  <c:v>655.7</c:v>
                </c:pt>
                <c:pt idx="86">
                  <c:v>652.29999999999995</c:v>
                </c:pt>
                <c:pt idx="87">
                  <c:v>648.04999999999995</c:v>
                </c:pt>
                <c:pt idx="88">
                  <c:v>642</c:v>
                </c:pt>
                <c:pt idx="89">
                  <c:v>630.65</c:v>
                </c:pt>
                <c:pt idx="90">
                  <c:v>618.25</c:v>
                </c:pt>
                <c:pt idx="91">
                  <c:v>607.79999999999995</c:v>
                </c:pt>
                <c:pt idx="92">
                  <c:v>595</c:v>
                </c:pt>
                <c:pt idx="93">
                  <c:v>588</c:v>
                </c:pt>
                <c:pt idx="94">
                  <c:v>584.79999999999995</c:v>
                </c:pt>
                <c:pt idx="95">
                  <c:v>579</c:v>
                </c:pt>
                <c:pt idx="96">
                  <c:v>575</c:v>
                </c:pt>
                <c:pt idx="97">
                  <c:v>562.1</c:v>
                </c:pt>
                <c:pt idx="98">
                  <c:v>557.23</c:v>
                </c:pt>
                <c:pt idx="99">
                  <c:v>557</c:v>
                </c:pt>
                <c:pt idx="100">
                  <c:v>543.6</c:v>
                </c:pt>
                <c:pt idx="101">
                  <c:v>540</c:v>
                </c:pt>
                <c:pt idx="102">
                  <c:v>525</c:v>
                </c:pt>
                <c:pt idx="103">
                  <c:v>513.1</c:v>
                </c:pt>
                <c:pt idx="104">
                  <c:v>513</c:v>
                </c:pt>
                <c:pt idx="105">
                  <c:v>484.7</c:v>
                </c:pt>
                <c:pt idx="106">
                  <c:v>482.25</c:v>
                </c:pt>
                <c:pt idx="107">
                  <c:v>477.8</c:v>
                </c:pt>
                <c:pt idx="108">
                  <c:v>472.2</c:v>
                </c:pt>
                <c:pt idx="109">
                  <c:v>468</c:v>
                </c:pt>
                <c:pt idx="110">
                  <c:v>457.58</c:v>
                </c:pt>
                <c:pt idx="111">
                  <c:v>455.65</c:v>
                </c:pt>
                <c:pt idx="112">
                  <c:v>440</c:v>
                </c:pt>
                <c:pt idx="113">
                  <c:v>438.05</c:v>
                </c:pt>
                <c:pt idx="114">
                  <c:v>429.2</c:v>
                </c:pt>
                <c:pt idx="115">
                  <c:v>428.9</c:v>
                </c:pt>
                <c:pt idx="116">
                  <c:v>425</c:v>
                </c:pt>
                <c:pt idx="117">
                  <c:v>403.55</c:v>
                </c:pt>
                <c:pt idx="118">
                  <c:v>395</c:v>
                </c:pt>
                <c:pt idx="119">
                  <c:v>378.4</c:v>
                </c:pt>
                <c:pt idx="120">
                  <c:v>372.4</c:v>
                </c:pt>
                <c:pt idx="121">
                  <c:v>364.1</c:v>
                </c:pt>
                <c:pt idx="122">
                  <c:v>358.15</c:v>
                </c:pt>
                <c:pt idx="123">
                  <c:v>354</c:v>
                </c:pt>
                <c:pt idx="124">
                  <c:v>351.5</c:v>
                </c:pt>
                <c:pt idx="125">
                  <c:v>343.5</c:v>
                </c:pt>
                <c:pt idx="126">
                  <c:v>322.10000000000002</c:v>
                </c:pt>
                <c:pt idx="127">
                  <c:v>320.85000000000002</c:v>
                </c:pt>
                <c:pt idx="128">
                  <c:v>312</c:v>
                </c:pt>
                <c:pt idx="129">
                  <c:v>305.25</c:v>
                </c:pt>
                <c:pt idx="130">
                  <c:v>301.10000000000002</c:v>
                </c:pt>
                <c:pt idx="131">
                  <c:v>291.75</c:v>
                </c:pt>
                <c:pt idx="132">
                  <c:v>289.05</c:v>
                </c:pt>
                <c:pt idx="133">
                  <c:v>288</c:v>
                </c:pt>
                <c:pt idx="134">
                  <c:v>274.35000000000002</c:v>
                </c:pt>
                <c:pt idx="135">
                  <c:v>274</c:v>
                </c:pt>
                <c:pt idx="136">
                  <c:v>261</c:v>
                </c:pt>
                <c:pt idx="137">
                  <c:v>258.95</c:v>
                </c:pt>
                <c:pt idx="138">
                  <c:v>258.39999999999998</c:v>
                </c:pt>
                <c:pt idx="139">
                  <c:v>244</c:v>
                </c:pt>
                <c:pt idx="140">
                  <c:v>241.05</c:v>
                </c:pt>
                <c:pt idx="141">
                  <c:v>227</c:v>
                </c:pt>
                <c:pt idx="142">
                  <c:v>209.55</c:v>
                </c:pt>
                <c:pt idx="143">
                  <c:v>202</c:v>
                </c:pt>
                <c:pt idx="144">
                  <c:v>190</c:v>
                </c:pt>
                <c:pt idx="145">
                  <c:v>169.25</c:v>
                </c:pt>
                <c:pt idx="146">
                  <c:v>164</c:v>
                </c:pt>
                <c:pt idx="147">
                  <c:v>130.25</c:v>
                </c:pt>
                <c:pt idx="148">
                  <c:v>129.25</c:v>
                </c:pt>
                <c:pt idx="149">
                  <c:v>128</c:v>
                </c:pt>
                <c:pt idx="150">
                  <c:v>116.75</c:v>
                </c:pt>
                <c:pt idx="151">
                  <c:v>98</c:v>
                </c:pt>
                <c:pt idx="152">
                  <c:v>89.9</c:v>
                </c:pt>
                <c:pt idx="153">
                  <c:v>82.71</c:v>
                </c:pt>
                <c:pt idx="154">
                  <c:v>82.5</c:v>
                </c:pt>
                <c:pt idx="155">
                  <c:v>81.5</c:v>
                </c:pt>
                <c:pt idx="156">
                  <c:v>51.55</c:v>
                </c:pt>
                <c:pt idx="157">
                  <c:v>30.45</c:v>
                </c:pt>
                <c:pt idx="158">
                  <c:v>12.11</c:v>
                </c:pt>
              </c:numCache>
            </c:numRef>
          </c:val>
          <c:extLst>
            <c:ext xmlns:c16="http://schemas.microsoft.com/office/drawing/2014/chart" uri="{C3380CC4-5D6E-409C-BE32-E72D297353CC}">
              <c16:uniqueId val="{00000001-A51B-49DB-A319-1044A9F0A963}"/>
            </c:ext>
          </c:extLst>
        </c:ser>
        <c:dLbls>
          <c:showLegendKey val="0"/>
          <c:showVal val="0"/>
          <c:showCatName val="0"/>
          <c:showSerName val="0"/>
          <c:showPercent val="0"/>
          <c:showBubbleSize val="0"/>
        </c:dLbls>
        <c:gapWidth val="40"/>
        <c:overlap val="100"/>
        <c:axId val="768984336"/>
        <c:axId val="526608496"/>
      </c:barChart>
      <c:catAx>
        <c:axId val="7689843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100" b="1" i="0" u="none" strike="noStrike" kern="1200" baseline="0">
                <a:solidFill>
                  <a:schemeClr val="bg2">
                    <a:lumMod val="65000"/>
                  </a:schemeClr>
                </a:solidFill>
                <a:latin typeface="+mn-lt"/>
                <a:ea typeface="+mn-ea"/>
                <a:cs typeface="+mn-cs"/>
              </a:defRPr>
            </a:pPr>
            <a:endParaRPr lang="en-US"/>
          </a:p>
        </c:txPr>
        <c:crossAx val="526608496"/>
        <c:crosses val="autoZero"/>
        <c:auto val="1"/>
        <c:lblAlgn val="ctr"/>
        <c:lblOffset val="100"/>
        <c:noMultiLvlLbl val="0"/>
      </c:catAx>
      <c:valAx>
        <c:axId val="526608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100" b="1" i="0" u="none" strike="noStrike" kern="1200" baseline="0">
                <a:solidFill>
                  <a:schemeClr val="bg2">
                    <a:lumMod val="65000"/>
                  </a:schemeClr>
                </a:solidFill>
                <a:latin typeface="+mn-lt"/>
                <a:ea typeface="+mn-ea"/>
                <a:cs typeface="+mn-cs"/>
              </a:defRPr>
            </a:pPr>
            <a:endParaRPr lang="en-US"/>
          </a:p>
        </c:txPr>
        <c:crossAx val="768984336"/>
        <c:crosses val="autoZero"/>
        <c:crossBetween val="between"/>
      </c:valAx>
      <c:spPr>
        <a:noFill/>
        <a:ln>
          <a:noFill/>
        </a:ln>
        <a:effectLst/>
      </c:spPr>
    </c:plotArea>
    <c:legend>
      <c:legendPos val="r"/>
      <c:layout>
        <c:manualLayout>
          <c:xMode val="edge"/>
          <c:yMode val="edge"/>
          <c:x val="0.95302668776417965"/>
          <c:y val="0.29040481415111175"/>
          <c:w val="4.6609887685928109E-2"/>
          <c:h val="0.25870099545947745"/>
        </c:manualLayout>
      </c:layout>
      <c:overlay val="0"/>
      <c:spPr>
        <a:noFill/>
        <a:ln>
          <a:noFill/>
        </a:ln>
        <a:effectLst/>
      </c:spPr>
      <c:txPr>
        <a:bodyPr rot="0" spcFirstLastPara="1" vertOverflow="ellipsis" vert="horz" wrap="square" anchor="ctr" anchorCtr="1"/>
        <a:lstStyle/>
        <a:p>
          <a:pPr algn="ctr">
            <a:defRPr lang="en-US" sz="1400" b="1" i="0" u="none" strike="noStrike" kern="1200" baseline="0">
              <a:solidFill>
                <a:schemeClr val="bg2">
                  <a:lumMod val="6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1.png"/><Relationship Id="rId18" Type="http://schemas.openxmlformats.org/officeDocument/2006/relationships/chart" Target="../charts/chart2.xml"/><Relationship Id="rId26" Type="http://schemas.openxmlformats.org/officeDocument/2006/relationships/image" Target="../media/image16.svg"/><Relationship Id="rId3" Type="http://schemas.openxmlformats.org/officeDocument/2006/relationships/image" Target="../media/image3.png"/><Relationship Id="rId21" Type="http://schemas.openxmlformats.org/officeDocument/2006/relationships/chart" Target="../charts/chart5.xml"/><Relationship Id="rId7" Type="http://schemas.openxmlformats.org/officeDocument/2006/relationships/image" Target="../media/image6.svg"/><Relationship Id="rId12" Type="http://schemas.openxmlformats.org/officeDocument/2006/relationships/hyperlink" Target="#'Filter data'!A1"/><Relationship Id="rId17" Type="http://schemas.openxmlformats.org/officeDocument/2006/relationships/image" Target="../media/image14.svg"/><Relationship Id="rId25" Type="http://schemas.openxmlformats.org/officeDocument/2006/relationships/image" Target="../media/image15.png"/><Relationship Id="rId2" Type="http://schemas.openxmlformats.org/officeDocument/2006/relationships/image" Target="../media/image2.svg"/><Relationship Id="rId16" Type="http://schemas.openxmlformats.org/officeDocument/2006/relationships/image" Target="../media/image13.png"/><Relationship Id="rId20"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10.svg"/><Relationship Id="rId24" Type="http://schemas.openxmlformats.org/officeDocument/2006/relationships/hyperlink" Target="#Dashboard!A1"/><Relationship Id="rId5" Type="http://schemas.openxmlformats.org/officeDocument/2006/relationships/chart" Target="../charts/chart1.xml"/><Relationship Id="rId15" Type="http://schemas.openxmlformats.org/officeDocument/2006/relationships/hyperlink" Target="#Pivots!A1"/><Relationship Id="rId23" Type="http://schemas.openxmlformats.org/officeDocument/2006/relationships/chart" Target="../charts/chart7.xml"/><Relationship Id="rId10" Type="http://schemas.openxmlformats.org/officeDocument/2006/relationships/image" Target="../media/image9.png"/><Relationship Id="rId19" Type="http://schemas.openxmlformats.org/officeDocument/2006/relationships/chart" Target="../charts/chart3.xml"/><Relationship Id="rId4" Type="http://schemas.openxmlformats.org/officeDocument/2006/relationships/image" Target="../media/image4.svg"/><Relationship Id="rId9" Type="http://schemas.openxmlformats.org/officeDocument/2006/relationships/image" Target="../media/image8.svg"/><Relationship Id="rId14" Type="http://schemas.openxmlformats.org/officeDocument/2006/relationships/image" Target="../media/image12.svg"/><Relationship Id="rId22"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30480</xdr:rowOff>
    </xdr:from>
    <xdr:to>
      <xdr:col>34</xdr:col>
      <xdr:colOff>385948</xdr:colOff>
      <xdr:row>5</xdr:row>
      <xdr:rowOff>129540</xdr:rowOff>
    </xdr:to>
    <xdr:sp macro="" textlink="">
      <xdr:nvSpPr>
        <xdr:cNvPr id="2" name="Rectangle 1">
          <a:extLst>
            <a:ext uri="{FF2B5EF4-FFF2-40B4-BE49-F238E27FC236}">
              <a16:creationId xmlns:a16="http://schemas.microsoft.com/office/drawing/2014/main" id="{1A2E6E1E-99DF-137C-A92F-A8AC196DCCC8}"/>
            </a:ext>
          </a:extLst>
        </xdr:cNvPr>
        <xdr:cNvSpPr/>
      </xdr:nvSpPr>
      <xdr:spPr>
        <a:xfrm>
          <a:off x="38100" y="30480"/>
          <a:ext cx="21208835" cy="940229"/>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800" b="1">
              <a:solidFill>
                <a:schemeClr val="accent2">
                  <a:lumMod val="75000"/>
                </a:schemeClr>
              </a:solidFill>
              <a:latin typeface="Dubai" panose="020B0503030403030204" pitchFamily="34" charset="-78"/>
              <a:cs typeface="Dubai" panose="020B0503030403030204" pitchFamily="34" charset="-78"/>
            </a:rPr>
            <a:t>Stock</a:t>
          </a:r>
          <a:r>
            <a:rPr lang="en-IN" sz="4800" b="1" baseline="0">
              <a:solidFill>
                <a:schemeClr val="accent2">
                  <a:lumMod val="75000"/>
                </a:schemeClr>
              </a:solidFill>
              <a:latin typeface="Dubai" panose="020B0503030403030204" pitchFamily="34" charset="-78"/>
              <a:cs typeface="Dubai" panose="020B0503030403030204" pitchFamily="34" charset="-78"/>
            </a:rPr>
            <a:t> Mar</a:t>
          </a:r>
          <a:r>
            <a:rPr lang="en-IN" sz="4800" b="1" baseline="0">
              <a:solidFill>
                <a:schemeClr val="accent4">
                  <a:lumMod val="75000"/>
                </a:schemeClr>
              </a:solidFill>
              <a:latin typeface="Dubai" panose="020B0503030403030204" pitchFamily="34" charset="-78"/>
              <a:cs typeface="Dubai" panose="020B0503030403030204" pitchFamily="34" charset="-78"/>
            </a:rPr>
            <a:t>ket Analysis</a:t>
          </a:r>
          <a:endParaRPr lang="en-IN" sz="4800" b="1">
            <a:solidFill>
              <a:schemeClr val="accent4">
                <a:lumMod val="75000"/>
              </a:schemeClr>
            </a:solidFill>
            <a:latin typeface="Dubai" panose="020B0503030403030204" pitchFamily="34" charset="-78"/>
            <a:cs typeface="Dubai" panose="020B0503030403030204" pitchFamily="34" charset="-78"/>
          </a:endParaRPr>
        </a:p>
      </xdr:txBody>
    </xdr:sp>
    <xdr:clientData/>
  </xdr:twoCellAnchor>
  <xdr:twoCellAnchor>
    <xdr:from>
      <xdr:col>4</xdr:col>
      <xdr:colOff>161936</xdr:colOff>
      <xdr:row>6</xdr:row>
      <xdr:rowOff>73096</xdr:rowOff>
    </xdr:from>
    <xdr:to>
      <xdr:col>8</xdr:col>
      <xdr:colOff>351152</xdr:colOff>
      <xdr:row>13</xdr:row>
      <xdr:rowOff>118533</xdr:rowOff>
    </xdr:to>
    <xdr:sp macro="" textlink="">
      <xdr:nvSpPr>
        <xdr:cNvPr id="12" name="Rectangle 11">
          <a:extLst>
            <a:ext uri="{FF2B5EF4-FFF2-40B4-BE49-F238E27FC236}">
              <a16:creationId xmlns:a16="http://schemas.microsoft.com/office/drawing/2014/main" id="{117E4CD0-33F1-6FD5-5C94-0C27A2BFFE1E}"/>
            </a:ext>
          </a:extLst>
        </xdr:cNvPr>
        <xdr:cNvSpPr/>
      </xdr:nvSpPr>
      <xdr:spPr>
        <a:xfrm>
          <a:off x="2590004" y="1080486"/>
          <a:ext cx="2617284" cy="1220725"/>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3200" b="1">
            <a:solidFill>
              <a:schemeClr val="accent2">
                <a:lumMod val="75000"/>
              </a:schemeClr>
            </a:solidFill>
            <a:latin typeface="Dubai" panose="020B0503030403030204" pitchFamily="34" charset="-78"/>
            <a:ea typeface="+mn-ea"/>
            <a:cs typeface="Dubai" panose="020B0503030403030204" pitchFamily="34" charset="-78"/>
          </a:endParaRPr>
        </a:p>
      </xdr:txBody>
    </xdr:sp>
    <xdr:clientData/>
  </xdr:twoCellAnchor>
  <xdr:twoCellAnchor>
    <xdr:from>
      <xdr:col>4</xdr:col>
      <xdr:colOff>169872</xdr:colOff>
      <xdr:row>6</xdr:row>
      <xdr:rowOff>77657</xdr:rowOff>
    </xdr:from>
    <xdr:to>
      <xdr:col>8</xdr:col>
      <xdr:colOff>329045</xdr:colOff>
      <xdr:row>8</xdr:row>
      <xdr:rowOff>76200</xdr:rowOff>
    </xdr:to>
    <xdr:sp macro="" textlink="">
      <xdr:nvSpPr>
        <xdr:cNvPr id="15" name="TextBox 14">
          <a:extLst>
            <a:ext uri="{FF2B5EF4-FFF2-40B4-BE49-F238E27FC236}">
              <a16:creationId xmlns:a16="http://schemas.microsoft.com/office/drawing/2014/main" id="{D69DE300-6D8B-0536-BB98-9A46E4577D8F}"/>
            </a:ext>
          </a:extLst>
        </xdr:cNvPr>
        <xdr:cNvSpPr txBox="1"/>
      </xdr:nvSpPr>
      <xdr:spPr>
        <a:xfrm>
          <a:off x="2594417" y="1064793"/>
          <a:ext cx="2583719" cy="327589"/>
        </a:xfrm>
        <a:prstGeom prst="rect">
          <a:avLst/>
        </a:prstGeom>
        <a:solidFill>
          <a:schemeClr val="tx2">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latin typeface="Dubai "/>
              <a:cs typeface="Dubai Light" panose="020B0303030403030204" pitchFamily="34" charset="-78"/>
            </a:rPr>
            <a:t>Max</a:t>
          </a:r>
          <a:r>
            <a:rPr lang="en-IN" sz="1400" b="1" baseline="0">
              <a:solidFill>
                <a:schemeClr val="bg1"/>
              </a:solidFill>
              <a:latin typeface="Dubai "/>
              <a:cs typeface="Dubai Light" panose="020B0303030403030204" pitchFamily="34" charset="-78"/>
            </a:rPr>
            <a:t> PE Ratio</a:t>
          </a:r>
          <a:endParaRPr lang="en-IN" sz="1200" b="1">
            <a:solidFill>
              <a:schemeClr val="bg1"/>
            </a:solidFill>
            <a:latin typeface="Dubai "/>
            <a:cs typeface="Dubai Light" panose="020B0303030403030204" pitchFamily="34" charset="-78"/>
          </a:endParaRPr>
        </a:p>
      </xdr:txBody>
    </xdr:sp>
    <xdr:clientData/>
  </xdr:twoCellAnchor>
  <xdr:twoCellAnchor>
    <xdr:from>
      <xdr:col>4</xdr:col>
      <xdr:colOff>237346</xdr:colOff>
      <xdr:row>8</xdr:row>
      <xdr:rowOff>156308</xdr:rowOff>
    </xdr:from>
    <xdr:to>
      <xdr:col>6</xdr:col>
      <xdr:colOff>474689</xdr:colOff>
      <xdr:row>13</xdr:row>
      <xdr:rowOff>37475</xdr:rowOff>
    </xdr:to>
    <xdr:sp macro="" textlink="">
      <xdr:nvSpPr>
        <xdr:cNvPr id="16" name="TextBox 15">
          <a:extLst>
            <a:ext uri="{FF2B5EF4-FFF2-40B4-BE49-F238E27FC236}">
              <a16:creationId xmlns:a16="http://schemas.microsoft.com/office/drawing/2014/main" id="{4855D4B8-D9A7-A097-56B2-11B43F0FD33C}"/>
            </a:ext>
          </a:extLst>
        </xdr:cNvPr>
        <xdr:cNvSpPr txBox="1"/>
      </xdr:nvSpPr>
      <xdr:spPr>
        <a:xfrm>
          <a:off x="2685739" y="1455456"/>
          <a:ext cx="1461540" cy="693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i="0" u="none" strike="noStrike">
              <a:solidFill>
                <a:schemeClr val="bg2">
                  <a:lumMod val="65000"/>
                </a:schemeClr>
              </a:solidFill>
              <a:effectLst/>
              <a:latin typeface="+mn-lt"/>
              <a:ea typeface="+mn-ea"/>
              <a:cs typeface="+mn-cs"/>
            </a:rPr>
            <a:t>64.75</a:t>
          </a:r>
          <a:r>
            <a:rPr lang="en-IN" sz="3600"/>
            <a:t> </a:t>
          </a:r>
        </a:p>
      </xdr:txBody>
    </xdr:sp>
    <xdr:clientData/>
  </xdr:twoCellAnchor>
  <xdr:twoCellAnchor>
    <xdr:from>
      <xdr:col>8</xdr:col>
      <xdr:colOff>502841</xdr:colOff>
      <xdr:row>6</xdr:row>
      <xdr:rowOff>74834</xdr:rowOff>
    </xdr:from>
    <xdr:to>
      <xdr:col>13</xdr:col>
      <xdr:colOff>83764</xdr:colOff>
      <xdr:row>13</xdr:row>
      <xdr:rowOff>116417</xdr:rowOff>
    </xdr:to>
    <xdr:sp macro="" textlink="">
      <xdr:nvSpPr>
        <xdr:cNvPr id="17" name="Rectangle 16">
          <a:extLst>
            <a:ext uri="{FF2B5EF4-FFF2-40B4-BE49-F238E27FC236}">
              <a16:creationId xmlns:a16="http://schemas.microsoft.com/office/drawing/2014/main" id="{98ACFA91-425D-1020-858A-81957D7D9945}"/>
            </a:ext>
          </a:extLst>
        </xdr:cNvPr>
        <xdr:cNvSpPr/>
      </xdr:nvSpPr>
      <xdr:spPr>
        <a:xfrm>
          <a:off x="5413508" y="1090834"/>
          <a:ext cx="2650089" cy="1226916"/>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3200" b="1">
            <a:solidFill>
              <a:schemeClr val="accent2">
                <a:lumMod val="75000"/>
              </a:schemeClr>
            </a:solidFill>
            <a:latin typeface="Dubai" panose="020B0503030403030204" pitchFamily="34" charset="-78"/>
            <a:ea typeface="+mn-ea"/>
            <a:cs typeface="Dubai" panose="020B0503030403030204" pitchFamily="34" charset="-78"/>
          </a:endParaRPr>
        </a:p>
      </xdr:txBody>
    </xdr:sp>
    <xdr:clientData/>
  </xdr:twoCellAnchor>
  <xdr:twoCellAnchor>
    <xdr:from>
      <xdr:col>8</xdr:col>
      <xdr:colOff>504182</xdr:colOff>
      <xdr:row>6</xdr:row>
      <xdr:rowOff>75871</xdr:rowOff>
    </xdr:from>
    <xdr:to>
      <xdr:col>13</xdr:col>
      <xdr:colOff>89447</xdr:colOff>
      <xdr:row>8</xdr:row>
      <xdr:rowOff>44123</xdr:rowOff>
    </xdr:to>
    <xdr:sp macro="" textlink="">
      <xdr:nvSpPr>
        <xdr:cNvPr id="18" name="TextBox 17">
          <a:extLst>
            <a:ext uri="{FF2B5EF4-FFF2-40B4-BE49-F238E27FC236}">
              <a16:creationId xmlns:a16="http://schemas.microsoft.com/office/drawing/2014/main" id="{D7227796-0388-A0B2-2225-EBEF678FA82D}"/>
            </a:ext>
          </a:extLst>
        </xdr:cNvPr>
        <xdr:cNvSpPr txBox="1"/>
      </xdr:nvSpPr>
      <xdr:spPr>
        <a:xfrm>
          <a:off x="5391966" y="1064412"/>
          <a:ext cx="2640130" cy="297765"/>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latin typeface="Dubai "/>
            </a:rPr>
            <a:t>Min PE Ratio</a:t>
          </a:r>
          <a:endParaRPr lang="en-IN" sz="1200" b="1">
            <a:solidFill>
              <a:schemeClr val="bg1"/>
            </a:solidFill>
            <a:latin typeface="Dubai "/>
          </a:endParaRPr>
        </a:p>
      </xdr:txBody>
    </xdr:sp>
    <xdr:clientData/>
  </xdr:twoCellAnchor>
  <xdr:twoCellAnchor>
    <xdr:from>
      <xdr:col>9</xdr:col>
      <xdr:colOff>43624</xdr:colOff>
      <xdr:row>8</xdr:row>
      <xdr:rowOff>83607</xdr:rowOff>
    </xdr:from>
    <xdr:to>
      <xdr:col>11</xdr:col>
      <xdr:colOff>37100</xdr:colOff>
      <xdr:row>13</xdr:row>
      <xdr:rowOff>58623</xdr:rowOff>
    </xdr:to>
    <xdr:sp macro="" textlink="">
      <xdr:nvSpPr>
        <xdr:cNvPr id="19" name="TextBox 18">
          <a:extLst>
            <a:ext uri="{FF2B5EF4-FFF2-40B4-BE49-F238E27FC236}">
              <a16:creationId xmlns:a16="http://schemas.microsoft.com/office/drawing/2014/main" id="{FEE981EC-1129-14F8-D3CD-0E50F0D09085}"/>
            </a:ext>
          </a:extLst>
        </xdr:cNvPr>
        <xdr:cNvSpPr txBox="1"/>
      </xdr:nvSpPr>
      <xdr:spPr>
        <a:xfrm>
          <a:off x="5542381" y="1401661"/>
          <a:ext cx="1215422" cy="79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b="1" i="0" u="none" strike="noStrike">
              <a:ln>
                <a:noFill/>
              </a:ln>
              <a:solidFill>
                <a:schemeClr val="bg1"/>
              </a:solidFill>
              <a:effectLst/>
              <a:latin typeface="+mn-lt"/>
              <a:ea typeface="+mn-ea"/>
              <a:cs typeface="+mn-cs"/>
            </a:rPr>
            <a:t>3.39</a:t>
          </a:r>
          <a:r>
            <a:rPr lang="en-IN" sz="1800"/>
            <a:t> </a:t>
          </a:r>
          <a:endParaRPr lang="en-IN" sz="1800">
            <a:solidFill>
              <a:schemeClr val="tx1"/>
            </a:solidFill>
          </a:endParaRPr>
        </a:p>
      </xdr:txBody>
    </xdr:sp>
    <xdr:clientData/>
  </xdr:twoCellAnchor>
  <xdr:twoCellAnchor editAs="oneCell">
    <xdr:from>
      <xdr:col>7</xdr:col>
      <xdr:colOff>0</xdr:colOff>
      <xdr:row>8</xdr:row>
      <xdr:rowOff>149900</xdr:rowOff>
    </xdr:from>
    <xdr:to>
      <xdr:col>8</xdr:col>
      <xdr:colOff>215154</xdr:colOff>
      <xdr:row>13</xdr:row>
      <xdr:rowOff>27776</xdr:rowOff>
    </xdr:to>
    <xdr:pic>
      <xdr:nvPicPr>
        <xdr:cNvPr id="27" name="Graphic 26" descr="Bar graph with upward trend with solid fill">
          <a:extLst>
            <a:ext uri="{FF2B5EF4-FFF2-40B4-BE49-F238E27FC236}">
              <a16:creationId xmlns:a16="http://schemas.microsoft.com/office/drawing/2014/main" id="{8C3B1D88-CF05-FB9D-C34F-B3526F97E0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284689" y="1449048"/>
          <a:ext cx="827252" cy="689843"/>
        </a:xfrm>
        <a:prstGeom prst="rect">
          <a:avLst/>
        </a:prstGeom>
        <a:effectLst>
          <a:outerShdw blurRad="50800" dist="38100" dir="5400000" algn="t" rotWithShape="0">
            <a:prstClr val="black">
              <a:alpha val="40000"/>
            </a:prstClr>
          </a:outerShdw>
        </a:effectLst>
      </xdr:spPr>
    </xdr:pic>
    <xdr:clientData/>
  </xdr:twoCellAnchor>
  <xdr:twoCellAnchor editAs="oneCell">
    <xdr:from>
      <xdr:col>11</xdr:col>
      <xdr:colOff>336178</xdr:colOff>
      <xdr:row>8</xdr:row>
      <xdr:rowOff>126019</xdr:rowOff>
    </xdr:from>
    <xdr:to>
      <xdr:col>12</xdr:col>
      <xdr:colOff>536045</xdr:colOff>
      <xdr:row>12</xdr:row>
      <xdr:rowOff>138512</xdr:rowOff>
    </xdr:to>
    <xdr:pic>
      <xdr:nvPicPr>
        <xdr:cNvPr id="29" name="Graphic 28" descr="Bar graph with downward trend with solid fill">
          <a:extLst>
            <a:ext uri="{FF2B5EF4-FFF2-40B4-BE49-F238E27FC236}">
              <a16:creationId xmlns:a16="http://schemas.microsoft.com/office/drawing/2014/main" id="{4C060C9D-2AD0-6D9E-4F33-7CDA0F0FF5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056881" y="1444073"/>
          <a:ext cx="810840" cy="671520"/>
        </a:xfrm>
        <a:prstGeom prst="rect">
          <a:avLst/>
        </a:prstGeom>
        <a:effectLst>
          <a:outerShdw blurRad="50800" dist="38100" dir="5400000" algn="t" rotWithShape="0">
            <a:prstClr val="black">
              <a:alpha val="40000"/>
            </a:prstClr>
          </a:outerShdw>
        </a:effectLst>
      </xdr:spPr>
    </xdr:pic>
    <xdr:clientData/>
  </xdr:twoCellAnchor>
  <xdr:twoCellAnchor>
    <xdr:from>
      <xdr:col>20</xdr:col>
      <xdr:colOff>303172</xdr:colOff>
      <xdr:row>6</xdr:row>
      <xdr:rowOff>46174</xdr:rowOff>
    </xdr:from>
    <xdr:to>
      <xdr:col>27</xdr:col>
      <xdr:colOff>262518</xdr:colOff>
      <xdr:row>13</xdr:row>
      <xdr:rowOff>116114</xdr:rowOff>
    </xdr:to>
    <xdr:sp macro="" textlink="">
      <xdr:nvSpPr>
        <xdr:cNvPr id="32" name="Rectangle 31">
          <a:extLst>
            <a:ext uri="{FF2B5EF4-FFF2-40B4-BE49-F238E27FC236}">
              <a16:creationId xmlns:a16="http://schemas.microsoft.com/office/drawing/2014/main" id="{71F2FB01-A9FA-92A1-63C4-72E468D5432F}"/>
            </a:ext>
          </a:extLst>
        </xdr:cNvPr>
        <xdr:cNvSpPr/>
      </xdr:nvSpPr>
      <xdr:spPr>
        <a:xfrm>
          <a:off x="12450998" y="1040087"/>
          <a:ext cx="4211085" cy="1229505"/>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3200" b="1">
            <a:solidFill>
              <a:schemeClr val="accent2">
                <a:lumMod val="75000"/>
              </a:schemeClr>
            </a:solidFill>
            <a:latin typeface="Dubai" panose="020B0503030403030204" pitchFamily="34" charset="-78"/>
            <a:ea typeface="+mn-ea"/>
            <a:cs typeface="Dubai" panose="020B0503030403030204" pitchFamily="34" charset="-78"/>
          </a:endParaRPr>
        </a:p>
      </xdr:txBody>
    </xdr:sp>
    <xdr:clientData/>
  </xdr:twoCellAnchor>
  <xdr:twoCellAnchor>
    <xdr:from>
      <xdr:col>4</xdr:col>
      <xdr:colOff>250514</xdr:colOff>
      <xdr:row>14</xdr:row>
      <xdr:rowOff>120199</xdr:rowOff>
    </xdr:from>
    <xdr:to>
      <xdr:col>20</xdr:col>
      <xdr:colOff>450207</xdr:colOff>
      <xdr:row>41</xdr:row>
      <xdr:rowOff>111677</xdr:rowOff>
    </xdr:to>
    <xdr:sp macro="" textlink="">
      <xdr:nvSpPr>
        <xdr:cNvPr id="7" name="Rectangle 6">
          <a:extLst>
            <a:ext uri="{FF2B5EF4-FFF2-40B4-BE49-F238E27FC236}">
              <a16:creationId xmlns:a16="http://schemas.microsoft.com/office/drawing/2014/main" id="{5D979C6E-B1D9-2408-64B7-115F8480E917}"/>
            </a:ext>
          </a:extLst>
        </xdr:cNvPr>
        <xdr:cNvSpPr/>
      </xdr:nvSpPr>
      <xdr:spPr>
        <a:xfrm>
          <a:off x="2688914" y="2417922"/>
          <a:ext cx="9953293" cy="4633817"/>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800" b="1">
            <a:solidFill>
              <a:schemeClr val="tx1"/>
            </a:solidFill>
            <a:latin typeface="Dubai" panose="020B0503030403030204" pitchFamily="34" charset="-78"/>
            <a:cs typeface="Dubai" panose="020B0503030403030204" pitchFamily="34" charset="-78"/>
          </a:endParaRPr>
        </a:p>
      </xdr:txBody>
    </xdr:sp>
    <xdr:clientData/>
  </xdr:twoCellAnchor>
  <xdr:twoCellAnchor>
    <xdr:from>
      <xdr:col>4</xdr:col>
      <xdr:colOff>246619</xdr:colOff>
      <xdr:row>17</xdr:row>
      <xdr:rowOff>145231</xdr:rowOff>
    </xdr:from>
    <xdr:to>
      <xdr:col>20</xdr:col>
      <xdr:colOff>424543</xdr:colOff>
      <xdr:row>41</xdr:row>
      <xdr:rowOff>120218</xdr:rowOff>
    </xdr:to>
    <xdr:graphicFrame macro="">
      <xdr:nvGraphicFramePr>
        <xdr:cNvPr id="9" name="Chart 8">
          <a:extLst>
            <a:ext uri="{FF2B5EF4-FFF2-40B4-BE49-F238E27FC236}">
              <a16:creationId xmlns:a16="http://schemas.microsoft.com/office/drawing/2014/main" id="{36A77ED0-3049-4821-8170-C888DBFFE8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263927</xdr:colOff>
      <xdr:row>14</xdr:row>
      <xdr:rowOff>125318</xdr:rowOff>
    </xdr:from>
    <xdr:to>
      <xdr:col>20</xdr:col>
      <xdr:colOff>453081</xdr:colOff>
      <xdr:row>17</xdr:row>
      <xdr:rowOff>138465</xdr:rowOff>
    </xdr:to>
    <xdr:sp macro="" textlink="">
      <xdr:nvSpPr>
        <xdr:cNvPr id="10" name="TextBox 9">
          <a:extLst>
            <a:ext uri="{FF2B5EF4-FFF2-40B4-BE49-F238E27FC236}">
              <a16:creationId xmlns:a16="http://schemas.microsoft.com/office/drawing/2014/main" id="{08211493-182A-375A-EFFD-7E2B294B8DD8}"/>
            </a:ext>
          </a:extLst>
        </xdr:cNvPr>
        <xdr:cNvSpPr txBox="1"/>
      </xdr:nvSpPr>
      <xdr:spPr>
        <a:xfrm>
          <a:off x="2702327" y="2489577"/>
          <a:ext cx="9942754" cy="519774"/>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000" b="1">
              <a:solidFill>
                <a:schemeClr val="bg1"/>
              </a:solidFill>
              <a:effectLst/>
              <a:latin typeface="+mn-lt"/>
              <a:ea typeface="+mn-ea"/>
              <a:cs typeface="+mn-cs"/>
            </a:rPr>
            <a:t>Top 10 Stock by Market</a:t>
          </a:r>
          <a:r>
            <a:rPr lang="en-IN" sz="2000" b="1" baseline="0">
              <a:solidFill>
                <a:schemeClr val="bg1"/>
              </a:solidFill>
              <a:effectLst/>
              <a:latin typeface="+mn-lt"/>
              <a:ea typeface="+mn-ea"/>
              <a:cs typeface="+mn-cs"/>
            </a:rPr>
            <a:t> Capitalization</a:t>
          </a:r>
          <a:endParaRPr lang="en-IN" sz="3200">
            <a:solidFill>
              <a:schemeClr val="bg1"/>
            </a:solidFill>
            <a:effectLst/>
          </a:endParaRPr>
        </a:p>
      </xdr:txBody>
    </xdr:sp>
    <xdr:clientData/>
  </xdr:twoCellAnchor>
  <xdr:twoCellAnchor>
    <xdr:from>
      <xdr:col>0</xdr:col>
      <xdr:colOff>38100</xdr:colOff>
      <xdr:row>6</xdr:row>
      <xdr:rowOff>23813</xdr:rowOff>
    </xdr:from>
    <xdr:to>
      <xdr:col>4</xdr:col>
      <xdr:colOff>95250</xdr:colOff>
      <xdr:row>100</xdr:row>
      <xdr:rowOff>66261</xdr:rowOff>
    </xdr:to>
    <xdr:sp macro="" textlink="">
      <xdr:nvSpPr>
        <xdr:cNvPr id="3" name="Rectangle 2">
          <a:extLst>
            <a:ext uri="{FF2B5EF4-FFF2-40B4-BE49-F238E27FC236}">
              <a16:creationId xmlns:a16="http://schemas.microsoft.com/office/drawing/2014/main" id="{40292A77-6962-A1BD-D23F-7F10B1D48E82}"/>
            </a:ext>
          </a:extLst>
        </xdr:cNvPr>
        <xdr:cNvSpPr/>
      </xdr:nvSpPr>
      <xdr:spPr>
        <a:xfrm>
          <a:off x="38100" y="1027423"/>
          <a:ext cx="2510418" cy="15951521"/>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3200" b="1">
            <a:solidFill>
              <a:schemeClr val="accent2">
                <a:lumMod val="75000"/>
              </a:schemeClr>
            </a:solidFill>
            <a:latin typeface="Dubai" panose="020B0503030403030204" pitchFamily="34" charset="-78"/>
            <a:ea typeface="+mn-ea"/>
            <a:cs typeface="Dubai" panose="020B0503030403030204" pitchFamily="34" charset="-78"/>
          </a:endParaRPr>
        </a:p>
      </xdr:txBody>
    </xdr:sp>
    <xdr:clientData/>
  </xdr:twoCellAnchor>
  <xdr:twoCellAnchor>
    <xdr:from>
      <xdr:col>13</xdr:col>
      <xdr:colOff>222725</xdr:colOff>
      <xdr:row>6</xdr:row>
      <xdr:rowOff>76927</xdr:rowOff>
    </xdr:from>
    <xdr:to>
      <xdr:col>20</xdr:col>
      <xdr:colOff>182070</xdr:colOff>
      <xdr:row>13</xdr:row>
      <xdr:rowOff>116816</xdr:rowOff>
    </xdr:to>
    <xdr:sp macro="" textlink="">
      <xdr:nvSpPr>
        <xdr:cNvPr id="11" name="Rectangle 10">
          <a:extLst>
            <a:ext uri="{FF2B5EF4-FFF2-40B4-BE49-F238E27FC236}">
              <a16:creationId xmlns:a16="http://schemas.microsoft.com/office/drawing/2014/main" id="{44DB9FA1-BF0F-B169-8B83-5FB4AAF3591B}"/>
            </a:ext>
          </a:extLst>
        </xdr:cNvPr>
        <xdr:cNvSpPr/>
      </xdr:nvSpPr>
      <xdr:spPr>
        <a:xfrm>
          <a:off x="8171984" y="1092927"/>
          <a:ext cx="4239716" cy="1225222"/>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100" b="1">
            <a:solidFill>
              <a:schemeClr val="bg1"/>
            </a:solidFill>
            <a:latin typeface="Dubai" panose="020B0503030403030204" pitchFamily="34" charset="-78"/>
            <a:cs typeface="Dubai" panose="020B0503030403030204" pitchFamily="34" charset="-78"/>
          </a:endParaRPr>
        </a:p>
      </xdr:txBody>
    </xdr:sp>
    <xdr:clientData/>
  </xdr:twoCellAnchor>
  <xdr:twoCellAnchor>
    <xdr:from>
      <xdr:col>13</xdr:col>
      <xdr:colOff>220766</xdr:colOff>
      <xdr:row>6</xdr:row>
      <xdr:rowOff>35520</xdr:rowOff>
    </xdr:from>
    <xdr:to>
      <xdr:col>20</xdr:col>
      <xdr:colOff>188148</xdr:colOff>
      <xdr:row>8</xdr:row>
      <xdr:rowOff>22482</xdr:rowOff>
    </xdr:to>
    <xdr:sp macro="" textlink="">
      <xdr:nvSpPr>
        <xdr:cNvPr id="13" name="TextBox 12">
          <a:extLst>
            <a:ext uri="{FF2B5EF4-FFF2-40B4-BE49-F238E27FC236}">
              <a16:creationId xmlns:a16="http://schemas.microsoft.com/office/drawing/2014/main" id="{580ED74C-70B1-8ADD-BC29-4E78F2D93458}"/>
            </a:ext>
          </a:extLst>
        </xdr:cNvPr>
        <xdr:cNvSpPr txBox="1"/>
      </xdr:nvSpPr>
      <xdr:spPr>
        <a:xfrm>
          <a:off x="8182598" y="1061015"/>
          <a:ext cx="4254522" cy="328794"/>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latin typeface="Dubai "/>
            </a:rPr>
            <a:t>52</a:t>
          </a:r>
          <a:r>
            <a:rPr lang="en-IN" sz="1400" b="1" baseline="0">
              <a:solidFill>
                <a:schemeClr val="bg1"/>
              </a:solidFill>
              <a:latin typeface="Dubai "/>
            </a:rPr>
            <a:t> Week High</a:t>
          </a:r>
          <a:endParaRPr lang="en-IN" sz="1400" b="1">
            <a:solidFill>
              <a:schemeClr val="bg1"/>
            </a:solidFill>
            <a:latin typeface="Dubai "/>
          </a:endParaRPr>
        </a:p>
      </xdr:txBody>
    </xdr:sp>
    <xdr:clientData/>
  </xdr:twoCellAnchor>
  <xdr:twoCellAnchor>
    <xdr:from>
      <xdr:col>13</xdr:col>
      <xdr:colOff>206962</xdr:colOff>
      <xdr:row>8</xdr:row>
      <xdr:rowOff>55385</xdr:rowOff>
    </xdr:from>
    <xdr:to>
      <xdr:col>18</xdr:col>
      <xdr:colOff>212810</xdr:colOff>
      <xdr:row>13</xdr:row>
      <xdr:rowOff>30401</xdr:rowOff>
    </xdr:to>
    <xdr:sp macro="" textlink="">
      <xdr:nvSpPr>
        <xdr:cNvPr id="14" name="TextBox 13">
          <a:extLst>
            <a:ext uri="{FF2B5EF4-FFF2-40B4-BE49-F238E27FC236}">
              <a16:creationId xmlns:a16="http://schemas.microsoft.com/office/drawing/2014/main" id="{EC2DACF7-D5A0-EB26-AB61-EAF4209D1F0D}"/>
            </a:ext>
          </a:extLst>
        </xdr:cNvPr>
        <xdr:cNvSpPr txBox="1"/>
      </xdr:nvSpPr>
      <xdr:spPr>
        <a:xfrm>
          <a:off x="8149611" y="1373439"/>
          <a:ext cx="3060713" cy="79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b="1" i="0" u="none" strike="noStrike">
              <a:solidFill>
                <a:schemeClr val="bg2">
                  <a:lumMod val="65000"/>
                </a:schemeClr>
              </a:solidFill>
              <a:effectLst/>
              <a:latin typeface="+mn-lt"/>
              <a:ea typeface="+mn-ea"/>
              <a:cs typeface="+mn-cs"/>
            </a:rPr>
            <a:t>444228.17</a:t>
          </a:r>
          <a:r>
            <a:rPr lang="en-IN" sz="1800">
              <a:solidFill>
                <a:schemeClr val="bg2">
                  <a:lumMod val="50000"/>
                </a:schemeClr>
              </a:solidFill>
            </a:rPr>
            <a:t> </a:t>
          </a:r>
        </a:p>
      </xdr:txBody>
    </xdr:sp>
    <xdr:clientData/>
  </xdr:twoCellAnchor>
  <xdr:twoCellAnchor editAs="oneCell">
    <xdr:from>
      <xdr:col>18</xdr:col>
      <xdr:colOff>240269</xdr:colOff>
      <xdr:row>8</xdr:row>
      <xdr:rowOff>20595</xdr:rowOff>
    </xdr:from>
    <xdr:to>
      <xdr:col>19</xdr:col>
      <xdr:colOff>514864</xdr:colOff>
      <xdr:row>12</xdr:row>
      <xdr:rowOff>109838</xdr:rowOff>
    </xdr:to>
    <xdr:pic>
      <xdr:nvPicPr>
        <xdr:cNvPr id="21" name="Graphic 20" descr="Upward trend with solid fill">
          <a:extLst>
            <a:ext uri="{FF2B5EF4-FFF2-40B4-BE49-F238E27FC236}">
              <a16:creationId xmlns:a16="http://schemas.microsoft.com/office/drawing/2014/main" id="{1739BC33-BF5B-042F-22EB-6909AA6F856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1182247" y="1390483"/>
          <a:ext cx="882482" cy="774186"/>
        </a:xfrm>
        <a:prstGeom prst="rect">
          <a:avLst/>
        </a:prstGeom>
        <a:effectLst>
          <a:outerShdw blurRad="50800" dist="38100" dir="5400000" algn="t" rotWithShape="0">
            <a:prstClr val="black">
              <a:alpha val="40000"/>
            </a:prstClr>
          </a:outerShdw>
        </a:effectLst>
      </xdr:spPr>
    </xdr:pic>
    <xdr:clientData/>
  </xdr:twoCellAnchor>
  <xdr:twoCellAnchor>
    <xdr:from>
      <xdr:col>27</xdr:col>
      <xdr:colOff>368793</xdr:colOff>
      <xdr:row>6</xdr:row>
      <xdr:rowOff>79134</xdr:rowOff>
    </xdr:from>
    <xdr:to>
      <xdr:col>34</xdr:col>
      <xdr:colOff>328139</xdr:colOff>
      <xdr:row>13</xdr:row>
      <xdr:rowOff>119022</xdr:rowOff>
    </xdr:to>
    <xdr:sp macro="" textlink="">
      <xdr:nvSpPr>
        <xdr:cNvPr id="22" name="Rectangle 21">
          <a:extLst>
            <a:ext uri="{FF2B5EF4-FFF2-40B4-BE49-F238E27FC236}">
              <a16:creationId xmlns:a16="http://schemas.microsoft.com/office/drawing/2014/main" id="{650A228F-8049-03FF-DFE0-3D2FAD0C86D0}"/>
            </a:ext>
          </a:extLst>
        </xdr:cNvPr>
        <xdr:cNvSpPr/>
      </xdr:nvSpPr>
      <xdr:spPr>
        <a:xfrm>
          <a:off x="16862000" y="1099332"/>
          <a:ext cx="4235362" cy="1230120"/>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endParaRPr lang="en-IN" sz="3200" b="1">
            <a:solidFill>
              <a:schemeClr val="accent2">
                <a:lumMod val="75000"/>
              </a:schemeClr>
            </a:solidFill>
            <a:latin typeface="Dubai" panose="020B0503030403030204" pitchFamily="34" charset="-78"/>
            <a:ea typeface="+mn-ea"/>
            <a:cs typeface="Dubai" panose="020B0503030403030204" pitchFamily="34" charset="-78"/>
          </a:endParaRPr>
        </a:p>
      </xdr:txBody>
    </xdr:sp>
    <xdr:clientData/>
  </xdr:twoCellAnchor>
  <xdr:twoCellAnchor>
    <xdr:from>
      <xdr:col>20</xdr:col>
      <xdr:colOff>292652</xdr:colOff>
      <xdr:row>6</xdr:row>
      <xdr:rowOff>35520</xdr:rowOff>
    </xdr:from>
    <xdr:to>
      <xdr:col>27</xdr:col>
      <xdr:colOff>276087</xdr:colOff>
      <xdr:row>8</xdr:row>
      <xdr:rowOff>22482</xdr:rowOff>
    </xdr:to>
    <xdr:sp macro="" textlink="">
      <xdr:nvSpPr>
        <xdr:cNvPr id="23" name="TextBox 22">
          <a:extLst>
            <a:ext uri="{FF2B5EF4-FFF2-40B4-BE49-F238E27FC236}">
              <a16:creationId xmlns:a16="http://schemas.microsoft.com/office/drawing/2014/main" id="{526BF833-E91C-8EF5-A90D-D9807BADE924}"/>
            </a:ext>
          </a:extLst>
        </xdr:cNvPr>
        <xdr:cNvSpPr txBox="1"/>
      </xdr:nvSpPr>
      <xdr:spPr>
        <a:xfrm>
          <a:off x="12440478" y="1029433"/>
          <a:ext cx="4235174" cy="318266"/>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latin typeface="Dubai "/>
            </a:rPr>
            <a:t>Yesterday</a:t>
          </a:r>
          <a:r>
            <a:rPr lang="en-IN" sz="1400" b="1" baseline="0">
              <a:solidFill>
                <a:schemeClr val="bg1"/>
              </a:solidFill>
              <a:latin typeface="Dubai "/>
            </a:rPr>
            <a:t> Closing Price</a:t>
          </a:r>
          <a:endParaRPr lang="en-IN" sz="1400" b="1">
            <a:solidFill>
              <a:schemeClr val="bg1"/>
            </a:solidFill>
            <a:latin typeface="Dubai "/>
          </a:endParaRPr>
        </a:p>
      </xdr:txBody>
    </xdr:sp>
    <xdr:clientData/>
  </xdr:twoCellAnchor>
  <xdr:twoCellAnchor>
    <xdr:from>
      <xdr:col>20</xdr:col>
      <xdr:colOff>328441</xdr:colOff>
      <xdr:row>8</xdr:row>
      <xdr:rowOff>55385</xdr:rowOff>
    </xdr:from>
    <xdr:to>
      <xdr:col>25</xdr:col>
      <xdr:colOff>334288</xdr:colOff>
      <xdr:row>13</xdr:row>
      <xdr:rowOff>30401</xdr:rowOff>
    </xdr:to>
    <xdr:sp macro="" textlink="">
      <xdr:nvSpPr>
        <xdr:cNvPr id="24" name="TextBox 23">
          <a:extLst>
            <a:ext uri="{FF2B5EF4-FFF2-40B4-BE49-F238E27FC236}">
              <a16:creationId xmlns:a16="http://schemas.microsoft.com/office/drawing/2014/main" id="{8F1BD587-109A-9CF8-4F16-7B93D5686130}"/>
            </a:ext>
          </a:extLst>
        </xdr:cNvPr>
        <xdr:cNvSpPr txBox="1"/>
      </xdr:nvSpPr>
      <xdr:spPr>
        <a:xfrm>
          <a:off x="12476267" y="1380602"/>
          <a:ext cx="3042804" cy="803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b="1" i="0" u="none" strike="noStrike">
              <a:solidFill>
                <a:schemeClr val="bg2">
                  <a:lumMod val="65000"/>
                </a:schemeClr>
              </a:solidFill>
              <a:effectLst/>
              <a:latin typeface="+mn-lt"/>
              <a:ea typeface="+mn-ea"/>
              <a:cs typeface="+mn-cs"/>
            </a:rPr>
            <a:t>340108.95</a:t>
          </a:r>
          <a:r>
            <a:rPr lang="en-IN" sz="4000"/>
            <a:t> </a:t>
          </a:r>
          <a:endParaRPr lang="en-IN" sz="1800">
            <a:solidFill>
              <a:schemeClr val="tx1"/>
            </a:solidFill>
          </a:endParaRPr>
        </a:p>
      </xdr:txBody>
    </xdr:sp>
    <xdr:clientData/>
  </xdr:twoCellAnchor>
  <xdr:twoCellAnchor editAs="oneCell">
    <xdr:from>
      <xdr:col>25</xdr:col>
      <xdr:colOff>314739</xdr:colOff>
      <xdr:row>8</xdr:row>
      <xdr:rowOff>33129</xdr:rowOff>
    </xdr:from>
    <xdr:to>
      <xdr:col>26</xdr:col>
      <xdr:colOff>456095</xdr:colOff>
      <xdr:row>12</xdr:row>
      <xdr:rowOff>135833</xdr:rowOff>
    </xdr:to>
    <xdr:pic>
      <xdr:nvPicPr>
        <xdr:cNvPr id="26" name="Graphic 25" descr="Close with solid fill">
          <a:extLst>
            <a:ext uri="{FF2B5EF4-FFF2-40B4-BE49-F238E27FC236}">
              <a16:creationId xmlns:a16="http://schemas.microsoft.com/office/drawing/2014/main" id="{6673F939-5BC0-40E1-2ACA-5886E29DE83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499522" y="1358346"/>
          <a:ext cx="748748" cy="765313"/>
        </a:xfrm>
        <a:prstGeom prst="rect">
          <a:avLst/>
        </a:prstGeom>
        <a:effectLst>
          <a:outerShdw blurRad="50800" dist="38100" dir="5400000" algn="t" rotWithShape="0">
            <a:prstClr val="black">
              <a:alpha val="40000"/>
            </a:prstClr>
          </a:outerShdw>
        </a:effectLst>
      </xdr:spPr>
    </xdr:pic>
    <xdr:clientData/>
  </xdr:twoCellAnchor>
  <xdr:twoCellAnchor>
    <xdr:from>
      <xdr:col>27</xdr:col>
      <xdr:colOff>363745</xdr:colOff>
      <xdr:row>6</xdr:row>
      <xdr:rowOff>52162</xdr:rowOff>
    </xdr:from>
    <xdr:to>
      <xdr:col>34</xdr:col>
      <xdr:colOff>335508</xdr:colOff>
      <xdr:row>8</xdr:row>
      <xdr:rowOff>39126</xdr:rowOff>
    </xdr:to>
    <xdr:sp macro="" textlink="">
      <xdr:nvSpPr>
        <xdr:cNvPr id="28" name="TextBox 27">
          <a:extLst>
            <a:ext uri="{FF2B5EF4-FFF2-40B4-BE49-F238E27FC236}">
              <a16:creationId xmlns:a16="http://schemas.microsoft.com/office/drawing/2014/main" id="{151D3371-9286-8760-8E59-C7E7AED7F144}"/>
            </a:ext>
          </a:extLst>
        </xdr:cNvPr>
        <xdr:cNvSpPr txBox="1"/>
      </xdr:nvSpPr>
      <xdr:spPr>
        <a:xfrm>
          <a:off x="16792238" y="1041625"/>
          <a:ext cx="4231001" cy="316785"/>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chemeClr val="bg1"/>
              </a:solidFill>
              <a:latin typeface="Dubai "/>
            </a:rPr>
            <a:t>Market</a:t>
          </a:r>
          <a:r>
            <a:rPr lang="en-IN" sz="1400" b="1" baseline="0">
              <a:solidFill>
                <a:schemeClr val="bg1"/>
              </a:solidFill>
              <a:latin typeface="Dubai "/>
            </a:rPr>
            <a:t> Capitalization (In Rs Cr.)</a:t>
          </a:r>
          <a:endParaRPr lang="en-IN" sz="1400" b="1">
            <a:solidFill>
              <a:schemeClr val="bg1"/>
            </a:solidFill>
            <a:latin typeface="Dubai "/>
          </a:endParaRPr>
        </a:p>
      </xdr:txBody>
    </xdr:sp>
    <xdr:clientData/>
  </xdr:twoCellAnchor>
  <xdr:twoCellAnchor>
    <xdr:from>
      <xdr:col>27</xdr:col>
      <xdr:colOff>386917</xdr:colOff>
      <xdr:row>8</xdr:row>
      <xdr:rowOff>104411</xdr:rowOff>
    </xdr:from>
    <xdr:to>
      <xdr:col>32</xdr:col>
      <xdr:colOff>311388</xdr:colOff>
      <xdr:row>12</xdr:row>
      <xdr:rowOff>138775</xdr:rowOff>
    </xdr:to>
    <xdr:sp macro="" textlink="">
      <xdr:nvSpPr>
        <xdr:cNvPr id="30" name="TextBox 29">
          <a:extLst>
            <a:ext uri="{FF2B5EF4-FFF2-40B4-BE49-F238E27FC236}">
              <a16:creationId xmlns:a16="http://schemas.microsoft.com/office/drawing/2014/main" id="{9765A21D-DD23-4F7A-E7CE-C269FE018D45}"/>
            </a:ext>
          </a:extLst>
        </xdr:cNvPr>
        <xdr:cNvSpPr txBox="1"/>
      </xdr:nvSpPr>
      <xdr:spPr>
        <a:xfrm>
          <a:off x="16880124" y="1464675"/>
          <a:ext cx="2978768" cy="714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i="0" u="none" strike="noStrike">
              <a:solidFill>
                <a:schemeClr val="bg2">
                  <a:lumMod val="65000"/>
                </a:schemeClr>
              </a:solidFill>
              <a:effectLst/>
              <a:latin typeface="+mn-lt"/>
              <a:ea typeface="+mn-ea"/>
              <a:cs typeface="+mn-cs"/>
            </a:rPr>
            <a:t>11077977.4</a:t>
          </a:r>
          <a:r>
            <a:rPr lang="en-IN" sz="3200"/>
            <a:t> </a:t>
          </a:r>
          <a:endParaRPr lang="en-IN" sz="3200" b="1">
            <a:latin typeface="Dubai "/>
          </a:endParaRPr>
        </a:p>
      </xdr:txBody>
    </xdr:sp>
    <xdr:clientData/>
  </xdr:twoCellAnchor>
  <xdr:twoCellAnchor editAs="oneCell">
    <xdr:from>
      <xdr:col>32</xdr:col>
      <xdr:colOff>430732</xdr:colOff>
      <xdr:row>7</xdr:row>
      <xdr:rowOff>160023</xdr:rowOff>
    </xdr:from>
    <xdr:to>
      <xdr:col>34</xdr:col>
      <xdr:colOff>53260</xdr:colOff>
      <xdr:row>12</xdr:row>
      <xdr:rowOff>131895</xdr:rowOff>
    </xdr:to>
    <xdr:pic>
      <xdr:nvPicPr>
        <xdr:cNvPr id="31" name="Graphic 30" descr="Money with solid fill">
          <a:extLst>
            <a:ext uri="{FF2B5EF4-FFF2-40B4-BE49-F238E27FC236}">
              <a16:creationId xmlns:a16="http://schemas.microsoft.com/office/drawing/2014/main" id="{99A88E29-4035-A424-BCA7-C950049C1D8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9978236" y="1350254"/>
          <a:ext cx="781343" cy="822038"/>
        </a:xfrm>
        <a:prstGeom prst="rect">
          <a:avLst/>
        </a:prstGeom>
        <a:effectLst>
          <a:outerShdw blurRad="50800" dist="38100" dir="5400000" algn="t" rotWithShape="0">
            <a:prstClr val="black">
              <a:alpha val="40000"/>
            </a:prstClr>
          </a:outerShdw>
        </a:effectLst>
      </xdr:spPr>
    </xdr:pic>
    <xdr:clientData/>
  </xdr:twoCellAnchor>
  <xdr:twoCellAnchor editAs="oneCell">
    <xdr:from>
      <xdr:col>0</xdr:col>
      <xdr:colOff>315952</xdr:colOff>
      <xdr:row>13</xdr:row>
      <xdr:rowOff>12691</xdr:rowOff>
    </xdr:from>
    <xdr:to>
      <xdr:col>3</xdr:col>
      <xdr:colOff>185878</xdr:colOff>
      <xdr:row>21</xdr:row>
      <xdr:rowOff>125290</xdr:rowOff>
    </xdr:to>
    <xdr:pic>
      <xdr:nvPicPr>
        <xdr:cNvPr id="39" name="Graphic 38" descr="Database with solid fill">
          <a:hlinkClick xmlns:r="http://schemas.openxmlformats.org/officeDocument/2006/relationships" r:id="rId12"/>
          <a:extLst>
            <a:ext uri="{FF2B5EF4-FFF2-40B4-BE49-F238E27FC236}">
              <a16:creationId xmlns:a16="http://schemas.microsoft.com/office/drawing/2014/main" id="{B8083CA1-23AC-E105-4CEE-D02BA83CAE1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15952" y="2187179"/>
          <a:ext cx="1709877" cy="1450745"/>
        </a:xfrm>
        <a:prstGeom prst="rect">
          <a:avLst/>
        </a:prstGeom>
        <a:effectLst>
          <a:outerShdw blurRad="50800" dist="38100" dir="5400000" algn="t" rotWithShape="0">
            <a:prstClr val="black">
              <a:alpha val="40000"/>
            </a:prstClr>
          </a:outerShdw>
        </a:effectLst>
      </xdr:spPr>
    </xdr:pic>
    <xdr:clientData/>
  </xdr:twoCellAnchor>
  <xdr:twoCellAnchor editAs="oneCell">
    <xdr:from>
      <xdr:col>0</xdr:col>
      <xdr:colOff>464633</xdr:colOff>
      <xdr:row>34</xdr:row>
      <xdr:rowOff>69161</xdr:rowOff>
    </xdr:from>
    <xdr:to>
      <xdr:col>3</xdr:col>
      <xdr:colOff>162089</xdr:colOff>
      <xdr:row>43</xdr:row>
      <xdr:rowOff>48023</xdr:rowOff>
    </xdr:to>
    <xdr:pic>
      <xdr:nvPicPr>
        <xdr:cNvPr id="42" name="Graphic 41" descr="Research with solid fill">
          <a:hlinkClick xmlns:r="http://schemas.openxmlformats.org/officeDocument/2006/relationships" r:id="rId15"/>
          <a:extLst>
            <a:ext uri="{FF2B5EF4-FFF2-40B4-BE49-F238E27FC236}">
              <a16:creationId xmlns:a16="http://schemas.microsoft.com/office/drawing/2014/main" id="{CC70227B-8606-8C1B-0B6B-A48300344C7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464633" y="5942137"/>
          <a:ext cx="1537407" cy="1484276"/>
        </a:xfrm>
        <a:prstGeom prst="rect">
          <a:avLst/>
        </a:prstGeom>
        <a:effectLst>
          <a:outerShdw blurRad="50800" dist="38100" dir="5400000" algn="t" rotWithShape="0">
            <a:prstClr val="black">
              <a:alpha val="40000"/>
            </a:prstClr>
          </a:outerShdw>
        </a:effectLst>
      </xdr:spPr>
    </xdr:pic>
    <xdr:clientData/>
  </xdr:twoCellAnchor>
  <xdr:twoCellAnchor>
    <xdr:from>
      <xdr:col>21</xdr:col>
      <xdr:colOff>39750</xdr:colOff>
      <xdr:row>14</xdr:row>
      <xdr:rowOff>152624</xdr:rowOff>
    </xdr:from>
    <xdr:to>
      <xdr:col>34</xdr:col>
      <xdr:colOff>389107</xdr:colOff>
      <xdr:row>41</xdr:row>
      <xdr:rowOff>123825</xdr:rowOff>
    </xdr:to>
    <xdr:sp macro="" textlink="">
      <xdr:nvSpPr>
        <xdr:cNvPr id="5" name="Rectangle 4">
          <a:extLst>
            <a:ext uri="{FF2B5EF4-FFF2-40B4-BE49-F238E27FC236}">
              <a16:creationId xmlns:a16="http://schemas.microsoft.com/office/drawing/2014/main" id="{27D25BF9-64B2-D1CA-6C98-FD2AAF69EE66}"/>
            </a:ext>
          </a:extLst>
        </xdr:cNvPr>
        <xdr:cNvSpPr/>
      </xdr:nvSpPr>
      <xdr:spPr>
        <a:xfrm>
          <a:off x="12841350" y="2438624"/>
          <a:ext cx="8274157" cy="4597630"/>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800" b="1">
            <a:solidFill>
              <a:schemeClr val="tx1"/>
            </a:solidFill>
            <a:latin typeface="Dubai" panose="020B0503030403030204" pitchFamily="34" charset="-78"/>
            <a:cs typeface="Dubai" panose="020B0503030403030204" pitchFamily="34" charset="-78"/>
          </a:endParaRPr>
        </a:p>
      </xdr:txBody>
    </xdr:sp>
    <xdr:clientData/>
  </xdr:twoCellAnchor>
  <xdr:twoCellAnchor>
    <xdr:from>
      <xdr:col>21</xdr:col>
      <xdr:colOff>36286</xdr:colOff>
      <xdr:row>14</xdr:row>
      <xdr:rowOff>145143</xdr:rowOff>
    </xdr:from>
    <xdr:to>
      <xdr:col>34</xdr:col>
      <xdr:colOff>405190</xdr:colOff>
      <xdr:row>17</xdr:row>
      <xdr:rowOff>138465</xdr:rowOff>
    </xdr:to>
    <xdr:sp macro="" textlink="">
      <xdr:nvSpPr>
        <xdr:cNvPr id="6" name="TextBox 5">
          <a:extLst>
            <a:ext uri="{FF2B5EF4-FFF2-40B4-BE49-F238E27FC236}">
              <a16:creationId xmlns:a16="http://schemas.microsoft.com/office/drawing/2014/main" id="{9ED94E00-9F30-FEC8-52DE-19FB616B8F5F}"/>
            </a:ext>
          </a:extLst>
        </xdr:cNvPr>
        <xdr:cNvSpPr txBox="1"/>
      </xdr:nvSpPr>
      <xdr:spPr>
        <a:xfrm>
          <a:off x="12863286" y="2515810"/>
          <a:ext cx="8309428" cy="501322"/>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000" b="1">
              <a:solidFill>
                <a:schemeClr val="bg1"/>
              </a:solidFill>
              <a:effectLst/>
              <a:latin typeface="+mn-lt"/>
              <a:ea typeface="+mn-ea"/>
              <a:cs typeface="+mn-cs"/>
            </a:rPr>
            <a:t>Current</a:t>
          </a:r>
          <a:r>
            <a:rPr lang="en-IN" sz="3200" baseline="0">
              <a:solidFill>
                <a:schemeClr val="bg1"/>
              </a:solidFill>
              <a:effectLst/>
            </a:rPr>
            <a:t> </a:t>
          </a:r>
          <a:r>
            <a:rPr lang="en-IN" sz="2000" b="1">
              <a:solidFill>
                <a:schemeClr val="bg1"/>
              </a:solidFill>
              <a:effectLst/>
              <a:latin typeface="+mn-lt"/>
              <a:ea typeface="+mn-ea"/>
              <a:cs typeface="+mn-cs"/>
            </a:rPr>
            <a:t>Price by Cap Size</a:t>
          </a:r>
        </a:p>
      </xdr:txBody>
    </xdr:sp>
    <xdr:clientData/>
  </xdr:twoCellAnchor>
  <xdr:twoCellAnchor>
    <xdr:from>
      <xdr:col>21</xdr:col>
      <xdr:colOff>32659</xdr:colOff>
      <xdr:row>18</xdr:row>
      <xdr:rowOff>87086</xdr:rowOff>
    </xdr:from>
    <xdr:to>
      <xdr:col>34</xdr:col>
      <xdr:colOff>239487</xdr:colOff>
      <xdr:row>41</xdr:row>
      <xdr:rowOff>97971</xdr:rowOff>
    </xdr:to>
    <xdr:graphicFrame macro="">
      <xdr:nvGraphicFramePr>
        <xdr:cNvPr id="20" name="Chart 19">
          <a:extLst>
            <a:ext uri="{FF2B5EF4-FFF2-40B4-BE49-F238E27FC236}">
              <a16:creationId xmlns:a16="http://schemas.microsoft.com/office/drawing/2014/main" id="{0C1C2CCB-BFEA-A441-ABEF-0B2375B3F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235274</xdr:colOff>
      <xdr:row>42</xdr:row>
      <xdr:rowOff>89719</xdr:rowOff>
    </xdr:from>
    <xdr:to>
      <xdr:col>20</xdr:col>
      <xdr:colOff>434967</xdr:colOff>
      <xdr:row>70</xdr:row>
      <xdr:rowOff>126917</xdr:rowOff>
    </xdr:to>
    <xdr:sp macro="" textlink="">
      <xdr:nvSpPr>
        <xdr:cNvPr id="33" name="Rectangle 32">
          <a:extLst>
            <a:ext uri="{FF2B5EF4-FFF2-40B4-BE49-F238E27FC236}">
              <a16:creationId xmlns:a16="http://schemas.microsoft.com/office/drawing/2014/main" id="{48C62589-CBAB-68AD-2518-A825DFD9E73B}"/>
            </a:ext>
          </a:extLst>
        </xdr:cNvPr>
        <xdr:cNvSpPr/>
      </xdr:nvSpPr>
      <xdr:spPr>
        <a:xfrm>
          <a:off x="2645321" y="7000882"/>
          <a:ext cx="9839879" cy="4502872"/>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800" b="1">
            <a:solidFill>
              <a:schemeClr val="tx1"/>
            </a:solidFill>
            <a:latin typeface="Dubai" panose="020B0503030403030204" pitchFamily="34" charset="-78"/>
            <a:cs typeface="Dubai" panose="020B0503030403030204" pitchFamily="34" charset="-78"/>
          </a:endParaRPr>
        </a:p>
      </xdr:txBody>
    </xdr:sp>
    <xdr:clientData/>
  </xdr:twoCellAnchor>
  <xdr:twoCellAnchor>
    <xdr:from>
      <xdr:col>4</xdr:col>
      <xdr:colOff>263927</xdr:colOff>
      <xdr:row>42</xdr:row>
      <xdr:rowOff>79598</xdr:rowOff>
    </xdr:from>
    <xdr:to>
      <xdr:col>20</xdr:col>
      <xdr:colOff>381000</xdr:colOff>
      <xdr:row>45</xdr:row>
      <xdr:rowOff>92745</xdr:rowOff>
    </xdr:to>
    <xdr:sp macro="" textlink="">
      <xdr:nvSpPr>
        <xdr:cNvPr id="37" name="TextBox 36">
          <a:extLst>
            <a:ext uri="{FF2B5EF4-FFF2-40B4-BE49-F238E27FC236}">
              <a16:creationId xmlns:a16="http://schemas.microsoft.com/office/drawing/2014/main" id="{5A020AB9-A045-D1F1-A7E9-EDB8F1A8BA67}"/>
            </a:ext>
          </a:extLst>
        </xdr:cNvPr>
        <xdr:cNvSpPr txBox="1"/>
      </xdr:nvSpPr>
      <xdr:spPr>
        <a:xfrm>
          <a:off x="2681306" y="7436839"/>
          <a:ext cx="9786591" cy="525527"/>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000" b="1">
              <a:solidFill>
                <a:schemeClr val="bg1"/>
              </a:solidFill>
              <a:effectLst/>
              <a:latin typeface="+mn-lt"/>
              <a:ea typeface="+mn-ea"/>
              <a:cs typeface="+mn-cs"/>
            </a:rPr>
            <a:t>Top 10 Industry by Current</a:t>
          </a:r>
          <a:r>
            <a:rPr lang="en-IN" sz="2000" b="1" baseline="0">
              <a:solidFill>
                <a:schemeClr val="bg1"/>
              </a:solidFill>
              <a:effectLst/>
              <a:latin typeface="+mn-lt"/>
              <a:ea typeface="+mn-ea"/>
              <a:cs typeface="+mn-cs"/>
            </a:rPr>
            <a:t> Price</a:t>
          </a:r>
          <a:endParaRPr lang="en-IN" sz="3200">
            <a:solidFill>
              <a:schemeClr val="bg1"/>
            </a:solidFill>
            <a:effectLst/>
          </a:endParaRPr>
        </a:p>
      </xdr:txBody>
    </xdr:sp>
    <xdr:clientData/>
  </xdr:twoCellAnchor>
  <xdr:twoCellAnchor>
    <xdr:from>
      <xdr:col>4</xdr:col>
      <xdr:colOff>304800</xdr:colOff>
      <xdr:row>45</xdr:row>
      <xdr:rowOff>108858</xdr:rowOff>
    </xdr:from>
    <xdr:to>
      <xdr:col>20</xdr:col>
      <xdr:colOff>457200</xdr:colOff>
      <xdr:row>70</xdr:row>
      <xdr:rowOff>141516</xdr:rowOff>
    </xdr:to>
    <xdr:graphicFrame macro="">
      <xdr:nvGraphicFramePr>
        <xdr:cNvPr id="38" name="Chart 37">
          <a:extLst>
            <a:ext uri="{FF2B5EF4-FFF2-40B4-BE49-F238E27FC236}">
              <a16:creationId xmlns:a16="http://schemas.microsoft.com/office/drawing/2014/main" id="{A0C43DC4-BA6F-8B1E-1D01-B14957A243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21</xdr:col>
      <xdr:colOff>32076</xdr:colOff>
      <xdr:row>42</xdr:row>
      <xdr:rowOff>105021</xdr:rowOff>
    </xdr:from>
    <xdr:to>
      <xdr:col>34</xdr:col>
      <xdr:colOff>390372</xdr:colOff>
      <xdr:row>70</xdr:row>
      <xdr:rowOff>129395</xdr:rowOff>
    </xdr:to>
    <xdr:sp macro="" textlink="">
      <xdr:nvSpPr>
        <xdr:cNvPr id="54" name="Rectangle 53">
          <a:extLst>
            <a:ext uri="{FF2B5EF4-FFF2-40B4-BE49-F238E27FC236}">
              <a16:creationId xmlns:a16="http://schemas.microsoft.com/office/drawing/2014/main" id="{6CDC94EA-E00C-4728-7B07-C3D96046ADAB}"/>
            </a:ext>
          </a:extLst>
        </xdr:cNvPr>
        <xdr:cNvSpPr/>
      </xdr:nvSpPr>
      <xdr:spPr>
        <a:xfrm>
          <a:off x="12976669" y="7405169"/>
          <a:ext cx="9483481" cy="4765707"/>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800" b="1">
            <a:solidFill>
              <a:schemeClr val="tx1"/>
            </a:solidFill>
            <a:latin typeface="Dubai" panose="020B0503030403030204" pitchFamily="34" charset="-78"/>
            <a:cs typeface="Dubai" panose="020B0503030403030204" pitchFamily="34" charset="-78"/>
          </a:endParaRPr>
        </a:p>
      </xdr:txBody>
    </xdr:sp>
    <xdr:clientData/>
  </xdr:twoCellAnchor>
  <xdr:twoCellAnchor>
    <xdr:from>
      <xdr:col>21</xdr:col>
      <xdr:colOff>22562</xdr:colOff>
      <xdr:row>42</xdr:row>
      <xdr:rowOff>95803</xdr:rowOff>
    </xdr:from>
    <xdr:to>
      <xdr:col>34</xdr:col>
      <xdr:colOff>389832</xdr:colOff>
      <xdr:row>45</xdr:row>
      <xdr:rowOff>89125</xdr:rowOff>
    </xdr:to>
    <xdr:sp macro="" textlink="">
      <xdr:nvSpPr>
        <xdr:cNvPr id="55" name="TextBox 54">
          <a:extLst>
            <a:ext uri="{FF2B5EF4-FFF2-40B4-BE49-F238E27FC236}">
              <a16:creationId xmlns:a16="http://schemas.microsoft.com/office/drawing/2014/main" id="{B709EF62-511B-06B2-4A47-9A7EABC18CBD}"/>
            </a:ext>
          </a:extLst>
        </xdr:cNvPr>
        <xdr:cNvSpPr txBox="1"/>
      </xdr:nvSpPr>
      <xdr:spPr>
        <a:xfrm>
          <a:off x="12818411" y="7543275"/>
          <a:ext cx="9439383" cy="510907"/>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000" b="1">
              <a:solidFill>
                <a:schemeClr val="bg1"/>
              </a:solidFill>
              <a:effectLst/>
              <a:latin typeface="+mn-lt"/>
              <a:ea typeface="+mn-ea"/>
              <a:cs typeface="+mn-cs"/>
            </a:rPr>
            <a:t>S</a:t>
          </a:r>
          <a:r>
            <a:rPr lang="en-IN" sz="2000" b="1" baseline="0">
              <a:solidFill>
                <a:schemeClr val="bg1"/>
              </a:solidFill>
              <a:effectLst/>
              <a:latin typeface="+mn-lt"/>
              <a:ea typeface="+mn-ea"/>
              <a:cs typeface="+mn-cs"/>
            </a:rPr>
            <a:t>tock by </a:t>
          </a:r>
          <a:r>
            <a:rPr lang="en-IN" sz="2000" b="1">
              <a:solidFill>
                <a:schemeClr val="bg1"/>
              </a:solidFill>
              <a:effectLst/>
              <a:latin typeface="+mn-lt"/>
              <a:ea typeface="+mn-ea"/>
              <a:cs typeface="+mn-cs"/>
            </a:rPr>
            <a:t>52</a:t>
          </a:r>
          <a:r>
            <a:rPr lang="en-IN" sz="2000" b="1" baseline="0">
              <a:solidFill>
                <a:schemeClr val="bg1"/>
              </a:solidFill>
              <a:effectLst/>
              <a:latin typeface="+mn-lt"/>
              <a:ea typeface="+mn-ea"/>
              <a:cs typeface="+mn-cs"/>
            </a:rPr>
            <a:t> Week high &amp; Current Price </a:t>
          </a:r>
          <a:endParaRPr lang="en-IN" sz="2000" b="1">
            <a:solidFill>
              <a:schemeClr val="bg1"/>
            </a:solidFill>
            <a:effectLst/>
            <a:latin typeface="+mn-lt"/>
            <a:ea typeface="+mn-ea"/>
            <a:cs typeface="+mn-cs"/>
          </a:endParaRPr>
        </a:p>
      </xdr:txBody>
    </xdr:sp>
    <xdr:clientData/>
  </xdr:twoCellAnchor>
  <xdr:twoCellAnchor>
    <xdr:from>
      <xdr:col>21</xdr:col>
      <xdr:colOff>137410</xdr:colOff>
      <xdr:row>45</xdr:row>
      <xdr:rowOff>44823</xdr:rowOff>
    </xdr:from>
    <xdr:to>
      <xdr:col>34</xdr:col>
      <xdr:colOff>387245</xdr:colOff>
      <xdr:row>70</xdr:row>
      <xdr:rowOff>121227</xdr:rowOff>
    </xdr:to>
    <xdr:graphicFrame macro="">
      <xdr:nvGraphicFramePr>
        <xdr:cNvPr id="56" name="Chart 55">
          <a:extLst>
            <a:ext uri="{FF2B5EF4-FFF2-40B4-BE49-F238E27FC236}">
              <a16:creationId xmlns:a16="http://schemas.microsoft.com/office/drawing/2014/main" id="{FFE48741-6029-6FEB-3E6E-4834134DDD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35</xdr:col>
      <xdr:colOff>133925</xdr:colOff>
      <xdr:row>14</xdr:row>
      <xdr:rowOff>129310</xdr:rowOff>
    </xdr:from>
    <xdr:to>
      <xdr:col>56</xdr:col>
      <xdr:colOff>344952</xdr:colOff>
      <xdr:row>41</xdr:row>
      <xdr:rowOff>97236</xdr:rowOff>
    </xdr:to>
    <xdr:sp macro="" textlink="">
      <xdr:nvSpPr>
        <xdr:cNvPr id="25" name="Rectangle 24">
          <a:extLst>
            <a:ext uri="{FF2B5EF4-FFF2-40B4-BE49-F238E27FC236}">
              <a16:creationId xmlns:a16="http://schemas.microsoft.com/office/drawing/2014/main" id="{5DE8A060-2D8B-4DF7-8E93-1BBBA4F7A18D}"/>
            </a:ext>
          </a:extLst>
        </xdr:cNvPr>
        <xdr:cNvSpPr/>
      </xdr:nvSpPr>
      <xdr:spPr>
        <a:xfrm>
          <a:off x="22592143" y="2456874"/>
          <a:ext cx="15035391" cy="4650762"/>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800" b="1">
            <a:solidFill>
              <a:schemeClr val="tx1"/>
            </a:solidFill>
            <a:latin typeface="Dubai" panose="020B0503030403030204" pitchFamily="34" charset="-78"/>
            <a:cs typeface="Dubai" panose="020B0503030403030204" pitchFamily="34" charset="-78"/>
          </a:endParaRPr>
        </a:p>
      </xdr:txBody>
    </xdr:sp>
    <xdr:clientData/>
  </xdr:twoCellAnchor>
  <xdr:twoCellAnchor>
    <xdr:from>
      <xdr:col>35</xdr:col>
      <xdr:colOff>147782</xdr:colOff>
      <xdr:row>14</xdr:row>
      <xdr:rowOff>119687</xdr:rowOff>
    </xdr:from>
    <xdr:to>
      <xdr:col>56</xdr:col>
      <xdr:colOff>337415</xdr:colOff>
      <xdr:row>17</xdr:row>
      <xdr:rowOff>92992</xdr:rowOff>
    </xdr:to>
    <xdr:sp macro="" textlink="">
      <xdr:nvSpPr>
        <xdr:cNvPr id="34" name="TextBox 33">
          <a:extLst>
            <a:ext uri="{FF2B5EF4-FFF2-40B4-BE49-F238E27FC236}">
              <a16:creationId xmlns:a16="http://schemas.microsoft.com/office/drawing/2014/main" id="{F5F97217-8344-B508-73A2-B656B0F2FA57}"/>
            </a:ext>
          </a:extLst>
        </xdr:cNvPr>
        <xdr:cNvSpPr txBox="1"/>
      </xdr:nvSpPr>
      <xdr:spPr>
        <a:xfrm>
          <a:off x="22361237" y="2382596"/>
          <a:ext cx="14875451" cy="458214"/>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000" b="1">
              <a:solidFill>
                <a:schemeClr val="bg1"/>
              </a:solidFill>
              <a:effectLst/>
              <a:latin typeface="+mn-lt"/>
              <a:ea typeface="+mn-ea"/>
              <a:cs typeface="+mn-cs"/>
            </a:rPr>
            <a:t>Yesterday</a:t>
          </a:r>
          <a:r>
            <a:rPr lang="en-IN" sz="2000" b="1" baseline="0">
              <a:solidFill>
                <a:schemeClr val="bg1"/>
              </a:solidFill>
              <a:effectLst/>
              <a:latin typeface="+mn-lt"/>
              <a:ea typeface="+mn-ea"/>
              <a:cs typeface="+mn-cs"/>
            </a:rPr>
            <a:t> Closing Price &amp;</a:t>
          </a:r>
          <a:r>
            <a:rPr lang="en-IN" sz="2000" b="1">
              <a:solidFill>
                <a:schemeClr val="bg1"/>
              </a:solidFill>
              <a:effectLst/>
              <a:latin typeface="+mn-lt"/>
              <a:ea typeface="+mn-ea"/>
              <a:cs typeface="+mn-cs"/>
            </a:rPr>
            <a:t> Current</a:t>
          </a:r>
          <a:r>
            <a:rPr lang="en-IN" sz="2000" b="1" baseline="0">
              <a:solidFill>
                <a:schemeClr val="bg1"/>
              </a:solidFill>
              <a:effectLst/>
              <a:latin typeface="+mn-lt"/>
              <a:ea typeface="+mn-ea"/>
              <a:cs typeface="+mn-cs"/>
            </a:rPr>
            <a:t> Price by Industry</a:t>
          </a:r>
          <a:endParaRPr lang="en-IN" sz="3200">
            <a:solidFill>
              <a:schemeClr val="bg1"/>
            </a:solidFill>
            <a:effectLst/>
          </a:endParaRPr>
        </a:p>
      </xdr:txBody>
    </xdr:sp>
    <xdr:clientData/>
  </xdr:twoCellAnchor>
  <xdr:twoCellAnchor>
    <xdr:from>
      <xdr:col>35</xdr:col>
      <xdr:colOff>197330</xdr:colOff>
      <xdr:row>17</xdr:row>
      <xdr:rowOff>12512</xdr:rowOff>
    </xdr:from>
    <xdr:to>
      <xdr:col>56</xdr:col>
      <xdr:colOff>430505</xdr:colOff>
      <xdr:row>41</xdr:row>
      <xdr:rowOff>38231</xdr:rowOff>
    </xdr:to>
    <xdr:graphicFrame macro="">
      <xdr:nvGraphicFramePr>
        <xdr:cNvPr id="40" name="Chart 39">
          <a:extLst>
            <a:ext uri="{FF2B5EF4-FFF2-40B4-BE49-F238E27FC236}">
              <a16:creationId xmlns:a16="http://schemas.microsoft.com/office/drawing/2014/main" id="{179BCC85-A099-6872-D38C-8C3BE6534F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35</xdr:col>
      <xdr:colOff>242453</xdr:colOff>
      <xdr:row>0</xdr:row>
      <xdr:rowOff>103908</xdr:rowOff>
    </xdr:from>
    <xdr:to>
      <xdr:col>56</xdr:col>
      <xdr:colOff>277091</xdr:colOff>
      <xdr:row>13</xdr:row>
      <xdr:rowOff>51954</xdr:rowOff>
    </xdr:to>
    <xdr:sp macro="" textlink="">
      <xdr:nvSpPr>
        <xdr:cNvPr id="43" name="Rectangle 42">
          <a:extLst>
            <a:ext uri="{FF2B5EF4-FFF2-40B4-BE49-F238E27FC236}">
              <a16:creationId xmlns:a16="http://schemas.microsoft.com/office/drawing/2014/main" id="{15166036-222D-43D8-8BFC-5A87CAB04138}"/>
            </a:ext>
          </a:extLst>
        </xdr:cNvPr>
        <xdr:cNvSpPr/>
      </xdr:nvSpPr>
      <xdr:spPr>
        <a:xfrm>
          <a:off x="22700671" y="103908"/>
          <a:ext cx="14859002" cy="2109355"/>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800" b="1">
            <a:solidFill>
              <a:schemeClr val="tx1"/>
            </a:solidFill>
            <a:latin typeface="Dubai" panose="020B0503030403030204" pitchFamily="34" charset="-78"/>
            <a:cs typeface="Dubai" panose="020B0503030403030204" pitchFamily="34" charset="-78"/>
          </a:endParaRPr>
        </a:p>
      </xdr:txBody>
    </xdr:sp>
    <xdr:clientData/>
  </xdr:twoCellAnchor>
  <xdr:twoCellAnchor editAs="oneCell">
    <xdr:from>
      <xdr:col>35</xdr:col>
      <xdr:colOff>434492</xdr:colOff>
      <xdr:row>1</xdr:row>
      <xdr:rowOff>90714</xdr:rowOff>
    </xdr:from>
    <xdr:to>
      <xdr:col>43</xdr:col>
      <xdr:colOff>193963</xdr:colOff>
      <xdr:row>12</xdr:row>
      <xdr:rowOff>84666</xdr:rowOff>
    </xdr:to>
    <mc:AlternateContent xmlns:mc="http://schemas.openxmlformats.org/markup-compatibility/2006" xmlns:a14="http://schemas.microsoft.com/office/drawing/2010/main">
      <mc:Choice Requires="a14">
        <xdr:graphicFrame macro="">
          <xdr:nvGraphicFramePr>
            <xdr:cNvPr id="44" name="Stock">
              <a:extLst>
                <a:ext uri="{FF2B5EF4-FFF2-40B4-BE49-F238E27FC236}">
                  <a16:creationId xmlns:a16="http://schemas.microsoft.com/office/drawing/2014/main" id="{11741B4A-B4E4-4895-B135-1775FA300750}"/>
                </a:ext>
              </a:extLst>
            </xdr:cNvPr>
            <xdr:cNvGraphicFramePr/>
          </xdr:nvGraphicFramePr>
          <xdr:xfrm>
            <a:off x="0" y="0"/>
            <a:ext cx="0" cy="0"/>
          </xdr:xfrm>
          <a:graphic>
            <a:graphicData uri="http://schemas.microsoft.com/office/drawing/2010/slicer">
              <sle:slicer xmlns:sle="http://schemas.microsoft.com/office/drawing/2010/slicer" name="Stock"/>
            </a:graphicData>
          </a:graphic>
        </xdr:graphicFrame>
      </mc:Choice>
      <mc:Fallback xmlns="">
        <xdr:sp macro="" textlink="">
          <xdr:nvSpPr>
            <xdr:cNvPr id="0" name=""/>
            <xdr:cNvSpPr>
              <a:spLocks noTextEdit="1"/>
            </xdr:cNvSpPr>
          </xdr:nvSpPr>
          <xdr:spPr>
            <a:xfrm>
              <a:off x="22859063" y="264885"/>
              <a:ext cx="6661014" cy="19098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43</xdr:col>
      <xdr:colOff>496891</xdr:colOff>
      <xdr:row>1</xdr:row>
      <xdr:rowOff>72571</xdr:rowOff>
    </xdr:from>
    <xdr:ext cx="7594163" cy="1873003"/>
    <mc:AlternateContent xmlns:mc="http://schemas.openxmlformats.org/markup-compatibility/2006" xmlns:a14="http://schemas.microsoft.com/office/drawing/2010/main">
      <mc:Choice Requires="a14">
        <xdr:graphicFrame macro="">
          <xdr:nvGraphicFramePr>
            <xdr:cNvPr id="45" name="Industery">
              <a:extLst>
                <a:ext uri="{FF2B5EF4-FFF2-40B4-BE49-F238E27FC236}">
                  <a16:creationId xmlns:a16="http://schemas.microsoft.com/office/drawing/2014/main" id="{F61BC434-7894-4F87-BE84-8CD6114E79C1}"/>
                </a:ext>
              </a:extLst>
            </xdr:cNvPr>
            <xdr:cNvGraphicFramePr/>
          </xdr:nvGraphicFramePr>
          <xdr:xfrm>
            <a:off x="0" y="0"/>
            <a:ext cx="0" cy="0"/>
          </xdr:xfrm>
          <a:graphic>
            <a:graphicData uri="http://schemas.microsoft.com/office/drawing/2010/slicer">
              <sle:slicer xmlns:sle="http://schemas.microsoft.com/office/drawing/2010/slicer" name="Industery"/>
            </a:graphicData>
          </a:graphic>
        </xdr:graphicFrame>
      </mc:Choice>
      <mc:Fallback xmlns="">
        <xdr:sp macro="" textlink="">
          <xdr:nvSpPr>
            <xdr:cNvPr id="0" name=""/>
            <xdr:cNvSpPr>
              <a:spLocks noTextEdit="1"/>
            </xdr:cNvSpPr>
          </xdr:nvSpPr>
          <xdr:spPr>
            <a:xfrm>
              <a:off x="29823005" y="246742"/>
              <a:ext cx="7594163" cy="18730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35</xdr:col>
      <xdr:colOff>165675</xdr:colOff>
      <xdr:row>42</xdr:row>
      <xdr:rowOff>81685</xdr:rowOff>
    </xdr:from>
    <xdr:to>
      <xdr:col>56</xdr:col>
      <xdr:colOff>376702</xdr:colOff>
      <xdr:row>71</xdr:row>
      <xdr:rowOff>31750</xdr:rowOff>
    </xdr:to>
    <xdr:sp macro="" textlink="">
      <xdr:nvSpPr>
        <xdr:cNvPr id="52" name="Rectangle 51">
          <a:extLst>
            <a:ext uri="{FF2B5EF4-FFF2-40B4-BE49-F238E27FC236}">
              <a16:creationId xmlns:a16="http://schemas.microsoft.com/office/drawing/2014/main" id="{107F85A0-6DF1-5214-CC63-5D840415A395}"/>
            </a:ext>
          </a:extLst>
        </xdr:cNvPr>
        <xdr:cNvSpPr/>
      </xdr:nvSpPr>
      <xdr:spPr>
        <a:xfrm>
          <a:off x="22709000" y="7345425"/>
          <a:ext cx="15094767" cy="4828844"/>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800" b="1">
            <a:solidFill>
              <a:schemeClr val="tx1"/>
            </a:solidFill>
            <a:latin typeface="Dubai" panose="020B0503030403030204" pitchFamily="34" charset="-78"/>
            <a:cs typeface="Dubai" panose="020B0503030403030204" pitchFamily="34" charset="-78"/>
          </a:endParaRPr>
        </a:p>
      </xdr:txBody>
    </xdr:sp>
    <xdr:clientData/>
  </xdr:twoCellAnchor>
  <xdr:twoCellAnchor>
    <xdr:from>
      <xdr:col>35</xdr:col>
      <xdr:colOff>193963</xdr:colOff>
      <xdr:row>43</xdr:row>
      <xdr:rowOff>27323</xdr:rowOff>
    </xdr:from>
    <xdr:to>
      <xdr:col>56</xdr:col>
      <xdr:colOff>383596</xdr:colOff>
      <xdr:row>46</xdr:row>
      <xdr:rowOff>628</xdr:rowOff>
    </xdr:to>
    <xdr:sp macro="" textlink="">
      <xdr:nvSpPr>
        <xdr:cNvPr id="53" name="TextBox 52">
          <a:extLst>
            <a:ext uri="{FF2B5EF4-FFF2-40B4-BE49-F238E27FC236}">
              <a16:creationId xmlns:a16="http://schemas.microsoft.com/office/drawing/2014/main" id="{45B1CEAC-6C90-0401-74D6-CA8C93E7BF32}"/>
            </a:ext>
          </a:extLst>
        </xdr:cNvPr>
        <xdr:cNvSpPr txBox="1"/>
      </xdr:nvSpPr>
      <xdr:spPr>
        <a:xfrm>
          <a:off x="22407418" y="7208596"/>
          <a:ext cx="14875451" cy="458214"/>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2000" b="1">
              <a:solidFill>
                <a:schemeClr val="bg1"/>
              </a:solidFill>
              <a:effectLst/>
              <a:latin typeface="+mn-lt"/>
              <a:ea typeface="+mn-ea"/>
              <a:cs typeface="+mn-cs"/>
            </a:rPr>
            <a:t>Stock</a:t>
          </a:r>
          <a:r>
            <a:rPr lang="en-IN" sz="2000" b="1" baseline="0">
              <a:solidFill>
                <a:schemeClr val="bg1"/>
              </a:solidFill>
              <a:effectLst/>
              <a:latin typeface="+mn-lt"/>
              <a:ea typeface="+mn-ea"/>
              <a:cs typeface="+mn-cs"/>
            </a:rPr>
            <a:t> by % 52 Week low &amp; Week High</a:t>
          </a:r>
          <a:endParaRPr lang="en-IN" sz="3200">
            <a:solidFill>
              <a:schemeClr val="bg1"/>
            </a:solidFill>
            <a:effectLst/>
          </a:endParaRPr>
        </a:p>
      </xdr:txBody>
    </xdr:sp>
    <xdr:clientData/>
  </xdr:twoCellAnchor>
  <xdr:twoCellAnchor>
    <xdr:from>
      <xdr:col>35</xdr:col>
      <xdr:colOff>230907</xdr:colOff>
      <xdr:row>46</xdr:row>
      <xdr:rowOff>46182</xdr:rowOff>
    </xdr:from>
    <xdr:to>
      <xdr:col>56</xdr:col>
      <xdr:colOff>426850</xdr:colOff>
      <xdr:row>71</xdr:row>
      <xdr:rowOff>0</xdr:rowOff>
    </xdr:to>
    <xdr:graphicFrame macro="">
      <xdr:nvGraphicFramePr>
        <xdr:cNvPr id="57" name="Chart 56">
          <a:extLst>
            <a:ext uri="{FF2B5EF4-FFF2-40B4-BE49-F238E27FC236}">
              <a16:creationId xmlns:a16="http://schemas.microsoft.com/office/drawing/2014/main" id="{5C6F1AF1-7EED-F2E0-81C3-6696008FD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4</xdr:col>
      <xdr:colOff>188086</xdr:colOff>
      <xdr:row>71</xdr:row>
      <xdr:rowOff>104096</xdr:rowOff>
    </xdr:from>
    <xdr:to>
      <xdr:col>56</xdr:col>
      <xdr:colOff>403412</xdr:colOff>
      <xdr:row>100</xdr:row>
      <xdr:rowOff>54162</xdr:rowOff>
    </xdr:to>
    <xdr:sp macro="" textlink="">
      <xdr:nvSpPr>
        <xdr:cNvPr id="59" name="Rectangle 58">
          <a:extLst>
            <a:ext uri="{FF2B5EF4-FFF2-40B4-BE49-F238E27FC236}">
              <a16:creationId xmlns:a16="http://schemas.microsoft.com/office/drawing/2014/main" id="{5021C563-D631-CA5F-93E9-1045CB62D20C}"/>
            </a:ext>
          </a:extLst>
        </xdr:cNvPr>
        <xdr:cNvSpPr/>
      </xdr:nvSpPr>
      <xdr:spPr>
        <a:xfrm>
          <a:off x="2643419" y="12338429"/>
          <a:ext cx="35203826" cy="4860733"/>
        </a:xfrm>
        <a:prstGeom prst="rect">
          <a:avLst/>
        </a:prstGeom>
        <a:solidFill>
          <a:schemeClr val="tx1">
            <a:lumMod val="85000"/>
            <a:lumOff val="1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2800" b="1">
            <a:solidFill>
              <a:schemeClr val="tx1"/>
            </a:solidFill>
            <a:latin typeface="Dubai" panose="020B0503030403030204" pitchFamily="34" charset="-78"/>
            <a:cs typeface="Dubai" panose="020B0503030403030204" pitchFamily="34" charset="-78"/>
          </a:endParaRPr>
        </a:p>
      </xdr:txBody>
    </xdr:sp>
    <xdr:clientData/>
  </xdr:twoCellAnchor>
  <xdr:twoCellAnchor>
    <xdr:from>
      <xdr:col>4</xdr:col>
      <xdr:colOff>328433</xdr:colOff>
      <xdr:row>71</xdr:row>
      <xdr:rowOff>116970</xdr:rowOff>
    </xdr:from>
    <xdr:to>
      <xdr:col>56</xdr:col>
      <xdr:colOff>183265</xdr:colOff>
      <xdr:row>74</xdr:row>
      <xdr:rowOff>90275</xdr:rowOff>
    </xdr:to>
    <xdr:sp macro="" textlink="">
      <xdr:nvSpPr>
        <xdr:cNvPr id="60" name="TextBox 59">
          <a:extLst>
            <a:ext uri="{FF2B5EF4-FFF2-40B4-BE49-F238E27FC236}">
              <a16:creationId xmlns:a16="http://schemas.microsoft.com/office/drawing/2014/main" id="{ECF741A7-6C3E-752B-D195-4DDB87BB6029}"/>
            </a:ext>
          </a:extLst>
        </xdr:cNvPr>
        <xdr:cNvSpPr txBox="1"/>
      </xdr:nvSpPr>
      <xdr:spPr>
        <a:xfrm>
          <a:off x="2759117" y="11971375"/>
          <a:ext cx="34598173" cy="465229"/>
        </a:xfrm>
        <a:prstGeom prst="rect">
          <a:avLst/>
        </a:prstGeom>
        <a:solidFill>
          <a:schemeClr val="tx1">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solidFill>
                <a:schemeClr val="bg1"/>
              </a:solidFill>
              <a:effectLst/>
              <a:latin typeface="+mn-lt"/>
              <a:ea typeface="+mn-ea"/>
              <a:cs typeface="+mn-cs"/>
            </a:rPr>
            <a:t>Stock</a:t>
          </a:r>
          <a:r>
            <a:rPr lang="en-IN" sz="2800" b="1" baseline="0">
              <a:solidFill>
                <a:schemeClr val="bg1"/>
              </a:solidFill>
              <a:effectLst/>
              <a:latin typeface="+mn-lt"/>
              <a:ea typeface="+mn-ea"/>
              <a:cs typeface="+mn-cs"/>
            </a:rPr>
            <a:t> by 52 Week low &amp; Week High</a:t>
          </a:r>
          <a:endParaRPr lang="en-IN" sz="4000">
            <a:solidFill>
              <a:schemeClr val="bg1"/>
            </a:solidFill>
            <a:effectLst/>
          </a:endParaRPr>
        </a:p>
      </xdr:txBody>
    </xdr:sp>
    <xdr:clientData/>
  </xdr:twoCellAnchor>
  <xdr:twoCellAnchor>
    <xdr:from>
      <xdr:col>4</xdr:col>
      <xdr:colOff>388471</xdr:colOff>
      <xdr:row>75</xdr:row>
      <xdr:rowOff>29882</xdr:rowOff>
    </xdr:from>
    <xdr:to>
      <xdr:col>56</xdr:col>
      <xdr:colOff>282222</xdr:colOff>
      <xdr:row>98</xdr:row>
      <xdr:rowOff>127000</xdr:rowOff>
    </xdr:to>
    <xdr:graphicFrame macro="">
      <xdr:nvGraphicFramePr>
        <xdr:cNvPr id="61" name="Chart 60">
          <a:extLst>
            <a:ext uri="{FF2B5EF4-FFF2-40B4-BE49-F238E27FC236}">
              <a16:creationId xmlns:a16="http://schemas.microsoft.com/office/drawing/2014/main" id="{28552A0C-5A1A-40C8-80FD-C516D3E75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0</xdr:col>
      <xdr:colOff>283588</xdr:colOff>
      <xdr:row>60</xdr:row>
      <xdr:rowOff>96529</xdr:rowOff>
    </xdr:from>
    <xdr:to>
      <xdr:col>3</xdr:col>
      <xdr:colOff>301386</xdr:colOff>
      <xdr:row>70</xdr:row>
      <xdr:rowOff>55389</xdr:rowOff>
    </xdr:to>
    <xdr:pic>
      <xdr:nvPicPr>
        <xdr:cNvPr id="63" name="Graphic 62" descr="Presentation with pie chart with solid fill">
          <a:hlinkClick xmlns:r="http://schemas.openxmlformats.org/officeDocument/2006/relationships" r:id="rId24"/>
          <a:extLst>
            <a:ext uri="{FF2B5EF4-FFF2-40B4-BE49-F238E27FC236}">
              <a16:creationId xmlns:a16="http://schemas.microsoft.com/office/drawing/2014/main" id="{109B74E5-880C-D10D-9A7F-42519477B5E2}"/>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283588" y="10187880"/>
          <a:ext cx="1871312" cy="1606428"/>
        </a:xfrm>
        <a:prstGeom prst="rect">
          <a:avLst/>
        </a:prstGeom>
        <a:effectLst>
          <a:outerShdw blurRad="50800" dist="38100" dir="5400000" algn="t" rotWithShape="0">
            <a:prstClr val="black">
              <a:alpha val="40000"/>
            </a:prstClr>
          </a:outerShdw>
        </a:effectLst>
      </xdr:spPr>
    </xdr:pic>
    <xdr:clientData/>
  </xdr:twoCellAnchor>
  <xdr:twoCellAnchor>
    <xdr:from>
      <xdr:col>0</xdr:col>
      <xdr:colOff>53764</xdr:colOff>
      <xdr:row>6</xdr:row>
      <xdr:rowOff>64714</xdr:rowOff>
    </xdr:from>
    <xdr:to>
      <xdr:col>4</xdr:col>
      <xdr:colOff>0</xdr:colOff>
      <xdr:row>12</xdr:row>
      <xdr:rowOff>92926</xdr:rowOff>
    </xdr:to>
    <xdr:sp macro="" textlink="">
      <xdr:nvSpPr>
        <xdr:cNvPr id="64" name="TextBox 63">
          <a:extLst>
            <a:ext uri="{FF2B5EF4-FFF2-40B4-BE49-F238E27FC236}">
              <a16:creationId xmlns:a16="http://schemas.microsoft.com/office/drawing/2014/main" id="{0EAA192A-591B-939A-4BBA-73CF180AA928}"/>
            </a:ext>
          </a:extLst>
        </xdr:cNvPr>
        <xdr:cNvSpPr txBox="1"/>
      </xdr:nvSpPr>
      <xdr:spPr>
        <a:xfrm>
          <a:off x="53764" y="1068324"/>
          <a:ext cx="2399504" cy="1031822"/>
        </a:xfrm>
        <a:prstGeom prst="rect">
          <a:avLst/>
        </a:prstGeom>
        <a:solidFill>
          <a:schemeClr val="tx2">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latin typeface="Dubai "/>
              <a:cs typeface="Dubai Light" panose="020B0303030403030204" pitchFamily="34" charset="-78"/>
            </a:rPr>
            <a:t> Press the</a:t>
          </a:r>
          <a:r>
            <a:rPr lang="en-IN" sz="1800" b="1" baseline="0">
              <a:solidFill>
                <a:schemeClr val="bg1"/>
              </a:solidFill>
              <a:latin typeface="Dubai "/>
              <a:cs typeface="Dubai Light" panose="020B0303030403030204" pitchFamily="34" charset="-78"/>
            </a:rPr>
            <a:t> button to See Data</a:t>
          </a:r>
          <a:r>
            <a:rPr lang="en-IN" sz="1800" b="1">
              <a:solidFill>
                <a:schemeClr val="bg1"/>
              </a:solidFill>
              <a:latin typeface="Dubai "/>
              <a:cs typeface="Dubai Light" panose="020B0303030403030204" pitchFamily="34" charset="-78"/>
            </a:rPr>
            <a:t> </a:t>
          </a:r>
          <a:endParaRPr lang="en-IN" sz="1600" b="1">
            <a:solidFill>
              <a:schemeClr val="bg1"/>
            </a:solidFill>
            <a:latin typeface="Dubai "/>
            <a:cs typeface="Dubai Light" panose="020B0303030403030204" pitchFamily="34" charset="-78"/>
          </a:endParaRPr>
        </a:p>
      </xdr:txBody>
    </xdr:sp>
    <xdr:clientData/>
  </xdr:twoCellAnchor>
  <xdr:twoCellAnchor>
    <xdr:from>
      <xdr:col>0</xdr:col>
      <xdr:colOff>53764</xdr:colOff>
      <xdr:row>24</xdr:row>
      <xdr:rowOff>27239</xdr:rowOff>
    </xdr:from>
    <xdr:to>
      <xdr:col>4</xdr:col>
      <xdr:colOff>0</xdr:colOff>
      <xdr:row>29</xdr:row>
      <xdr:rowOff>55756</xdr:rowOff>
    </xdr:to>
    <xdr:sp macro="" textlink="">
      <xdr:nvSpPr>
        <xdr:cNvPr id="65" name="TextBox 64">
          <a:extLst>
            <a:ext uri="{FF2B5EF4-FFF2-40B4-BE49-F238E27FC236}">
              <a16:creationId xmlns:a16="http://schemas.microsoft.com/office/drawing/2014/main" id="{C3EEE0CD-63D1-D3EA-83DA-432461C53993}"/>
            </a:ext>
          </a:extLst>
        </xdr:cNvPr>
        <xdr:cNvSpPr txBox="1"/>
      </xdr:nvSpPr>
      <xdr:spPr>
        <a:xfrm>
          <a:off x="53764" y="4041678"/>
          <a:ext cx="2399504" cy="1050712"/>
        </a:xfrm>
        <a:prstGeom prst="rect">
          <a:avLst/>
        </a:prstGeom>
        <a:solidFill>
          <a:schemeClr val="tx2">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latin typeface="Dubai "/>
              <a:cs typeface="Dubai Light" panose="020B0303030403030204" pitchFamily="34" charset="-78"/>
            </a:rPr>
            <a:t> Press the</a:t>
          </a:r>
          <a:r>
            <a:rPr lang="en-IN" sz="1800" b="1" baseline="0">
              <a:solidFill>
                <a:schemeClr val="bg1"/>
              </a:solidFill>
              <a:latin typeface="Dubai "/>
              <a:cs typeface="Dubai Light" panose="020B0303030403030204" pitchFamily="34" charset="-78"/>
            </a:rPr>
            <a:t> button to See Pivots tables</a:t>
          </a:r>
          <a:endParaRPr lang="en-IN" sz="1600" b="1">
            <a:solidFill>
              <a:schemeClr val="bg1"/>
            </a:solidFill>
            <a:latin typeface="Dubai "/>
            <a:cs typeface="Dubai Light" panose="020B0303030403030204" pitchFamily="34" charset="-78"/>
          </a:endParaRPr>
        </a:p>
      </xdr:txBody>
    </xdr:sp>
    <xdr:clientData/>
  </xdr:twoCellAnchor>
  <xdr:twoCellAnchor>
    <xdr:from>
      <xdr:col>0</xdr:col>
      <xdr:colOff>68331</xdr:colOff>
      <xdr:row>49</xdr:row>
      <xdr:rowOff>82995</xdr:rowOff>
    </xdr:from>
    <xdr:to>
      <xdr:col>4</xdr:col>
      <xdr:colOff>14567</xdr:colOff>
      <xdr:row>56</xdr:row>
      <xdr:rowOff>130097</xdr:rowOff>
    </xdr:to>
    <xdr:sp macro="" textlink="">
      <xdr:nvSpPr>
        <xdr:cNvPr id="66" name="TextBox 65">
          <a:extLst>
            <a:ext uri="{FF2B5EF4-FFF2-40B4-BE49-F238E27FC236}">
              <a16:creationId xmlns:a16="http://schemas.microsoft.com/office/drawing/2014/main" id="{44E43268-7FEE-84EF-1B3D-293C4D2C87FB}"/>
            </a:ext>
          </a:extLst>
        </xdr:cNvPr>
        <xdr:cNvSpPr txBox="1"/>
      </xdr:nvSpPr>
      <xdr:spPr>
        <a:xfrm>
          <a:off x="68331" y="8362022"/>
          <a:ext cx="2417587" cy="1200399"/>
        </a:xfrm>
        <a:prstGeom prst="rect">
          <a:avLst/>
        </a:prstGeom>
        <a:solidFill>
          <a:schemeClr val="tx2">
            <a:lumMod val="85000"/>
            <a:lumOff val="1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latin typeface="Dubai "/>
              <a:cs typeface="Dubai Light" panose="020B0303030403030204" pitchFamily="34" charset="-78"/>
            </a:rPr>
            <a:t> Press the</a:t>
          </a:r>
          <a:r>
            <a:rPr lang="en-IN" sz="1800" b="1" baseline="0">
              <a:solidFill>
                <a:schemeClr val="bg1"/>
              </a:solidFill>
              <a:latin typeface="Dubai "/>
              <a:cs typeface="Dubai Light" panose="020B0303030403030204" pitchFamily="34" charset="-78"/>
            </a:rPr>
            <a:t> button to See the Dashboard</a:t>
          </a:r>
          <a:endParaRPr lang="en-IN" sz="1600" b="1">
            <a:solidFill>
              <a:schemeClr val="bg1"/>
            </a:solidFill>
            <a:latin typeface="Dubai "/>
            <a:cs typeface="Dubai Light" panose="020B0303030403030204" pitchFamily="34" charset="-78"/>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u" refreshedDate="45266.631560185182" createdVersion="8" refreshedVersion="8" minRefreshableVersion="3" recordCount="159" xr:uid="{B723E41C-6154-40BE-9C15-D41E5B3B5DAE}">
  <cacheSource type="worksheet">
    <worksheetSource ref="A1:P160" sheet="Good Stock"/>
  </cacheSource>
  <cacheFields count="16">
    <cacheField name="Stock" numFmtId="0">
      <sharedItems count="159">
        <s v="Reliance"/>
        <s v="TCS"/>
        <s v="HUL"/>
        <s v="SBI Bank"/>
        <s v="HDFC"/>
        <s v="LIC"/>
        <s v="Bajaj Finance"/>
        <s v="Kotak Bank"/>
        <s v="L&amp;T"/>
        <s v="Axis Bank"/>
        <s v="Maruti Suzuki"/>
        <s v="Sun pharma"/>
        <s v="Bajaj Finserv"/>
        <s v="Ultratech Cement"/>
        <s v="M&amp;M"/>
        <s v="Tata Steel"/>
        <s v="L&amp;T Infotech"/>
        <s v="Ambuja Cement"/>
        <s v="Bajaj Auto"/>
        <s v="Tech Mahindra"/>
        <s v="Dabur"/>
        <s v="Bank of Baroda"/>
        <s v="Godrej Consumer"/>
        <s v="Divi's Lab"/>
        <s v="Shree Cement"/>
        <s v="Eicher Motor"/>
        <s v="Cipla"/>
        <s v="SBI Cards"/>
        <s v="Varun Beverage"/>
        <s v="Tata Power"/>
        <s v="Marico"/>
        <s v="United Spirits"/>
        <s v="Yesbank"/>
        <s v="Berger Paint"/>
        <s v="Hero Motocorp"/>
        <s v="UPL"/>
        <s v="IRCTC"/>
        <s v="PI industries"/>
        <s v="Infoedge"/>
        <s v="TVS"/>
        <s v="Abbott India"/>
        <s v="HDFC AMC"/>
        <s v="Page Industries"/>
        <s v="Balkrishna Industries"/>
        <s v="Muthoot Finance"/>
        <s v="AU Small Finance"/>
        <s v="Polycab"/>
        <s v="Solar Industries"/>
        <s v="Tata Elxsi"/>
        <s v="Mphasis"/>
        <s v="Bandhan Bank"/>
        <s v="L&amp;T Technology"/>
        <s v="APL Apollo"/>
        <s v="Supreme Industries"/>
        <s v="Gujarat Gas"/>
        <s v="Gujarat Florochemical"/>
        <s v="Persistent System"/>
        <s v="Federal Bank"/>
        <s v="Indraprastha Gas"/>
        <s v="Deepak Nitrite"/>
        <s v="Coromandel International"/>
        <s v="Aurobindo Pharma"/>
        <s v="Tata Chemical"/>
        <s v="Sumitomo Chemicals"/>
        <s v="Gland Pharma"/>
        <s v="Coforge"/>
        <s v="Atul Ltd"/>
        <s v="J K Cement"/>
        <s v="Kansai Nerolac"/>
        <s v="Crisil"/>
        <s v="LIC Housing Finance"/>
        <s v="IPCA Lab"/>
        <s v="Crompton Greves"/>
        <s v="Aarti Industries"/>
        <s v="Bayer Cropscience"/>
        <s v="Vinita Organics"/>
        <s v="Endurance Technology"/>
        <s v="Pfizer"/>
        <s v="Lauras Lab"/>
        <s v="KPIT"/>
        <s v="Kajaria Ceramic"/>
        <s v="Fine Organics"/>
        <s v="Trident"/>
        <s v="Nippon AMC"/>
        <s v="Exide Battery"/>
        <s v="clean science"/>
        <s v="Alkyl Amine"/>
        <s v="Indiamart Intermesh"/>
        <s v="Affle India"/>
        <s v="KEI Industries"/>
        <s v="IEX"/>
        <s v="Happiest Mind"/>
        <s v="Sheela Form"/>
        <s v="Century Plyboard"/>
        <s v="CDSL"/>
        <s v="CAMS"/>
        <s v="HDFC Bank"/>
        <s v="TTK Prestige"/>
        <s v="Alembic Pharma"/>
        <s v="Finolex Industries"/>
        <s v="Mannapuran Finance"/>
        <s v="UTI AMC"/>
        <s v="HFCL"/>
        <s v="Tanla Platform"/>
        <s v="Amara Raja Batter"/>
        <s v="Cyient"/>
        <s v="Poly Medicure Ltd"/>
        <s v="Finolex Cable"/>
        <s v="Mahangar Gas"/>
        <s v="Galaxy Surfactant"/>
        <s v="Balaji Amine"/>
        <s v="Sonata Software"/>
        <s v="Granules India"/>
        <s v="Laxmi Orgamic"/>
        <s v="Infosys"/>
        <s v="Latent View"/>
        <s v="ICICI Bank"/>
        <s v="Route Mobile"/>
        <s v="craftsman automation"/>
        <s v="Metropolis Healthcare"/>
        <s v="GMM Pfaudler"/>
        <s v="TCI Express"/>
        <s v="Cera Sanitaryware"/>
        <s v="Prince Pipe"/>
        <s v="Praj Industries"/>
        <s v="Data Pattern"/>
        <s v="Amber Enterprise"/>
        <s v="Garware technical"/>
        <s v="Borosil Renewable"/>
        <s v="Orient Electric"/>
        <s v="Gujarat Ambuja Export"/>
        <s v="Avanti Feed"/>
        <s v="Mastek"/>
        <s v="Vaibhav Global"/>
        <s v="Polyplex Corporation"/>
        <s v="Zensar Tech"/>
        <s v="Lux Industries"/>
        <s v="Heidelberg Cement"/>
        <s v="Aarti Drugs"/>
        <s v="Rossari Biotech"/>
        <s v="Bharat Rasayan"/>
        <s v="Dhanuka Agritech"/>
        <s v="Somany home innovation ltd"/>
        <s v="Astec Lifesciences"/>
        <s v="Mold tech"/>
        <s v="Hawkins Cooker"/>
        <s v="Advance Enzymes"/>
        <s v="Thyrocare"/>
        <s v="Newgen"/>
        <s v="Wipro"/>
        <s v="Gokaldas Export"/>
        <s v="Apollo pipes"/>
        <s v="Bhansali Engineering"/>
        <s v="Heranba"/>
        <s v="Goldiam International"/>
        <s v="stove kraft"/>
        <s v="Krisna dignostic"/>
        <s v="Chemcom Speciality"/>
        <s v="Dr Reddy"/>
      </sharedItems>
    </cacheField>
    <cacheField name="Market Cap (In Rs Cr.)" numFmtId="2">
      <sharedItems containsSemiMixedTypes="0" containsString="0" containsNumber="1" minValue="880.68924689999994" maxValue="1620922.4391001" count="159">
        <n v="1620922.4391001"/>
        <n v="1234544.5174748001"/>
        <n v="616301.32687500003"/>
        <n v="535431.32466749998"/>
        <n v="478914.7"/>
        <n v="450686.75702929997"/>
        <n v="361172.63514019997"/>
        <n v="354002.53595559997"/>
        <n v="302617.16662500001"/>
        <n v="287213.2945283"/>
        <n v="255438.41859260001"/>
        <n v="247191.65080199999"/>
        <n v="221292.50643760001"/>
        <n v="208975.8"/>
        <n v="158785.37168929999"/>
        <n v="147293.6037181"/>
        <n v="126813.4"/>
        <n v="102995.3567038"/>
        <n v="101964.8629622"/>
        <n v="97631.018453700002"/>
        <n v="96383.937255199999"/>
        <n v="95565.8761753"/>
        <n v="93678.861999999994"/>
        <n v="88977.11"/>
        <n v="87098.03"/>
        <n v="86543.229623199994"/>
        <n v="86182.29"/>
        <n v="74336.763066500003"/>
        <n v="73698.477067"/>
        <n v="66015.776955299996"/>
        <n v="64133.35"/>
        <n v="61484.386680000003"/>
        <n v="57937.938703100001"/>
        <n v="54643.261700399999"/>
        <n v="54522.74"/>
        <n v="53833.660580600001"/>
        <n v="51348.003855299998"/>
        <n v="49475.634740000001"/>
        <n v="48135.11"/>
        <n v="47610.86"/>
        <n v="47348.12"/>
        <n v="45934.43"/>
        <n v="44894.62"/>
        <n v="43195.870417700004"/>
        <n v="42774.199159999996"/>
        <n v="41307.128006400002"/>
        <n v="39945.402229899999"/>
        <n v="38859.14"/>
        <n v="38754.622388999996"/>
        <n v="38348.867277899997"/>
        <n v="38329.828600000001"/>
        <n v="36421.231512999999"/>
        <n v="31477.05"/>
        <n v="31369.919999999998"/>
        <n v="31008.532894799999"/>
        <n v="30664.627499999999"/>
        <n v="30617.09"/>
        <n v="29278.4915846"/>
        <n v="29162.03"/>
        <n v="26525.721744999999"/>
        <n v="25664.11"/>
        <n v="25505.685924699999"/>
        <n v="24851.46731"/>
        <n v="24637.83"/>
        <n v="23948.971371200001"/>
        <n v="23631.8479052"/>
        <n v="22715.5217056"/>
        <n v="22430.59"/>
        <n v="22276.241535000001"/>
        <n v="22166.9"/>
        <n v="22159.265982299999"/>
        <n v="22090.03"/>
        <n v="21451.604477600002"/>
        <n v="21081.42"/>
        <n v="21050.022291099998"/>
        <n v="20604.2"/>
        <n v="19679.439999999999"/>
        <n v="19278.55"/>
        <n v="19213.870294600001"/>
        <n v="18827.951669900001"/>
        <n v="17802.193500000001"/>
        <n v="17277.2"/>
        <n v="16896.242249999999"/>
        <n v="15766.33509"/>
        <n v="15554.990685799999"/>
        <n v="15538.83"/>
        <n v="13811.7"/>
        <n v="13709.808000000001"/>
        <n v="13659"/>
        <n v="12966.0743501"/>
        <n v="12685.7721399"/>
        <n v="12642.153432900001"/>
        <n v="12260.1"/>
        <n v="11658.528174999999"/>
        <n v="11261.44"/>
        <n v="11180.947152799999"/>
        <n v="11060.0657861"/>
        <n v="10943.5753"/>
        <n v="10913.18"/>
        <n v="10644.74"/>
        <n v="10287.9254057"/>
        <n v="10284.2865"/>
        <n v="10126.79307"/>
        <n v="9951.4177428999992"/>
        <n v="9847.3348600000008"/>
        <n v="9606.1540999999997"/>
        <n v="8584.6690550000003"/>
        <n v="8463.6612353"/>
        <n v="8445.0059999999994"/>
        <n v="8341.1378050999992"/>
        <n v="8293.1763761999991"/>
        <n v="8104.1629999999996"/>
        <n v="7705.4309999999996"/>
        <n v="7672.4308320999999"/>
        <n v="7658.1331612000004"/>
        <n v="7452.9863359999999"/>
        <n v="7451.4657292000002"/>
        <n v="7415.8287656000002"/>
        <n v="7324.3414709999997"/>
        <n v="7063.23"/>
        <n v="7046.8192293000002"/>
        <n v="6985.5829999999996"/>
        <n v="6919.97"/>
        <n v="6524.2338449999997"/>
        <n v="6488.7224500000002"/>
        <n v="6367.8328517999998"/>
        <n v="6297.527"/>
        <n v="6152.5851505999999"/>
        <n v="5686.2430000000004"/>
        <n v="5679.5794913999998"/>
        <n v="5515.5150000000003"/>
        <n v="5305.4035807999999"/>
        <n v="5153.9576635000003"/>
        <n v="4927.6934199999996"/>
        <n v="4868.9705459999996"/>
        <n v="4785.1628070999996"/>
        <n v="4564.43"/>
        <n v="4230.8670000000002"/>
        <n v="4148.4799999999996"/>
        <n v="3951.357"/>
        <n v="3941.6660000000002"/>
        <n v="3345.7206686999998"/>
        <n v="3335.191069"/>
        <n v="3279.7330000000002"/>
        <n v="3279.6060000000002"/>
        <n v="3273.1570000000002"/>
        <n v="3094.0985949999999"/>
        <n v="3024.4291291"/>
        <n v="2664.2049999999999"/>
        <n v="2618.5195810999999"/>
        <n v="2340.1280000000002"/>
        <n v="1991.1000154999999"/>
        <n v="1954.3679999999999"/>
        <n v="1923.4465903"/>
        <n v="1794.8020805000001"/>
        <n v="1639.2763729999999"/>
        <n v="1347.5935652000001"/>
        <n v="1059.9071153"/>
        <n v="880.68924689999994"/>
      </sharedItems>
    </cacheField>
    <cacheField name="Current price" numFmtId="0">
      <sharedItems containsSemiMixedTypes="0" containsString="0" containsNumber="1" minValue="20.149999999999999" maxValue="40260" count="159">
        <n v="2467.9"/>
        <n v="3374.2"/>
        <n v="2620.6"/>
        <n v="600.04999999999995"/>
        <n v="2619.25"/>
        <n v="712.7"/>
        <n v="5977"/>
        <n v="1780.5"/>
        <n v="2153.75"/>
        <n v="933.9"/>
        <n v="8454.2000000000007"/>
        <n v="1031.05"/>
        <n v="1391"/>
        <n v="7244.95"/>
        <n v="1327.55"/>
        <n v="120.45"/>
        <n v="4289.8"/>
        <n v="518.70000000000005"/>
        <n v="3602.45"/>
        <n v="1002.8"/>
        <n v="544"/>
        <n v="184.9"/>
        <n v="916.75"/>
        <n v="3352.15"/>
        <n v="24025"/>
        <n v="3164.9"/>
        <n v="1068.8499999999999"/>
        <n v="786.05"/>
        <n v="1134.8"/>
        <n v="206.55"/>
        <n v="497.5"/>
        <n v="846.75"/>
        <n v="20.149999999999999"/>
        <n v="564"/>
        <n v="2732"/>
        <n v="718.45"/>
        <n v="641"/>
        <n v="3262"/>
        <n v="3731.8"/>
        <n v="999.5"/>
        <n v="22241"/>
        <n v="2148"/>
        <n v="40260"/>
        <n v="2229"/>
        <n v="1065.5"/>
        <n v="619"/>
        <n v="2662"/>
        <n v="4338"/>
        <n v="6223"/>
        <n v="2035.55"/>
        <n v="237.75"/>
        <n v="3446.95"/>
        <n v="1136"/>
        <n v="2461"/>
        <n v="450.2"/>
        <n v="2793.5"/>
        <n v="4009"/>
        <n v="138.44999999999999"/>
        <n v="416.85"/>
        <n v="1944.05"/>
        <n v="872"/>
        <n v="435.3"/>
        <n v="975.8"/>
        <n v="493.2"/>
        <n v="1453.65"/>
        <n v="3868.05"/>
        <n v="7701.2"/>
        <n v="2900.45"/>
        <n v="415"/>
        <n v="3020"/>
        <n v="402.9"/>
        <n v="872.85"/>
        <n v="337.35"/>
        <n v="581.79999999999995"/>
        <n v="4669.05"/>
        <n v="2000"/>
        <n v="1398.5"/>
        <n v="4224.8999999999996"/>
        <n v="357.4"/>
        <n v="696.3"/>
        <n v="1118"/>
        <n v="5630"/>
        <n v="33.75"/>
        <n v="252.6"/>
        <n v="182.85"/>
        <n v="1463.5"/>
        <n v="2714.9"/>
        <n v="4477"/>
        <n v="1024"/>
        <n v="1436.05"/>
        <n v="141.55000000000001"/>
        <n v="885.05"/>
        <n v="1260"/>
        <n v="523.9"/>
        <n v="1077.9000000000001"/>
        <n v="2274"/>
        <n v="1601"/>
        <n v="789.5"/>
        <n v="555"/>
        <n v="173"/>
        <n v="121.55"/>
        <n v="807.2"/>
        <n v="73.599999999999994"/>
        <n v="731.9"/>
        <n v="576.5"/>
        <n v="876"/>
        <n v="891.5"/>
        <n v="553.4"/>
        <n v="853.05"/>
        <n v="2358"/>
        <n v="2562.6999999999998"/>
        <n v="582"/>
        <n v="318.60000000000002"/>
        <n v="289.39999999999998"/>
        <n v="1503.5"/>
        <n v="367.25"/>
        <n v="873.25"/>
        <n v="1190.8"/>
        <n v="3465.1"/>
        <n v="1380.05"/>
        <n v="1567.45"/>
        <n v="1795"/>
        <n v="5294"/>
        <n v="590.70000000000005"/>
        <n v="353"/>
        <n v="1227.0999999999999"/>
        <n v="1870"/>
        <n v="3024.95"/>
        <n v="499.35"/>
        <n v="267.2"/>
        <n v="241.5"/>
        <n v="389.4"/>
        <n v="1714.7"/>
        <n v="299"/>
        <n v="1555"/>
        <n v="211.35"/>
        <n v="1524.7"/>
        <n v="186.9"/>
        <n v="448"/>
        <n v="717"/>
        <n v="9517.9"/>
        <n v="717.5"/>
        <n v="462.25"/>
        <n v="1669.3"/>
        <n v="988.1"/>
        <n v="6195"/>
        <n v="276.7"/>
        <n v="571.79999999999995"/>
        <n v="382.15"/>
        <n v="393.65"/>
        <n v="386"/>
        <n v="510"/>
        <n v="118.6"/>
        <n v="481.35"/>
        <n v="165.55"/>
        <n v="498.5"/>
        <n v="429.35"/>
        <n v="288.10000000000002"/>
        <n v="4323.5"/>
      </sharedItems>
    </cacheField>
    <cacheField name="PE Ratio" numFmtId="0">
      <sharedItems containsSemiMixedTypes="0" containsString="0" containsNumber="1" minValue="3.39" maxValue="64.75"/>
    </cacheField>
    <cacheField name="52 Week High" numFmtId="0">
      <sharedItems containsSemiMixedTypes="0" containsString="0" containsNumber="1" minValue="24.75" maxValue="54349.1"/>
    </cacheField>
    <cacheField name="% Below 52 week high" numFmtId="10">
      <sharedItems containsSemiMixedTypes="0" containsString="0" containsNumber="1" minValue="8.03587026145651E-4" maxValue="0.65054430863254298"/>
    </cacheField>
    <cacheField name="52 Week Low" numFmtId="0">
      <sharedItems containsSemiMixedTypes="0" containsString="0" containsNumber="1" minValue="12.11" maxValue="37825"/>
    </cacheField>
    <cacheField name="% Above 52 Week low" numFmtId="10">
      <sharedItems containsSemiMixedTypes="0" containsString="0" containsNumber="1" minValue="1.0491956166939699E-3" maxValue="1.13408695652173"/>
    </cacheField>
    <cacheField name="Yesterday Closing Price" numFmtId="0">
      <sharedItems containsSemiMixedTypes="0" containsString="0" containsNumber="1" minValue="19.899999999999999" maxValue="40639.050000000003"/>
    </cacheField>
    <cacheField name="% Change" numFmtId="10">
      <sharedItems containsSemiMixedTypes="0" containsString="0" containsNumber="1" minValue="-5.3165773932152202E-2" maxValue="5.6706135629709199E-2"/>
    </cacheField>
    <cacheField name="Industery" numFmtId="0">
      <sharedItems containsBlank="1" count="44">
        <s v="Telecom and oil"/>
        <s v="IT"/>
        <s v="FMCG"/>
        <s v="Bank"/>
        <s v="Financial Servcies"/>
        <s v="Insurance"/>
        <s v="NBFC"/>
        <s v="Infrastructure"/>
        <s v="Automobile"/>
        <s v="Pharma"/>
        <s v="Cement"/>
        <s v="Food"/>
        <s v="Spirits"/>
        <s v="Paint"/>
        <s v="Agrochemical"/>
        <s v="Catering"/>
        <s v="Technology"/>
        <s v="AMC"/>
        <s v="Textile"/>
        <s v="Tyre"/>
        <s v="Small Finance"/>
        <s v="Consumer Electrical"/>
        <s v="Defence"/>
        <s v="IT-Software"/>
        <s v="Steel"/>
        <s v="Plastic"/>
        <s v="Utility"/>
        <s v="chemical"/>
        <s v="Reserach"/>
        <s v="Automobile Ancilliary"/>
        <s v="Ceramic"/>
        <s v="Form"/>
        <s v="Playboard"/>
        <s v="Piping"/>
        <s v="Telecom"/>
        <s v="Healthcare"/>
        <s v="Manufacturing"/>
        <s v="Logistic"/>
        <s v="Ceramics"/>
        <m/>
        <s v="Retail"/>
        <s v="packaging"/>
        <s v="Kitchen Appliances"/>
        <s v="kitchen"/>
      </sharedItems>
    </cacheField>
    <cacheField name="NSE/BSE" numFmtId="0">
      <sharedItems count="159">
        <s v="RELIANCE"/>
        <s v="BOM:532540"/>
        <s v="HINDUNILVR"/>
        <s v="BOM:500112"/>
        <s v="HDFC"/>
        <s v="BOM:543526"/>
        <s v="BAJFINANCE"/>
        <s v="KOTAKBANK"/>
        <s v="BOM:500510"/>
        <s v="AXISBANK"/>
        <s v="MARUTI"/>
        <s v="SUNPHARMA"/>
        <s v="BAJAJFINSV"/>
        <s v="ULTRACEMCO"/>
        <s v="M&amp;M"/>
        <s v="BOM:500470"/>
        <s v="BOM:540005"/>
        <s v="BOM:500425"/>
        <s v="BAJAJ-AUTO"/>
        <s v="TECHM"/>
        <s v="DABUR"/>
        <s v="BOM:532134"/>
        <s v="BOM:532424"/>
        <s v="DIVISLAB"/>
        <s v="SHREECEM"/>
        <s v="EICHERMOT"/>
        <s v="CIPLA"/>
        <s v="SBICARD"/>
        <s v="BOM:540180"/>
        <s v="BOM:500400"/>
        <s v="MARICO"/>
        <s v="MCDOWELL-N"/>
        <s v="BOM:532648"/>
        <s v="BERGEPAINT"/>
        <s v="HEROMOTOCO"/>
        <s v="BOM:512070"/>
        <s v="IRCTC"/>
        <s v="PIIND"/>
        <s v="BOM:532777"/>
        <s v="BOM:532343"/>
        <s v="ABBOTINDIA"/>
        <s v="HDFCAMC"/>
        <s v="PAGEIND"/>
        <s v="BALKRISIND"/>
        <s v="MUTHOOTFIN"/>
        <s v="AUBANK"/>
        <s v="POLYCAB"/>
        <s v="BOM:532725"/>
        <s v="TATAELXSI"/>
        <s v="BOM:526299"/>
        <s v="BANDHANBNK"/>
        <s v="BOM:540115"/>
        <s v="BOM:533758"/>
        <s v="SUPREMEIND"/>
        <s v="GUJGASLTD"/>
        <s v="BOM:542812"/>
        <s v="PERSISTENT"/>
        <s v="BOM:500469"/>
        <s v="BOM:532514"/>
        <s v="DEEPAKNTR"/>
        <s v="COROMANDEL"/>
        <s v="AUROPHARMA"/>
        <s v="BOM:500770"/>
        <s v="SUMICHEM"/>
        <s v="BOM:543245"/>
        <s v="BOM:532541"/>
        <s v="BOM:500027"/>
        <s v="BOM:532644"/>
        <s v="KANSAINER"/>
        <s v="CRISIL"/>
        <s v="BOM:500253"/>
        <s v="IPCALAB"/>
        <s v="CROMPTON"/>
        <s v="AARTIIND"/>
        <s v="BAYERCROP"/>
        <s v="VINATIORGA"/>
        <s v="ENDURANCE"/>
        <s v="BOM:500680"/>
        <s v="LAURUSLABS"/>
        <s v="BOM:542651"/>
        <s v="KAJARIACER"/>
        <s v="FINEORG"/>
        <s v="BOM:521064"/>
        <s v="BOM:540767"/>
        <s v="EXIDEIND"/>
        <s v="BOM:543318"/>
        <s v="ALKYLAMINE"/>
        <s v="INDIAMART"/>
        <s v="AFFLE"/>
        <s v="BOM:517569"/>
        <s v="BOM:540750"/>
        <s v="BOM:543227"/>
        <s v="BOM:540203"/>
        <s v="BOM:532548"/>
        <s v="CDSL"/>
        <s v="NSE:CAMS"/>
        <s v="HDFCBANK"/>
        <s v="TTKPRESTIG"/>
        <s v="APLLTD"/>
        <s v="BOM:500940"/>
        <s v="MANAPPURAM"/>
        <s v="BOM:543238"/>
        <s v="BOM:500183"/>
        <s v="BOM:532790"/>
        <s v="AMARAJABAT"/>
        <s v="CYIENT"/>
        <s v="BOM:531768"/>
        <s v="FINCABLES"/>
        <s v="BOM:539957"/>
        <s v="GALAXYSURF"/>
        <s v="BOM:530999"/>
        <s v="SONATSOFTW"/>
        <s v="BOM:532482"/>
        <s v="BOM:543277"/>
        <s v="BOM:500209"/>
        <s v="BOM:543398"/>
        <s v="BOM:532174"/>
        <s v="BOM:543228"/>
        <s v="BOM:543276"/>
        <s v="METROPOLIS"/>
        <s v="GMMPFAUDLR"/>
        <s v="BOM:540212"/>
        <s v="BOM:532443"/>
        <s v="BOM:542907"/>
        <s v="BOM:522205"/>
        <s v="BOM:543428"/>
        <s v="BOM:540902"/>
        <s v="GARFIBRES"/>
        <s v="BOM:502219"/>
        <s v="ORIENTELEC"/>
        <s v="BOM:524226"/>
        <s v="AVANTIFEED"/>
        <s v="BOM:523704"/>
        <s v="BOM:532156"/>
        <s v="BOM:524051"/>
        <s v="BOM:504067"/>
        <s v="BOM:539542"/>
        <s v="BOM:500292"/>
        <s v="BOM:524348"/>
        <s v="BOM:543213"/>
        <s v="BOM:590021"/>
        <s v="BOM:507717"/>
        <s v="BOM:542905"/>
        <s v="BOM:533138"/>
        <s v="BOM:533080"/>
        <s v="BOM:508486"/>
        <s v="ADVENZYMES"/>
        <s v="THYROCARE"/>
        <s v="BOM:540900"/>
        <s v="BOM:507685"/>
        <s v="BOM:532630"/>
        <s v="BOM:531761"/>
        <s v="BOM:500052"/>
        <s v="BOM:543266"/>
        <s v="BOM:526729"/>
        <s v="BOM:543260"/>
        <s v="BOM:543328"/>
        <s v="CHEMCON"/>
        <s v="DRREDDY"/>
      </sharedItems>
    </cacheField>
    <cacheField name="Bear Mode1" numFmtId="0">
      <sharedItems/>
    </cacheField>
    <cacheField name="Bear Mode2" numFmtId="0">
      <sharedItems/>
    </cacheField>
    <cacheField name="Stock Staus" numFmtId="0">
      <sharedItems count="1">
        <s v="Good Stock"/>
      </sharedItems>
    </cacheField>
    <cacheField name="Cap Size" numFmtId="0">
      <sharedItems count="3">
        <s v="Large Cap"/>
        <s v="Medium Cap"/>
        <s v="Low Cap"/>
      </sharedItems>
    </cacheField>
  </cacheFields>
  <extLst>
    <ext xmlns:x14="http://schemas.microsoft.com/office/spreadsheetml/2009/9/main" uri="{725AE2AE-9491-48be-B2B4-4EB974FC3084}">
      <x14:pivotCacheDefinition pivotCacheId="10228566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9">
  <r>
    <x v="0"/>
    <x v="0"/>
    <x v="0"/>
    <n v="25.09"/>
    <n v="2856.15"/>
    <n v="0.135934737321219"/>
    <n v="2180"/>
    <n v="0.13206422018348599"/>
    <n v="2471.6"/>
    <n v="-1.49700598802387E-3"/>
    <x v="0"/>
    <x v="0"/>
    <s v="No"/>
    <s v="No"/>
    <x v="0"/>
    <x v="0"/>
  </r>
  <r>
    <x v="1"/>
    <x v="1"/>
    <x v="1"/>
    <n v="30.43"/>
    <n v="4045.5"/>
    <n v="0.16593746137683801"/>
    <n v="2926"/>
    <n v="0.153178400546821"/>
    <n v="3334.6"/>
    <n v="1.1875487314820301E-2"/>
    <x v="1"/>
    <x v="1"/>
    <s v="No"/>
    <s v="No"/>
    <x v="0"/>
    <x v="0"/>
  </r>
  <r>
    <x v="2"/>
    <x v="2"/>
    <x v="2"/>
    <n v="63.81"/>
    <n v="2741.6"/>
    <n v="4.4134811788736503E-2"/>
    <n v="1901.55"/>
    <n v="0.37813888669769302"/>
    <n v="2590.0500000000002"/>
    <n v="1.17951390899788E-2"/>
    <x v="2"/>
    <x v="2"/>
    <s v="No"/>
    <s v="No"/>
    <x v="0"/>
    <x v="0"/>
  </r>
  <r>
    <x v="3"/>
    <x v="3"/>
    <x v="3"/>
    <n v="13"/>
    <n v="629.65"/>
    <n v="4.70102437862304E-2"/>
    <n v="425"/>
    <n v="0.41188235294117598"/>
    <n v="595"/>
    <n v="8.48739495798311E-3"/>
    <x v="3"/>
    <x v="3"/>
    <s v="No"/>
    <s v="No"/>
    <x v="0"/>
    <x v="0"/>
  </r>
  <r>
    <x v="4"/>
    <x v="4"/>
    <x v="4"/>
    <n v="19.809999999999999"/>
    <n v="2933.8"/>
    <n v="0.107215897470856"/>
    <n v="2026"/>
    <n v="0.29281836130305999"/>
    <n v="2612.8000000000002"/>
    <n v="2.4686160440905601E-3"/>
    <x v="4"/>
    <x v="4"/>
    <s v="No"/>
    <s v="No"/>
    <x v="0"/>
    <x v="0"/>
  </r>
  <r>
    <x v="5"/>
    <x v="5"/>
    <x v="5"/>
    <n v="23.63"/>
    <n v="920"/>
    <n v="0.22532608695652101"/>
    <n v="588"/>
    <n v="0.21207482993197199"/>
    <n v="705.55"/>
    <n v="1.01339380625045E-2"/>
    <x v="5"/>
    <x v="5"/>
    <s v="No"/>
    <s v="No"/>
    <x v="0"/>
    <x v="0"/>
  </r>
  <r>
    <x v="6"/>
    <x v="6"/>
    <x v="6"/>
    <n v="36.520000000000003"/>
    <n v="8045"/>
    <n v="0.25705407085145998"/>
    <n v="5220"/>
    <n v="0.14501915708812199"/>
    <n v="5898.4"/>
    <n v="1.3325647633256501E-2"/>
    <x v="6"/>
    <x v="6"/>
    <s v="No"/>
    <s v="No"/>
    <x v="0"/>
    <x v="0"/>
  </r>
  <r>
    <x v="7"/>
    <x v="7"/>
    <x v="7"/>
    <n v="25.87"/>
    <n v="1997.55"/>
    <n v="0.10865810618007"/>
    <n v="1631"/>
    <n v="9.1661557326793305E-2"/>
    <n v="1779.5"/>
    <n v="5.6195560550716497E-4"/>
    <x v="3"/>
    <x v="7"/>
    <s v="No"/>
    <s v="No"/>
    <x v="0"/>
    <x v="0"/>
  </r>
  <r>
    <x v="8"/>
    <x v="8"/>
    <x v="8"/>
    <n v="31.53"/>
    <n v="2210.5"/>
    <n v="2.5672924677674701E-2"/>
    <n v="1456.8"/>
    <n v="0.47841158704008702"/>
    <n v="2160.1999999999998"/>
    <n v="-2.9858346449401899E-3"/>
    <x v="7"/>
    <x v="8"/>
    <s v="No"/>
    <s v="No"/>
    <x v="0"/>
    <x v="0"/>
  </r>
  <r>
    <x v="9"/>
    <x v="9"/>
    <x v="9"/>
    <n v="15.67"/>
    <n v="970"/>
    <n v="3.7216494845360798E-2"/>
    <n v="618.25"/>
    <n v="0.51055398301657895"/>
    <n v="935.55"/>
    <n v="-1.76366843033507E-3"/>
    <x v="3"/>
    <x v="9"/>
    <s v="No"/>
    <s v="No"/>
    <x v="0"/>
    <x v="0"/>
  </r>
  <r>
    <x v="10"/>
    <x v="10"/>
    <x v="10"/>
    <n v="42.1"/>
    <n v="9769"/>
    <n v="0.13458900603951199"/>
    <n v="6536.55"/>
    <n v="0.293373415639748"/>
    <n v="8369.2000000000007"/>
    <n v="1.01562873392916E-2"/>
    <x v="8"/>
    <x v="10"/>
    <s v="No"/>
    <s v="No"/>
    <x v="0"/>
    <x v="0"/>
  </r>
  <r>
    <x v="11"/>
    <x v="11"/>
    <x v="11"/>
    <n v="60.4"/>
    <n v="1070.95"/>
    <n v="3.7256641299780603E-2"/>
    <n v="784.8"/>
    <n v="0.31377420998980599"/>
    <n v="1032.8499999999999"/>
    <n v="-1.7427506414290101E-3"/>
    <x v="9"/>
    <x v="11"/>
    <s v="No"/>
    <s v="No"/>
    <x v="0"/>
    <x v="0"/>
  </r>
  <r>
    <x v="12"/>
    <x v="12"/>
    <x v="12"/>
    <n v="40.479999999999997"/>
    <n v="3724.2"/>
    <n v="0.62649696579130998"/>
    <n v="1374.35"/>
    <n v="1.2114817913923E-2"/>
    <n v="1387.8"/>
    <n v="2.3058077532786001E-3"/>
    <x v="4"/>
    <x v="12"/>
    <s v="No"/>
    <s v="No"/>
    <x v="0"/>
    <x v="0"/>
  </r>
  <r>
    <x v="13"/>
    <x v="13"/>
    <x v="13"/>
    <n v="31.35"/>
    <n v="7946"/>
    <n v="8.8226780770198798E-2"/>
    <n v="5157.05"/>
    <n v="0.404863245460098"/>
    <n v="7153.35"/>
    <n v="1.28051891770987E-2"/>
    <x v="10"/>
    <x v="13"/>
    <s v="No"/>
    <s v="No"/>
    <x v="0"/>
    <x v="0"/>
  </r>
  <r>
    <x v="14"/>
    <x v="14"/>
    <x v="14"/>
    <n v="16.12"/>
    <n v="1366.55"/>
    <n v="2.8539021623797099E-2"/>
    <n v="671.15"/>
    <n v="0.97802279669224401"/>
    <n v="1319.9"/>
    <n v="5.7958936283050702E-3"/>
    <x v="8"/>
    <x v="14"/>
    <s v="No"/>
    <s v="No"/>
    <x v="0"/>
    <x v="0"/>
  </r>
  <r>
    <x v="15"/>
    <x v="15"/>
    <x v="15"/>
    <n v="5.13"/>
    <n v="138.63"/>
    <n v="0.13114044579095399"/>
    <n v="82.71"/>
    <n v="0.456293072179905"/>
    <n v="118.05"/>
    <n v="2.0330368487928799E-2"/>
    <x v="7"/>
    <x v="15"/>
    <s v="No"/>
    <s v="No"/>
    <x v="0"/>
    <x v="0"/>
  </r>
  <r>
    <x v="16"/>
    <x v="16"/>
    <x v="16"/>
    <n v="34.729999999999997"/>
    <n v="4293.25"/>
    <n v="8.03587026145651E-4"/>
    <n v="4147.45"/>
    <n v="3.4322294421873699E-2"/>
    <n v="4279.2"/>
    <n v="2.4770985230885101E-3"/>
    <x v="1"/>
    <x v="16"/>
    <s v="No"/>
    <s v="No"/>
    <x v="0"/>
    <x v="0"/>
  </r>
  <r>
    <x v="17"/>
    <x v="17"/>
    <x v="17"/>
    <n v="57.36"/>
    <n v="598.15"/>
    <n v="0.132826214160327"/>
    <n v="274"/>
    <n v="0.893065693430657"/>
    <n v="510.4"/>
    <n v="1.6261755485893498E-2"/>
    <x v="10"/>
    <x v="17"/>
    <s v="No"/>
    <s v="No"/>
    <x v="0"/>
    <x v="0"/>
  </r>
  <r>
    <x v="18"/>
    <x v="18"/>
    <x v="18"/>
    <n v="17.79"/>
    <n v="4131.75"/>
    <n v="0.12810552429357999"/>
    <n v="3125"/>
    <n v="0.152783999999999"/>
    <n v="3570.3"/>
    <n v="9.0048455311877492E-3"/>
    <x v="8"/>
    <x v="18"/>
    <s v="No"/>
    <s v="No"/>
    <x v="0"/>
    <x v="0"/>
  </r>
  <r>
    <x v="19"/>
    <x v="19"/>
    <x v="19"/>
    <n v="16.8"/>
    <n v="1751"/>
    <n v="0.42729868646487701"/>
    <n v="943.7"/>
    <n v="6.2625834481296896E-2"/>
    <n v="1001.55"/>
    <n v="1.2480654984773599E-3"/>
    <x v="1"/>
    <x v="19"/>
    <s v="No"/>
    <s v="No"/>
    <x v="0"/>
    <x v="0"/>
  </r>
  <r>
    <x v="20"/>
    <x v="20"/>
    <x v="20"/>
    <n v="55.79"/>
    <n v="610.75"/>
    <n v="0.109291854277527"/>
    <n v="482.25"/>
    <n v="0.128045619491964"/>
    <n v="544.95000000000005"/>
    <n v="-1.74327919992668E-3"/>
    <x v="2"/>
    <x v="20"/>
    <s v="No"/>
    <s v="No"/>
    <x v="0"/>
    <x v="0"/>
  </r>
  <r>
    <x v="21"/>
    <x v="21"/>
    <x v="21"/>
    <n v="9.7200000000000006"/>
    <n v="197.2"/>
    <n v="6.2373225152129702E-2"/>
    <n v="89.9"/>
    <n v="1.05672969966629"/>
    <n v="181.8"/>
    <n v="1.7051705170517E-2"/>
    <x v="3"/>
    <x v="21"/>
    <s v="No"/>
    <s v="No"/>
    <x v="0"/>
    <x v="0"/>
  </r>
  <r>
    <x v="22"/>
    <x v="22"/>
    <x v="22"/>
    <n v="58.81"/>
    <n v="955.65"/>
    <n v="4.0705279129388303E-2"/>
    <n v="660.2"/>
    <n v="0.38859436534383501"/>
    <n v="914.9"/>
    <n v="2.02207891572852E-3"/>
    <x v="2"/>
    <x v="22"/>
    <s v="No"/>
    <s v="No"/>
    <x v="0"/>
    <x v="0"/>
  </r>
  <r>
    <x v="23"/>
    <x v="23"/>
    <x v="23"/>
    <n v="29.74"/>
    <n v="4668"/>
    <n v="0.28188731790916799"/>
    <n v="3195.15"/>
    <n v="4.9136973225044199E-2"/>
    <n v="3305.3"/>
    <n v="1.4174205064593199E-2"/>
    <x v="9"/>
    <x v="23"/>
    <s v="No"/>
    <s v="No"/>
    <x v="0"/>
    <x v="0"/>
  </r>
  <r>
    <x v="24"/>
    <x v="24"/>
    <x v="24"/>
    <n v="54.11"/>
    <n v="27936.75"/>
    <n v="0.140021656062355"/>
    <n v="17865.2"/>
    <n v="0.34479322929494199"/>
    <n v="23854.85"/>
    <n v="7.1327214381981599E-3"/>
    <x v="10"/>
    <x v="24"/>
    <s v="No"/>
    <s v="No"/>
    <x v="0"/>
    <x v="0"/>
  </r>
  <r>
    <x v="25"/>
    <x v="25"/>
    <x v="25"/>
    <n v="37.119999999999997"/>
    <n v="3889.65"/>
    <n v="0.18632781869834"/>
    <n v="2159.5500000000002"/>
    <n v="0.46553680164849098"/>
    <n v="3103.25"/>
    <n v="1.9866269233867698E-2"/>
    <x v="8"/>
    <x v="25"/>
    <s v="No"/>
    <s v="No"/>
    <x v="0"/>
    <x v="0"/>
  </r>
  <r>
    <x v="26"/>
    <x v="26"/>
    <x v="26"/>
    <n v="33.64"/>
    <n v="1185.25"/>
    <n v="9.8207129297616602E-2"/>
    <n v="860"/>
    <n v="0.242848837209302"/>
    <n v="1061.1500000000001"/>
    <n v="7.2562785657068404E-3"/>
    <x v="9"/>
    <x v="26"/>
    <s v="No"/>
    <s v="No"/>
    <x v="0"/>
    <x v="0"/>
  </r>
  <r>
    <x v="27"/>
    <x v="27"/>
    <x v="27"/>
    <n v="35.28"/>
    <n v="1028.6500000000001"/>
    <n v="0.23584309531910699"/>
    <n v="655.7"/>
    <n v="0.19879518072289101"/>
    <n v="780.25"/>
    <n v="7.4335148990707497E-3"/>
    <x v="4"/>
    <x v="27"/>
    <s v="No"/>
    <s v="No"/>
    <x v="0"/>
    <x v="0"/>
  </r>
  <r>
    <x v="28"/>
    <x v="28"/>
    <x v="28"/>
    <n v="51.22"/>
    <n v="1432.05"/>
    <n v="0.20756956810167199"/>
    <n v="557.23"/>
    <n v="1.0365019830231601"/>
    <n v="1187.3"/>
    <n v="-4.4217973553440502E-2"/>
    <x v="11"/>
    <x v="28"/>
    <s v="No"/>
    <s v="No"/>
    <x v="0"/>
    <x v="0"/>
  </r>
  <r>
    <x v="29"/>
    <x v="29"/>
    <x v="29"/>
    <n v="25.89"/>
    <n v="298"/>
    <n v="0.30687919463087199"/>
    <n v="190"/>
    <n v="8.7105263157894797E-2"/>
    <n v="205.65"/>
    <n v="4.3763676148796697E-3"/>
    <x v="7"/>
    <x v="29"/>
    <s v="No"/>
    <s v="No"/>
    <x v="0"/>
    <x v="0"/>
  </r>
  <r>
    <x v="30"/>
    <x v="30"/>
    <x v="30"/>
    <n v="52.21"/>
    <n v="554.35"/>
    <n v="0.10255253900965"/>
    <n v="455.65"/>
    <n v="9.1846812246241694E-2"/>
    <n v="501.6"/>
    <n v="-8.1738437001595294E-3"/>
    <x v="2"/>
    <x v="30"/>
    <s v="No"/>
    <s v="No"/>
    <x v="0"/>
    <x v="0"/>
  </r>
  <r>
    <x v="31"/>
    <x v="31"/>
    <x v="31"/>
    <n v="46.19"/>
    <n v="958"/>
    <n v="0.116127348643006"/>
    <n v="712"/>
    <n v="0.18925561797752799"/>
    <n v="857.75"/>
    <n v="-1.28242494899446E-2"/>
    <x v="12"/>
    <x v="31"/>
    <s v="No"/>
    <s v="No"/>
    <x v="0"/>
    <x v="0"/>
  </r>
  <r>
    <x v="32"/>
    <x v="32"/>
    <x v="32"/>
    <n v="45.52"/>
    <n v="24.75"/>
    <n v="0.185858585858585"/>
    <n v="12.11"/>
    <n v="0.66391412056151899"/>
    <n v="19.899999999999999"/>
    <n v="1.25628140703517E-2"/>
    <x v="3"/>
    <x v="32"/>
    <s v="No"/>
    <s v="No"/>
    <x v="0"/>
    <x v="0"/>
  </r>
  <r>
    <x v="33"/>
    <x v="33"/>
    <x v="33"/>
    <n v="57.95"/>
    <n v="793.05"/>
    <n v="0.28882163797994997"/>
    <n v="543.6"/>
    <n v="3.7527593818984503E-2"/>
    <n v="561.95000000000005"/>
    <n v="3.6480113889135199E-3"/>
    <x v="13"/>
    <x v="33"/>
    <s v="No"/>
    <s v="No"/>
    <x v="0"/>
    <x v="0"/>
  </r>
  <r>
    <x v="34"/>
    <x v="34"/>
    <x v="34"/>
    <n v="21.06"/>
    <n v="2938.6"/>
    <n v="7.0305587694820607E-2"/>
    <n v="2146.85"/>
    <n v="0.27256212590539602"/>
    <n v="2694.25"/>
    <n v="1.40113204045652E-2"/>
    <x v="8"/>
    <x v="34"/>
    <s v="No"/>
    <s v="No"/>
    <x v="0"/>
    <x v="0"/>
  </r>
  <r>
    <x v="35"/>
    <x v="35"/>
    <x v="35"/>
    <n v="13.58"/>
    <n v="848"/>
    <n v="0.152771226415094"/>
    <n v="607.79999999999995"/>
    <n v="0.18205001645277999"/>
    <n v="719.05"/>
    <n v="-8.3443432306502796E-4"/>
    <x v="14"/>
    <x v="35"/>
    <s v="No"/>
    <s v="No"/>
    <x v="0"/>
    <x v="0"/>
  </r>
  <r>
    <x v="36"/>
    <x v="36"/>
    <x v="36"/>
    <n v="57.32"/>
    <n v="918.65"/>
    <n v="0.30223697817449502"/>
    <n v="557"/>
    <n v="0.1508078994614"/>
    <n v="640.65"/>
    <n v="5.4632014360418701E-4"/>
    <x v="15"/>
    <x v="36"/>
    <s v="No"/>
    <s v="No"/>
    <x v="0"/>
    <x v="0"/>
  </r>
  <r>
    <x v="37"/>
    <x v="37"/>
    <x v="37"/>
    <n v="48.33"/>
    <n v="3698.45"/>
    <n v="0.118008895618434"/>
    <n v="2333.5500000000002"/>
    <n v="0.39787019776735"/>
    <n v="3292.65"/>
    <n v="-9.3086116046345903E-3"/>
    <x v="14"/>
    <x v="37"/>
    <s v="No"/>
    <s v="No"/>
    <x v="0"/>
    <x v="0"/>
  </r>
  <r>
    <x v="38"/>
    <x v="38"/>
    <x v="38"/>
    <n v="8.76"/>
    <n v="5790"/>
    <n v="0.355474956822107"/>
    <n v="3314"/>
    <n v="0.12607121303560601"/>
    <n v="3719.3"/>
    <n v="3.3608474712983599E-3"/>
    <x v="16"/>
    <x v="38"/>
    <s v="No"/>
    <s v="No"/>
    <x v="0"/>
    <x v="0"/>
  </r>
  <r>
    <x v="39"/>
    <x v="39"/>
    <x v="39"/>
    <n v="39.03"/>
    <n v="1177"/>
    <n v="0.15080713678844501"/>
    <n v="513"/>
    <n v="0.94834307992202704"/>
    <n v="1005.2"/>
    <n v="-5.6705133306804998E-3"/>
    <x v="8"/>
    <x v="39"/>
    <s v="No"/>
    <s v="No"/>
    <x v="0"/>
    <x v="0"/>
  </r>
  <r>
    <x v="40"/>
    <x v="40"/>
    <x v="40"/>
    <n v="53.6"/>
    <n v="22499"/>
    <n v="1.1467176318947499E-2"/>
    <n v="15514"/>
    <n v="0.433608353745004"/>
    <n v="22162.55"/>
    <n v="3.53975512745603E-3"/>
    <x v="9"/>
    <x v="40"/>
    <s v="No"/>
    <s v="No"/>
    <x v="0"/>
    <x v="0"/>
  </r>
  <r>
    <x v="41"/>
    <x v="41"/>
    <x v="41"/>
    <n v="33.200000000000003"/>
    <n v="2507.35"/>
    <n v="0.14331864318902399"/>
    <n v="1690"/>
    <n v="0.27100591715976302"/>
    <n v="2150.75"/>
    <n v="-1.27862373590607E-3"/>
    <x v="17"/>
    <x v="41"/>
    <s v="No"/>
    <s v="No"/>
    <x v="0"/>
    <x v="0"/>
  </r>
  <r>
    <x v="42"/>
    <x v="42"/>
    <x v="42"/>
    <n v="61.16"/>
    <n v="54349.1"/>
    <n v="0.25923336356995702"/>
    <n v="37825"/>
    <n v="6.43754130865829E-2"/>
    <n v="40639.050000000003"/>
    <n v="-9.3272357498515E-3"/>
    <x v="18"/>
    <x v="42"/>
    <s v="No"/>
    <s v="No"/>
    <x v="0"/>
    <x v="0"/>
  </r>
  <r>
    <x v="43"/>
    <x v="43"/>
    <x v="43"/>
    <n v="30.72"/>
    <n v="2537.4499999999998"/>
    <n v="0.12155904549843299"/>
    <n v="1690.55"/>
    <n v="0.31850581171807901"/>
    <n v="2214.25"/>
    <n v="6.6613977644800699E-3"/>
    <x v="19"/>
    <x v="43"/>
    <s v="No"/>
    <s v="No"/>
    <x v="0"/>
    <x v="0"/>
  </r>
  <r>
    <x v="44"/>
    <x v="44"/>
    <x v="44"/>
    <n v="11.41"/>
    <n v="1526.4"/>
    <n v="0.301952306079664"/>
    <n v="950.2"/>
    <n v="0.121342875184171"/>
    <n v="1063.3"/>
    <n v="2.0690303771278501E-3"/>
    <x v="6"/>
    <x v="44"/>
    <s v="No"/>
    <s v="No"/>
    <x v="0"/>
    <x v="0"/>
  </r>
  <r>
    <x v="45"/>
    <x v="45"/>
    <x v="45"/>
    <n v="31.44"/>
    <n v="732.98"/>
    <n v="0.15550219651286501"/>
    <n v="525"/>
    <n v="0.17904761904761901"/>
    <n v="628.15"/>
    <n v="-1.4566584414550599E-2"/>
    <x v="20"/>
    <x v="45"/>
    <s v="No"/>
    <s v="No"/>
    <x v="0"/>
    <x v="0"/>
  </r>
  <r>
    <x v="46"/>
    <x v="46"/>
    <x v="46"/>
    <n v="35.5"/>
    <n v="3025"/>
    <n v="0.12"/>
    <n v="2043.85"/>
    <n v="0.30244391711720497"/>
    <n v="2677.05"/>
    <n v="-5.6218598830803197E-3"/>
    <x v="21"/>
    <x v="46"/>
    <s v="No"/>
    <s v="No"/>
    <x v="0"/>
    <x v="0"/>
  </r>
  <r>
    <x v="47"/>
    <x v="47"/>
    <x v="47"/>
    <n v="63.66"/>
    <n v="4535.95"/>
    <n v="4.3640251766443497E-2"/>
    <n v="2160.0500000000002"/>
    <n v="1.00828684521191"/>
    <n v="4340.1499999999996"/>
    <n v="-4.9537458382766398E-4"/>
    <x v="22"/>
    <x v="47"/>
    <s v="No"/>
    <s v="No"/>
    <x v="0"/>
    <x v="0"/>
  </r>
  <r>
    <x v="48"/>
    <x v="48"/>
    <x v="48"/>
    <n v="57.85"/>
    <n v="10760"/>
    <n v="0.42165427509293602"/>
    <n v="5709.05"/>
    <n v="9.0023734246503298E-2"/>
    <n v="6196.65"/>
    <n v="4.25229761241967E-3"/>
    <x v="23"/>
    <x v="48"/>
    <s v="No"/>
    <s v="No"/>
    <x v="0"/>
    <x v="0"/>
  </r>
  <r>
    <x v="49"/>
    <x v="49"/>
    <x v="49"/>
    <n v="24.59"/>
    <n v="3466.4"/>
    <n v="0.41277694438033602"/>
    <n v="1897.35"/>
    <n v="7.2838432550662705E-2"/>
    <n v="2013.55"/>
    <n v="1.09259765091505E-2"/>
    <x v="1"/>
    <x v="49"/>
    <s v="No"/>
    <s v="No"/>
    <x v="0"/>
    <x v="0"/>
  </r>
  <r>
    <x v="50"/>
    <x v="50"/>
    <x v="50"/>
    <n v="9.94"/>
    <n v="349.55"/>
    <n v="0.31983979402088403"/>
    <n v="209.55"/>
    <n v="0.13457408732999199"/>
    <n v="239.25"/>
    <n v="-6.2695924764890202E-3"/>
    <x v="3"/>
    <x v="50"/>
    <s v="No"/>
    <s v="No"/>
    <x v="0"/>
    <x v="0"/>
  </r>
  <r>
    <x v="51"/>
    <x v="51"/>
    <x v="51"/>
    <n v="34.130000000000003"/>
    <n v="5714"/>
    <n v="0.39675358767938401"/>
    <n v="2923.35"/>
    <n v="0.17910958318367601"/>
    <n v="3640.5"/>
    <n v="-5.3165773932152202E-2"/>
    <x v="16"/>
    <x v="51"/>
    <s v="No"/>
    <s v="No"/>
    <x v="0"/>
    <x v="0"/>
  </r>
  <r>
    <x v="52"/>
    <x v="52"/>
    <x v="52"/>
    <n v="54.9"/>
    <n v="1193.8499999999999"/>
    <n v="4.8456673786488998E-2"/>
    <n v="771"/>
    <n v="0.47341115434500602"/>
    <n v="1127.95"/>
    <n v="7.1368411720377197E-3"/>
    <x v="24"/>
    <x v="52"/>
    <s v="No"/>
    <s v="No"/>
    <x v="0"/>
    <x v="0"/>
  </r>
  <r>
    <x v="53"/>
    <x v="53"/>
    <x v="53"/>
    <n v="36.119999999999997"/>
    <n v="2607.65"/>
    <n v="5.62383755488658E-2"/>
    <n v="1666.25"/>
    <n v="0.47696924231057702"/>
    <n v="2452.6999999999998"/>
    <n v="3.3840257675215799E-3"/>
    <x v="25"/>
    <x v="53"/>
    <s v="No"/>
    <s v="No"/>
    <x v="0"/>
    <x v="0"/>
  </r>
  <r>
    <x v="54"/>
    <x v="54"/>
    <x v="54"/>
    <n v="22.9"/>
    <n v="721.8"/>
    <n v="0.37628151842615598"/>
    <n v="403.55"/>
    <n v="0.11559905835708"/>
    <n v="466.8"/>
    <n v="-3.5561268209083098E-2"/>
    <x v="26"/>
    <x v="54"/>
    <s v="No"/>
    <s v="No"/>
    <x v="0"/>
    <x v="0"/>
  </r>
  <r>
    <x v="55"/>
    <x v="55"/>
    <x v="55"/>
    <n v="28.23"/>
    <n v="4172.95"/>
    <n v="0.33056950119220202"/>
    <n v="2105.15"/>
    <n v="0.32698382538061399"/>
    <n v="2841.6"/>
    <n v="-1.6927083333333301E-2"/>
    <x v="27"/>
    <x v="55"/>
    <s v="No"/>
    <s v="No"/>
    <x v="0"/>
    <x v="0"/>
  </r>
  <r>
    <x v="56"/>
    <x v="56"/>
    <x v="56"/>
    <n v="37.590000000000003"/>
    <n v="4954"/>
    <n v="0.19075494549858699"/>
    <n v="3092.05"/>
    <n v="0.29655083197231602"/>
    <n v="3978.2"/>
    <n v="7.7421949625459197E-3"/>
    <x v="1"/>
    <x v="56"/>
    <s v="No"/>
    <s v="No"/>
    <x v="0"/>
    <x v="0"/>
  </r>
  <r>
    <x v="57"/>
    <x v="57"/>
    <x v="57"/>
    <n v="11.78"/>
    <n v="142.25"/>
    <n v="2.67135325131811E-2"/>
    <n v="82.5"/>
    <n v="0.678181818181818"/>
    <n v="135.05000000000001"/>
    <n v="2.5175860792298901E-2"/>
    <x v="3"/>
    <x v="57"/>
    <s v="No"/>
    <s v="No"/>
    <x v="0"/>
    <x v="0"/>
  </r>
  <r>
    <x v="58"/>
    <x v="58"/>
    <x v="58"/>
    <n v="17.03"/>
    <n v="466.65"/>
    <n v="0.106718097074895"/>
    <n v="322.10000000000002"/>
    <n v="0.29416330332194901"/>
    <n v="418.6"/>
    <n v="-4.1806020066889604E-3"/>
    <x v="26"/>
    <x v="58"/>
    <s v="No"/>
    <s v="No"/>
    <x v="0"/>
    <x v="0"/>
  </r>
  <r>
    <x v="59"/>
    <x v="59"/>
    <x v="59"/>
    <n v="28.86"/>
    <n v="2690.05"/>
    <n v="0.27731826545974902"/>
    <n v="1681.15"/>
    <n v="0.15638104868691"/>
    <n v="1941.8"/>
    <n v="1.1587187145947E-3"/>
    <x v="27"/>
    <x v="59"/>
    <s v="No"/>
    <s v="No"/>
    <x v="0"/>
    <x v="1"/>
  </r>
  <r>
    <x v="60"/>
    <x v="60"/>
    <x v="60"/>
    <n v="13.43"/>
    <n v="1094"/>
    <n v="0.20292504570383901"/>
    <n v="729.55"/>
    <n v="0.195257350421492"/>
    <n v="881.85"/>
    <n v="-1.1169700062368899E-2"/>
    <x v="14"/>
    <x v="60"/>
    <s v="No"/>
    <s v="No"/>
    <x v="0"/>
    <x v="1"/>
  </r>
  <r>
    <x v="61"/>
    <x v="61"/>
    <x v="61"/>
    <n v="12.08"/>
    <n v="727.95"/>
    <n v="0.40201936946218803"/>
    <n v="429.2"/>
    <n v="1.4212488350419401E-2"/>
    <n v="446.35"/>
    <n v="-2.4756357118852899E-2"/>
    <x v="9"/>
    <x v="61"/>
    <s v="No"/>
    <s v="No"/>
    <x v="0"/>
    <x v="1"/>
  </r>
  <r>
    <x v="62"/>
    <x v="62"/>
    <x v="62"/>
    <n v="12.65"/>
    <n v="1214.6500000000001"/>
    <n v="0.19664100769769"/>
    <n v="773.9"/>
    <n v="0.26088641943403501"/>
    <n v="972.55"/>
    <n v="3.3417305022878001E-3"/>
    <x v="27"/>
    <x v="62"/>
    <s v="No"/>
    <s v="No"/>
    <x v="0"/>
    <x v="1"/>
  </r>
  <r>
    <x v="63"/>
    <x v="63"/>
    <x v="63"/>
    <n v="48.9"/>
    <n v="540.79999999999995"/>
    <n v="8.8017751479289794E-2"/>
    <n v="351.5"/>
    <n v="0.40312944523470801"/>
    <n v="487.95"/>
    <n v="1.07592991085152E-2"/>
    <x v="14"/>
    <x v="63"/>
    <s v="No"/>
    <s v="No"/>
    <x v="0"/>
    <x v="1"/>
  </r>
  <r>
    <x v="64"/>
    <x v="64"/>
    <x v="64"/>
    <n v="23.28"/>
    <n v="3773.95"/>
    <n v="0.61482001616343596"/>
    <n v="1450"/>
    <n v="2.5172413793103999E-3"/>
    <n v="1497.85"/>
    <n v="-2.9508962846746801E-2"/>
    <x v="9"/>
    <x v="64"/>
    <s v="No"/>
    <s v="No"/>
    <x v="0"/>
    <x v="1"/>
  </r>
  <r>
    <x v="65"/>
    <x v="65"/>
    <x v="65"/>
    <n v="32.39"/>
    <n v="5862.1"/>
    <n v="0.340159669742924"/>
    <n v="3210"/>
    <n v="0.20499999999999999"/>
    <n v="3902.65"/>
    <n v="-8.8657706942718104E-3"/>
    <x v="16"/>
    <x v="65"/>
    <s v="No"/>
    <s v="No"/>
    <x v="0"/>
    <x v="1"/>
  </r>
  <r>
    <x v="66"/>
    <x v="66"/>
    <x v="66"/>
    <n v="37.5"/>
    <n v="10859"/>
    <n v="0.29080025785063002"/>
    <n v="7602.15"/>
    <n v="1.30292088422354E-2"/>
    <n v="7679.85"/>
    <n v="2.7800022135848201E-3"/>
    <x v="27"/>
    <x v="66"/>
    <s v="No"/>
    <s v="No"/>
    <x v="0"/>
    <x v="1"/>
  </r>
  <r>
    <x v="67"/>
    <x v="67"/>
    <x v="67"/>
    <n v="36.07"/>
    <n v="3646.25"/>
    <n v="0.20453890983887499"/>
    <n v="2005"/>
    <n v="0.44660847880299198"/>
    <n v="2905.9"/>
    <n v="-1.8754946832307601E-3"/>
    <x v="10"/>
    <x v="67"/>
    <s v="No"/>
    <s v="No"/>
    <x v="0"/>
    <x v="1"/>
  </r>
  <r>
    <x v="68"/>
    <x v="68"/>
    <x v="68"/>
    <n v="52.87"/>
    <n v="624"/>
    <n v="0.33493589743589702"/>
    <n v="358.15"/>
    <n v="0.15873237470333601"/>
    <n v="413.05"/>
    <n v="4.7209780898196003E-3"/>
    <x v="13"/>
    <x v="68"/>
    <s v="No"/>
    <s v="No"/>
    <x v="0"/>
    <x v="1"/>
  </r>
  <r>
    <x v="69"/>
    <x v="69"/>
    <x v="69"/>
    <n v="38.36"/>
    <n v="3863.55"/>
    <n v="0.218335468675182"/>
    <n v="2540"/>
    <n v="0.18897637795275499"/>
    <n v="3044.5"/>
    <n v="-8.0472984069633706E-3"/>
    <x v="28"/>
    <x v="69"/>
    <s v="No"/>
    <s v="No"/>
    <x v="0"/>
    <x v="1"/>
  </r>
  <r>
    <x v="70"/>
    <x v="70"/>
    <x v="70"/>
    <n v="6.85"/>
    <n v="443.5"/>
    <n v="9.15445321307779E-2"/>
    <n v="291.75"/>
    <n v="0.38097686375321299"/>
    <n v="400.2"/>
    <n v="6.7466266866566399E-3"/>
    <x v="6"/>
    <x v="70"/>
    <s v="No"/>
    <s v="No"/>
    <x v="0"/>
    <x v="1"/>
  </r>
  <r>
    <x v="71"/>
    <x v="71"/>
    <x v="71"/>
    <n v="42.96"/>
    <n v="1095"/>
    <n v="0.202876712328767"/>
    <n v="830"/>
    <n v="5.1626506024096401E-2"/>
    <n v="868.6"/>
    <n v="4.8929311535804701E-3"/>
    <x v="9"/>
    <x v="71"/>
    <s v="No"/>
    <s v="No"/>
    <x v="0"/>
    <x v="1"/>
  </r>
  <r>
    <x v="72"/>
    <x v="72"/>
    <x v="72"/>
    <n v="36.770000000000003"/>
    <n v="451.95"/>
    <n v="0.25356787255227298"/>
    <n v="312"/>
    <n v="8.1250000000000003E-2"/>
    <n v="338"/>
    <n v="-1.9230769230768499E-3"/>
    <x v="21"/>
    <x v="72"/>
    <s v="No"/>
    <s v="No"/>
    <x v="0"/>
    <x v="1"/>
  </r>
  <r>
    <x v="73"/>
    <x v="73"/>
    <x v="73"/>
    <n v="17.2"/>
    <n v="1118"/>
    <n v="0.47960644007155601"/>
    <n v="579"/>
    <n v="4.8359240069083802E-3"/>
    <n v="592.4"/>
    <n v="-1.78933153274814E-2"/>
    <x v="27"/>
    <x v="73"/>
    <s v="No"/>
    <s v="No"/>
    <x v="0"/>
    <x v="1"/>
  </r>
  <r>
    <x v="74"/>
    <x v="74"/>
    <x v="74"/>
    <n v="29.86"/>
    <n v="5667.75"/>
    <n v="0.17620748974460701"/>
    <n v="4218.05"/>
    <n v="0.10692144474342399"/>
    <n v="4647.55"/>
    <n v="4.6260933179847396E-3"/>
    <x v="14"/>
    <x v="74"/>
    <s v="No"/>
    <s v="No"/>
    <x v="0"/>
    <x v="1"/>
  </r>
  <r>
    <x v="75"/>
    <x v="75"/>
    <x v="75"/>
    <n v="51.19"/>
    <n v="2377"/>
    <n v="0.15860328144720201"/>
    <n v="1674.2"/>
    <n v="0.19460040616413801"/>
    <n v="2014.85"/>
    <n v="-7.3702757029058697E-3"/>
    <x v="27"/>
    <x v="75"/>
    <s v="No"/>
    <s v="No"/>
    <x v="0"/>
    <x v="1"/>
  </r>
  <r>
    <x v="76"/>
    <x v="76"/>
    <x v="76"/>
    <n v="42.23"/>
    <n v="1736.15"/>
    <n v="0.19448204360222299"/>
    <n v="1047.2"/>
    <n v="0.335466004583651"/>
    <n v="1401.15"/>
    <n v="-1.89130357206586E-3"/>
    <x v="29"/>
    <x v="76"/>
    <s v="No"/>
    <s v="No"/>
    <x v="0"/>
    <x v="1"/>
  </r>
  <r>
    <x v="77"/>
    <x v="77"/>
    <x v="77"/>
    <n v="31.52"/>
    <n v="4946.1000000000004"/>
    <n v="0.14581185176199399"/>
    <n v="4056"/>
    <n v="4.1642011834319398E-2"/>
    <n v="4254"/>
    <n v="-6.8406205923837197E-3"/>
    <x v="9"/>
    <x v="77"/>
    <s v="No"/>
    <s v="No"/>
    <x v="0"/>
    <x v="1"/>
  </r>
  <r>
    <x v="78"/>
    <x v="78"/>
    <x v="78"/>
    <n v="22.19"/>
    <n v="626.29999999999995"/>
    <n v="0.42934695832668002"/>
    <n v="354"/>
    <n v="9.6045197740112307E-3"/>
    <n v="360.4"/>
    <n v="-8.3240843507214196E-3"/>
    <x v="9"/>
    <x v="78"/>
    <s v="No"/>
    <s v="No"/>
    <x v="0"/>
    <x v="1"/>
  </r>
  <r>
    <x v="79"/>
    <x v="79"/>
    <x v="79"/>
    <n v="59.82"/>
    <n v="764.25"/>
    <n v="8.8910696761530905E-2"/>
    <n v="440"/>
    <n v="0.58249999999999902"/>
    <n v="692.45"/>
    <n v="5.5599682287528398E-3"/>
    <x v="1"/>
    <x v="79"/>
    <s v="No"/>
    <s v="No"/>
    <x v="0"/>
    <x v="1"/>
  </r>
  <r>
    <x v="80"/>
    <x v="80"/>
    <x v="80"/>
    <n v="46.87"/>
    <n v="1374.55"/>
    <n v="0.186642901313157"/>
    <n v="885.3"/>
    <n v="0.26284875183553602"/>
    <n v="1112.5"/>
    <n v="4.9438202247190999E-3"/>
    <x v="30"/>
    <x v="80"/>
    <s v="No"/>
    <s v="No"/>
    <x v="0"/>
    <x v="1"/>
  </r>
  <r>
    <x v="81"/>
    <x v="81"/>
    <x v="81"/>
    <n v="32.19"/>
    <n v="7328.75"/>
    <n v="0.23179259764625601"/>
    <n v="3457.1"/>
    <n v="0.62853258511469101"/>
    <n v="5672.25"/>
    <n v="-7.4485433469963398E-3"/>
    <x v="27"/>
    <x v="81"/>
    <s v="No"/>
    <s v="No"/>
    <x v="0"/>
    <x v="1"/>
  </r>
  <r>
    <x v="82"/>
    <x v="82"/>
    <x v="82"/>
    <n v="30.44"/>
    <n v="70.900000000000006"/>
    <n v="0.52397743300423105"/>
    <n v="30.45"/>
    <n v="0.108374384236453"/>
    <n v="33.65"/>
    <n v="2.9717682020802801E-3"/>
    <x v="18"/>
    <x v="82"/>
    <s v="No"/>
    <s v="No"/>
    <x v="0"/>
    <x v="1"/>
  </r>
  <r>
    <x v="83"/>
    <x v="83"/>
    <x v="83"/>
    <n v="23.69"/>
    <n v="375.2"/>
    <n v="0.32675906183368802"/>
    <n v="241.05"/>
    <n v="4.7915370255133698E-2"/>
    <n v="251.9"/>
    <n v="2.7788805081380998E-3"/>
    <x v="17"/>
    <x v="83"/>
    <s v="No"/>
    <s v="No"/>
    <x v="0"/>
    <x v="1"/>
  </r>
  <r>
    <x v="84"/>
    <x v="84"/>
    <x v="84"/>
    <n v="3.39"/>
    <n v="194.2"/>
    <n v="5.8444902162718797E-2"/>
    <n v="130.25"/>
    <n v="0.40383877159309001"/>
    <n v="182.65"/>
    <n v="1.0949904188337701E-3"/>
    <x v="29"/>
    <x v="84"/>
    <s v="No"/>
    <s v="No"/>
    <x v="0"/>
    <x v="1"/>
  </r>
  <r>
    <x v="85"/>
    <x v="85"/>
    <x v="85"/>
    <n v="61.9"/>
    <n v="2624"/>
    <n v="0.44226371951219501"/>
    <n v="1410.1"/>
    <n v="3.78696546344231E-2"/>
    <n v="1471.05"/>
    <n v="-5.1323884300329302E-3"/>
    <x v="27"/>
    <x v="85"/>
    <s v="No"/>
    <s v="No"/>
    <x v="0"/>
    <x v="1"/>
  </r>
  <r>
    <x v="86"/>
    <x v="86"/>
    <x v="86"/>
    <n v="61.31"/>
    <n v="3797.6"/>
    <n v="0.28510111649462799"/>
    <n v="2506.1999999999998"/>
    <n v="8.3273481765222299E-2"/>
    <n v="2750.75"/>
    <n v="-1.30328092338452E-2"/>
    <x v="27"/>
    <x v="86"/>
    <s v="No"/>
    <s v="No"/>
    <x v="0"/>
    <x v="1"/>
  </r>
  <r>
    <x v="87"/>
    <x v="87"/>
    <x v="87"/>
    <n v="56.62"/>
    <n v="6898.75"/>
    <n v="0.35104185540858801"/>
    <n v="3676"/>
    <n v="0.217899891186071"/>
    <n v="4446.55"/>
    <n v="6.8480057572724504E-3"/>
    <x v="16"/>
    <x v="87"/>
    <s v="No"/>
    <s v="No"/>
    <x v="0"/>
    <x v="1"/>
  </r>
  <r>
    <x v="88"/>
    <x v="88"/>
    <x v="88"/>
    <n v="55.83"/>
    <n v="1511"/>
    <n v="0.322303110522832"/>
    <n v="871.55"/>
    <n v="0.174918249096437"/>
    <n v="1035.55"/>
    <n v="-1.1153493312732301E-2"/>
    <x v="16"/>
    <x v="88"/>
    <s v="No"/>
    <s v="No"/>
    <x v="0"/>
    <x v="2"/>
  </r>
  <r>
    <x v="89"/>
    <x v="89"/>
    <x v="89"/>
    <n v="30.59"/>
    <n v="1662.45"/>
    <n v="0.13618454690366599"/>
    <n v="905.2"/>
    <n v="0.586444984533804"/>
    <n v="1435.2"/>
    <n v="5.9225195094753905E-4"/>
    <x v="21"/>
    <x v="89"/>
    <s v="No"/>
    <s v="No"/>
    <x v="0"/>
    <x v="2"/>
  </r>
  <r>
    <x v="90"/>
    <x v="90"/>
    <x v="90"/>
    <n v="41.14"/>
    <n v="271.95"/>
    <n v="0.47949990807133602"/>
    <n v="129.25"/>
    <n v="9.5164410058027102E-2"/>
    <n v="141.4"/>
    <n v="1.0608203677511001E-3"/>
    <x v="16"/>
    <x v="90"/>
    <s v="No"/>
    <s v="No"/>
    <x v="0"/>
    <x v="2"/>
  </r>
  <r>
    <x v="91"/>
    <x v="91"/>
    <x v="91"/>
    <n v="59.08"/>
    <n v="1359.85"/>
    <n v="0.34915615692907298"/>
    <n v="785.55"/>
    <n v="0.12666284768633401"/>
    <n v="884.65"/>
    <n v="4.5215621997397502E-4"/>
    <x v="1"/>
    <x v="91"/>
    <s v="No"/>
    <s v="No"/>
    <x v="0"/>
    <x v="2"/>
  </r>
  <r>
    <x v="92"/>
    <x v="92"/>
    <x v="92"/>
    <n v="57.79"/>
    <n v="2027"/>
    <n v="0.378391711889491"/>
    <n v="1204.1500000000001"/>
    <n v="4.6381264792592199E-2"/>
    <n v="1251.3"/>
    <n v="6.9527691201151098E-3"/>
    <x v="31"/>
    <x v="92"/>
    <s v="No"/>
    <s v="No"/>
    <x v="0"/>
    <x v="2"/>
  </r>
  <r>
    <x v="93"/>
    <x v="93"/>
    <x v="93"/>
    <n v="31.54"/>
    <n v="749"/>
    <n v="0.30053404539385797"/>
    <n v="484.7"/>
    <n v="8.0874767897668606E-2"/>
    <n v="517.65"/>
    <n v="1.2073795035255399E-2"/>
    <x v="32"/>
    <x v="93"/>
    <s v="No"/>
    <s v="No"/>
    <x v="0"/>
    <x v="2"/>
  </r>
  <r>
    <x v="94"/>
    <x v="94"/>
    <x v="94"/>
    <n v="37.61"/>
    <n v="1654"/>
    <n v="0.34830713422007198"/>
    <n v="1015"/>
    <n v="6.1970443349753698E-2"/>
    <n v="1078.6500000000001"/>
    <n v="-6.95313586427478E-4"/>
    <x v="16"/>
    <x v="94"/>
    <s v="No"/>
    <s v="No"/>
    <x v="0"/>
    <x v="2"/>
  </r>
  <r>
    <x v="95"/>
    <x v="95"/>
    <x v="95"/>
    <n v="38.869999999999997"/>
    <n v="2971.5"/>
    <n v="0.23472993437657699"/>
    <n v="2037.15"/>
    <n v="0.11626537073853099"/>
    <n v="2235.75"/>
    <n v="1.71083529017108E-2"/>
    <x v="16"/>
    <x v="95"/>
    <s v="No"/>
    <s v="No"/>
    <x v="0"/>
    <x v="2"/>
  </r>
  <r>
    <x v="96"/>
    <x v="96"/>
    <x v="96"/>
    <n v="21.39"/>
    <n v="1722.1"/>
    <n v="7.0321119563323806E-2"/>
    <n v="1271.5999999999999"/>
    <n v="0.25904372444164803"/>
    <n v="1599.4"/>
    <n v="1.0003751406776899E-3"/>
    <x v="3"/>
    <x v="96"/>
    <s v="No"/>
    <s v="No"/>
    <x v="0"/>
    <x v="2"/>
  </r>
  <r>
    <x v="97"/>
    <x v="97"/>
    <x v="97"/>
    <n v="35.54"/>
    <n v="1049.9000000000001"/>
    <n v="0.24802362129726599"/>
    <n v="744.7"/>
    <n v="6.0158453068349597E-2"/>
    <n v="794.05"/>
    <n v="-5.7301177507713E-3"/>
    <x v="21"/>
    <x v="97"/>
    <s v="No"/>
    <s v="No"/>
    <x v="0"/>
    <x v="2"/>
  </r>
  <r>
    <x v="98"/>
    <x v="98"/>
    <x v="98"/>
    <n v="42.84"/>
    <n v="822.8"/>
    <n v="0.32547399124939203"/>
    <n v="540"/>
    <n v="2.77777777777777E-2"/>
    <n v="557.4"/>
    <n v="-4.3057050592033999E-3"/>
    <x v="9"/>
    <x v="98"/>
    <s v="No"/>
    <s v="No"/>
    <x v="0"/>
    <x v="2"/>
  </r>
  <r>
    <x v="99"/>
    <x v="99"/>
    <x v="99"/>
    <n v="15.85"/>
    <n v="204.5"/>
    <n v="0.15403422982885001"/>
    <n v="128"/>
    <n v="0.3515625"/>
    <n v="170.9"/>
    <n v="1.2287887653598501E-2"/>
    <x v="33"/>
    <x v="99"/>
    <s v="No"/>
    <s v="No"/>
    <x v="0"/>
    <x v="2"/>
  </r>
  <r>
    <x v="100"/>
    <x v="100"/>
    <x v="100"/>
    <n v="8.6999999999999993"/>
    <n v="173.75"/>
    <n v="0.30043165467625899"/>
    <n v="81.5"/>
    <n v="0.49141104294478499"/>
    <n v="120.15"/>
    <n v="1.16521015397419E-2"/>
    <x v="6"/>
    <x v="100"/>
    <s v="No"/>
    <s v="No"/>
    <x v="0"/>
    <x v="2"/>
  </r>
  <r>
    <x v="101"/>
    <x v="101"/>
    <x v="101"/>
    <n v="21.59"/>
    <n v="1096.05"/>
    <n v="0.26353724738834899"/>
    <n v="595"/>
    <n v="0.35663865546218398"/>
    <n v="812.9"/>
    <n v="-7.0119325870339902E-3"/>
    <x v="17"/>
    <x v="101"/>
    <s v="No"/>
    <s v="No"/>
    <x v="0"/>
    <x v="2"/>
  </r>
  <r>
    <x v="102"/>
    <x v="102"/>
    <x v="102"/>
    <n v="36.15"/>
    <n v="101.35"/>
    <n v="0.27380365071534202"/>
    <n v="51.55"/>
    <n v="0.42774005819592598"/>
    <n v="72.400000000000006"/>
    <n v="1.65745856353589E-2"/>
    <x v="34"/>
    <x v="102"/>
    <s v="No"/>
    <s v="No"/>
    <x v="0"/>
    <x v="2"/>
  </r>
  <r>
    <x v="103"/>
    <x v="103"/>
    <x v="103"/>
    <n v="19.489999999999998"/>
    <n v="2094.4"/>
    <n v="0.65054430863254298"/>
    <n v="584.79999999999995"/>
    <n v="0.25153898768809801"/>
    <n v="724.3"/>
    <n v="1.04928896865939E-2"/>
    <x v="16"/>
    <x v="103"/>
    <s v="No"/>
    <s v="No"/>
    <x v="0"/>
    <x v="2"/>
  </r>
  <r>
    <x v="104"/>
    <x v="104"/>
    <x v="104"/>
    <n v="17.05"/>
    <n v="668.15"/>
    <n v="0.13716979720122699"/>
    <n v="438.05"/>
    <n v="0.31605981052391202"/>
    <n v="590.95000000000005"/>
    <n v="-2.4452153312463001E-2"/>
    <x v="29"/>
    <x v="104"/>
    <s v="No"/>
    <s v="No"/>
    <x v="0"/>
    <x v="2"/>
  </r>
  <r>
    <x v="105"/>
    <x v="105"/>
    <x v="105"/>
    <n v="19.98"/>
    <n v="1051.8499999999999"/>
    <n v="0.16718163236202799"/>
    <n v="720"/>
    <n v="0.21666666666666601"/>
    <n v="883.3"/>
    <n v="-8.2644628099173001E-3"/>
    <x v="23"/>
    <x v="105"/>
    <s v="No"/>
    <s v="No"/>
    <x v="0"/>
    <x v="2"/>
  </r>
  <r>
    <x v="106"/>
    <x v="106"/>
    <x v="106"/>
    <n v="61.12"/>
    <n v="1044.4000000000001"/>
    <n v="0.146399846801991"/>
    <n v="652.29999999999995"/>
    <n v="0.36670243752874399"/>
    <n v="897.9"/>
    <n v="-7.1277425103017898E-3"/>
    <x v="35"/>
    <x v="106"/>
    <s v="No"/>
    <s v="No"/>
    <x v="0"/>
    <x v="2"/>
  </r>
  <r>
    <x v="107"/>
    <x v="107"/>
    <x v="107"/>
    <n v="15.6"/>
    <n v="593.9"/>
    <n v="6.8193298535106903E-2"/>
    <n v="343.5"/>
    <n v="0.61106259097525395"/>
    <n v="539.85"/>
    <n v="2.5099564693896299E-2"/>
    <x v="21"/>
    <x v="107"/>
    <s v="No"/>
    <s v="No"/>
    <x v="0"/>
    <x v="2"/>
  </r>
  <r>
    <x v="108"/>
    <x v="108"/>
    <x v="108"/>
    <n v="15.67"/>
    <n v="925"/>
    <n v="7.7783783783783797E-2"/>
    <n v="666.35"/>
    <n v="0.280183086966308"/>
    <n v="862.5"/>
    <n v="-1.09565217391304E-2"/>
    <x v="26"/>
    <x v="108"/>
    <s v="No"/>
    <s v="No"/>
    <x v="0"/>
    <x v="2"/>
  </r>
  <r>
    <x v="109"/>
    <x v="109"/>
    <x v="109"/>
    <n v="25.47"/>
    <n v="3447.55"/>
    <n v="0.31603602558338501"/>
    <n v="2310.1"/>
    <n v="2.0735033115449501E-2"/>
    <n v="2340.5"/>
    <n v="7.4770348216193104E-3"/>
    <x v="27"/>
    <x v="109"/>
    <s v="No"/>
    <s v="No"/>
    <x v="0"/>
    <x v="2"/>
  </r>
  <r>
    <x v="110"/>
    <x v="110"/>
    <x v="110"/>
    <n v="20.059999999999999"/>
    <n v="3841.85"/>
    <n v="0.33295157280997401"/>
    <n v="2530"/>
    <n v="1.2924901185770599E-2"/>
    <n v="2557.4"/>
    <n v="2.0724172988189999E-3"/>
    <x v="27"/>
    <x v="110"/>
    <s v="No"/>
    <s v="No"/>
    <x v="0"/>
    <x v="2"/>
  </r>
  <r>
    <x v="111"/>
    <x v="111"/>
    <x v="111"/>
    <n v="19.25"/>
    <n v="694.5"/>
    <n v="0.16198704103671699"/>
    <n v="457.58"/>
    <n v="0.27190873726998499"/>
    <n v="574.4"/>
    <n v="1.32311977715877E-2"/>
    <x v="23"/>
    <x v="111"/>
    <s v="No"/>
    <s v="No"/>
    <x v="0"/>
    <x v="2"/>
  </r>
  <r>
    <x v="112"/>
    <x v="112"/>
    <x v="112"/>
    <n v="16.36"/>
    <n v="381.25"/>
    <n v="0.16432786885245801"/>
    <n v="227"/>
    <n v="0.40352422907489"/>
    <n v="318.14999999999998"/>
    <n v="1.41442715700155E-3"/>
    <x v="9"/>
    <x v="112"/>
    <s v="No"/>
    <s v="No"/>
    <x v="0"/>
    <x v="2"/>
  </r>
  <r>
    <x v="113"/>
    <x v="113"/>
    <x v="113"/>
    <n v="36.409999999999997"/>
    <n v="501.6"/>
    <n v="0.42304625199362"/>
    <n v="274.35000000000002"/>
    <n v="5.4856934572625998E-2"/>
    <n v="289.25"/>
    <n v="5.1858254105437195E-4"/>
    <x v="27"/>
    <x v="113"/>
    <s v="No"/>
    <s v="No"/>
    <x v="0"/>
    <x v="2"/>
  </r>
  <r>
    <x v="114"/>
    <x v="114"/>
    <x v="114"/>
    <n v="27.61"/>
    <n v="1953.7"/>
    <n v="0.23043456006551599"/>
    <n v="1355.5"/>
    <n v="0.109184802655846"/>
    <n v="1480.55"/>
    <n v="1.5500996251393E-2"/>
    <x v="1"/>
    <x v="114"/>
    <s v="No"/>
    <s v="No"/>
    <x v="0"/>
    <x v="2"/>
  </r>
  <r>
    <x v="115"/>
    <x v="115"/>
    <x v="115"/>
    <n v="49.25"/>
    <n v="617.4"/>
    <n v="0.405166828636216"/>
    <n v="305.25"/>
    <n v="0.20311220311220299"/>
    <n v="368.4"/>
    <n v="-3.1216069489684501E-3"/>
    <x v="1"/>
    <x v="115"/>
    <s v="No"/>
    <s v="No"/>
    <x v="0"/>
    <x v="2"/>
  </r>
  <r>
    <x v="116"/>
    <x v="116"/>
    <x v="116"/>
    <n v="20.88"/>
    <n v="958"/>
    <n v="8.8465553235908101E-2"/>
    <n v="642"/>
    <n v="0.36020249221183798"/>
    <n v="861.2"/>
    <n v="1.39921040408731E-2"/>
    <x v="3"/>
    <x v="116"/>
    <s v="No"/>
    <s v="No"/>
    <x v="0"/>
    <x v="2"/>
  </r>
  <r>
    <x v="117"/>
    <x v="117"/>
    <x v="117"/>
    <n v="32.119999999999997"/>
    <n v="1919"/>
    <n v="0.379468473163105"/>
    <n v="1052.5999999999999"/>
    <n v="0.13129393881816401"/>
    <n v="1197.5999999999999"/>
    <n v="-5.6780227120908104E-3"/>
    <x v="16"/>
    <x v="117"/>
    <s v="No"/>
    <s v="No"/>
    <x v="0"/>
    <x v="2"/>
  </r>
  <r>
    <x v="118"/>
    <x v="118"/>
    <x v="118"/>
    <n v="35.75"/>
    <n v="3709.95"/>
    <n v="6.5998194045741795E-2"/>
    <n v="1845"/>
    <n v="0.87810298102980999"/>
    <n v="3461.8"/>
    <n v="9.5326130914545203E-4"/>
    <x v="8"/>
    <x v="118"/>
    <s v="No"/>
    <s v="No"/>
    <x v="0"/>
    <x v="2"/>
  </r>
  <r>
    <x v="119"/>
    <x v="119"/>
    <x v="119"/>
    <n v="45.85"/>
    <n v="3142"/>
    <n v="0.56077339274347504"/>
    <n v="1267.05"/>
    <n v="8.9183536561303803E-2"/>
    <n v="1382.35"/>
    <n v="-1.6638333273049099E-3"/>
    <x v="35"/>
    <x v="119"/>
    <s v="No"/>
    <s v="No"/>
    <x v="0"/>
    <x v="2"/>
  </r>
  <r>
    <x v="120"/>
    <x v="120"/>
    <x v="120"/>
    <n v="53.87"/>
    <n v="2110"/>
    <n v="0.2571327014218"/>
    <n v="1256.67"/>
    <n v="0.24730438380799999"/>
    <n v="1576.95"/>
    <n v="-6.0242873902152799E-3"/>
    <x v="36"/>
    <x v="120"/>
    <s v="No"/>
    <s v="No"/>
    <x v="0"/>
    <x v="2"/>
  </r>
  <r>
    <x v="121"/>
    <x v="121"/>
    <x v="121"/>
    <n v="49.5"/>
    <n v="2249"/>
    <n v="0.201867496665184"/>
    <n v="1444.5"/>
    <n v="0.24264451367255099"/>
    <n v="1807.4"/>
    <n v="-6.8606838552617497E-3"/>
    <x v="37"/>
    <x v="121"/>
    <s v="No"/>
    <s v="No"/>
    <x v="0"/>
    <x v="2"/>
  </r>
  <r>
    <x v="122"/>
    <x v="122"/>
    <x v="122"/>
    <n v="37"/>
    <n v="6067.95"/>
    <n v="0.12754719468683801"/>
    <n v="3518.6"/>
    <n v="0.50457568351048698"/>
    <n v="5320"/>
    <n v="-4.8872180451127803E-3"/>
    <x v="38"/>
    <x v="122"/>
    <s v="No"/>
    <s v="No"/>
    <x v="0"/>
    <x v="2"/>
  </r>
  <r>
    <x v="123"/>
    <x v="123"/>
    <x v="123"/>
    <n v="44.19"/>
    <n v="748"/>
    <n v="0.21029411764705799"/>
    <n v="513.1"/>
    <n v="0.15123757552134001"/>
    <n v="575.29999999999995"/>
    <n v="2.6768642447418899E-2"/>
    <x v="33"/>
    <x v="123"/>
    <s v="No"/>
    <s v="No"/>
    <x v="0"/>
    <x v="2"/>
  </r>
  <r>
    <x v="124"/>
    <x v="124"/>
    <x v="124"/>
    <n v="35.19"/>
    <n v="461.5"/>
    <n v="0.23510292524376999"/>
    <n v="289.05"/>
    <n v="0.22124199965403901"/>
    <n v="355.1"/>
    <n v="-5.9138270909603503E-3"/>
    <x v="36"/>
    <x v="124"/>
    <s v="No"/>
    <s v="No"/>
    <x v="0"/>
    <x v="2"/>
  </r>
  <r>
    <x v="125"/>
    <x v="125"/>
    <x v="125"/>
    <n v="59.65"/>
    <n v="1480"/>
    <n v="0.17087837837837799"/>
    <n v="575"/>
    <n v="1.13408695652173"/>
    <n v="1161.25"/>
    <n v="5.6706135629709199E-2"/>
    <x v="16"/>
    <x v="125"/>
    <s v="No"/>
    <s v="No"/>
    <x v="0"/>
    <x v="2"/>
  </r>
  <r>
    <x v="126"/>
    <x v="126"/>
    <x v="126"/>
    <n v="49.07"/>
    <n v="4023.65"/>
    <n v="0.53524784710399698"/>
    <n v="1844.15"/>
    <n v="1.40172979421413E-2"/>
    <n v="1876"/>
    <n v="-3.1982942430703598E-3"/>
    <x v="36"/>
    <x v="126"/>
    <s v="No"/>
    <s v="No"/>
    <x v="0"/>
    <x v="2"/>
  </r>
  <r>
    <x v="127"/>
    <x v="127"/>
    <x v="127"/>
    <n v="37.14"/>
    <n v="3754.85"/>
    <n v="0.19438859075595499"/>
    <n v="2619.8000000000002"/>
    <n v="0.15464920986334799"/>
    <n v="3026.7"/>
    <n v="-5.7818746489576097E-4"/>
    <x v="18"/>
    <x v="127"/>
    <s v="No"/>
    <s v="No"/>
    <x v="0"/>
    <x v="2"/>
  </r>
  <r>
    <x v="128"/>
    <x v="128"/>
    <x v="128"/>
    <n v="39.43"/>
    <n v="833"/>
    <n v="0.40054021608643398"/>
    <n v="468"/>
    <n v="6.6987179487179499E-2"/>
    <n v="494.9"/>
    <n v="8.9917154980805099E-3"/>
    <x v="36"/>
    <x v="128"/>
    <s v="No"/>
    <s v="No"/>
    <x v="0"/>
    <x v="2"/>
  </r>
  <r>
    <x v="129"/>
    <x v="129"/>
    <x v="129"/>
    <n v="53.9"/>
    <n v="372.2"/>
    <n v="0.28210639441160601"/>
    <n v="244"/>
    <n v="9.5081967213114696E-2"/>
    <n v="268.39999999999998"/>
    <n v="-4.4709388971683603E-3"/>
    <x v="21"/>
    <x v="129"/>
    <s v="No"/>
    <s v="No"/>
    <x v="0"/>
    <x v="2"/>
  </r>
  <r>
    <x v="130"/>
    <x v="130"/>
    <x v="130"/>
    <n v="12.67"/>
    <n v="393.85"/>
    <n v="0.386822394312555"/>
    <n v="169.25"/>
    <n v="0.42688330871491798"/>
    <n v="236.7"/>
    <n v="2.02788339670469E-2"/>
    <x v="39"/>
    <x v="130"/>
    <s v="No"/>
    <s v="No"/>
    <x v="0"/>
    <x v="2"/>
  </r>
  <r>
    <x v="131"/>
    <x v="131"/>
    <x v="131"/>
    <n v="21.44"/>
    <n v="638.79999999999995"/>
    <n v="0.39041953663118301"/>
    <n v="364.1"/>
    <n v="6.9486404833836696E-2"/>
    <n v="388.7"/>
    <n v="1.8008747105736701E-3"/>
    <x v="11"/>
    <x v="131"/>
    <s v="No"/>
    <s v="No"/>
    <x v="0"/>
    <x v="2"/>
  </r>
  <r>
    <x v="132"/>
    <x v="132"/>
    <x v="132"/>
    <n v="17.12"/>
    <n v="3410.85"/>
    <n v="0.497280736473313"/>
    <n v="1492"/>
    <n v="0.14926273458445"/>
    <n v="1693.7"/>
    <n v="1.23988900041329E-2"/>
    <x v="1"/>
    <x v="132"/>
    <s v="No"/>
    <s v="No"/>
    <x v="0"/>
    <x v="2"/>
  </r>
  <r>
    <x v="133"/>
    <x v="133"/>
    <x v="133"/>
    <n v="35.85"/>
    <n v="566.5"/>
    <n v="0.472197705207413"/>
    <n v="288"/>
    <n v="3.8194444444444399E-2"/>
    <n v="297.35000000000002"/>
    <n v="5.5490163107448304E-3"/>
    <x v="40"/>
    <x v="133"/>
    <s v="No"/>
    <s v="No"/>
    <x v="0"/>
    <x v="2"/>
  </r>
  <r>
    <x v="134"/>
    <x v="134"/>
    <x v="134"/>
    <n v="7.36"/>
    <n v="2870"/>
    <n v="0.45818815331010398"/>
    <n v="1463.3"/>
    <n v="6.2666575548417994E-2"/>
    <n v="1559.1"/>
    <n v="-2.6297222756718002E-3"/>
    <x v="41"/>
    <x v="134"/>
    <s v="No"/>
    <s v="No"/>
    <x v="0"/>
    <x v="2"/>
  </r>
  <r>
    <x v="135"/>
    <x v="135"/>
    <x v="135"/>
    <n v="13.73"/>
    <n v="496.1"/>
    <n v="0.57397702076194301"/>
    <n v="202"/>
    <n v="4.6287128712871203E-2"/>
    <n v="212.4"/>
    <n v="-4.9435028248588104E-3"/>
    <x v="1"/>
    <x v="135"/>
    <s v="No"/>
    <s v="No"/>
    <x v="0"/>
    <x v="2"/>
  </r>
  <r>
    <x v="136"/>
    <x v="136"/>
    <x v="136"/>
    <n v="17.12"/>
    <n v="3925"/>
    <n v="0.61154140127388501"/>
    <n v="1515.1"/>
    <n v="6.3362154313247503E-3"/>
    <n v="1526.65"/>
    <n v="-1.27730652081357E-3"/>
    <x v="18"/>
    <x v="136"/>
    <s v="No"/>
    <s v="No"/>
    <x v="0"/>
    <x v="2"/>
  </r>
  <r>
    <x v="137"/>
    <x v="137"/>
    <x v="137"/>
    <n v="23.18"/>
    <n v="242"/>
    <n v="0.22768595041322301"/>
    <n v="164"/>
    <n v="0.13963414634146301"/>
    <n v="186.85"/>
    <n v="2.6759432700032798E-4"/>
    <x v="10"/>
    <x v="137"/>
    <s v="No"/>
    <s v="No"/>
    <x v="0"/>
    <x v="2"/>
  </r>
  <r>
    <x v="138"/>
    <x v="138"/>
    <x v="138"/>
    <n v="22.17"/>
    <n v="537.4"/>
    <n v="0.16635653144771101"/>
    <n v="378.4"/>
    <n v="0.18393234672304401"/>
    <n v="445.5"/>
    <n v="5.6116722783389403E-3"/>
    <x v="9"/>
    <x v="138"/>
    <s v="No"/>
    <s v="No"/>
    <x v="0"/>
    <x v="2"/>
  </r>
  <r>
    <x v="139"/>
    <x v="139"/>
    <x v="139"/>
    <n v="39.869999999999997"/>
    <n v="1375"/>
    <n v="0.478545454545454"/>
    <n v="675"/>
    <n v="6.22222222222222E-2"/>
    <n v="726.2"/>
    <n v="-1.26686863123107E-2"/>
    <x v="27"/>
    <x v="139"/>
    <s v="No"/>
    <s v="No"/>
    <x v="0"/>
    <x v="2"/>
  </r>
  <r>
    <x v="140"/>
    <x v="140"/>
    <x v="140"/>
    <n v="23.12"/>
    <n v="14362.9"/>
    <n v="0.33732741995000998"/>
    <n v="9301"/>
    <n v="2.3320073110418098E-2"/>
    <n v="9497.7000000000007"/>
    <n v="2.12683070638143E-3"/>
    <x v="14"/>
    <x v="140"/>
    <s v="No"/>
    <s v="No"/>
    <x v="0"/>
    <x v="2"/>
  </r>
  <r>
    <x v="141"/>
    <x v="141"/>
    <x v="141"/>
    <n v="15.26"/>
    <n v="815"/>
    <n v="0.11963190184049"/>
    <n v="630.65"/>
    <n v="0.137715055894711"/>
    <n v="724.95"/>
    <n v="-1.02765707979861E-2"/>
    <x v="14"/>
    <x v="141"/>
    <s v="No"/>
    <s v="No"/>
    <x v="0"/>
    <x v="2"/>
  </r>
  <r>
    <x v="142"/>
    <x v="142"/>
    <x v="142"/>
    <n v="33.36"/>
    <n v="480.4"/>
    <n v="3.7781015820149803E-2"/>
    <n v="258.95"/>
    <n v="0.78509364742228205"/>
    <n v="473.2"/>
    <n v="-2.31403212172442E-2"/>
    <x v="42"/>
    <x v="142"/>
    <s v="No"/>
    <s v="No"/>
    <x v="0"/>
    <x v="2"/>
  </r>
  <r>
    <x v="143"/>
    <x v="143"/>
    <x v="143"/>
    <n v="33.56"/>
    <n v="2285.65"/>
    <n v="0.269660709207446"/>
    <n v="1276.1500000000001"/>
    <n v="0.30807506954511599"/>
    <n v="1635.25"/>
    <n v="2.0822504204250001E-2"/>
    <x v="9"/>
    <x v="143"/>
    <s v="No"/>
    <s v="No"/>
    <x v="0"/>
    <x v="2"/>
  </r>
  <r>
    <x v="144"/>
    <x v="144"/>
    <x v="144"/>
    <n v="41.73"/>
    <n v="1057.8499999999999"/>
    <n v="6.5935624143309404E-2"/>
    <n v="648.04999999999995"/>
    <n v="0.52472803024458003"/>
    <n v="991.35"/>
    <n v="-3.2783577949261102E-3"/>
    <x v="39"/>
    <x v="144"/>
    <s v="No"/>
    <s v="No"/>
    <x v="0"/>
    <x v="2"/>
  </r>
  <r>
    <x v="145"/>
    <x v="145"/>
    <x v="145"/>
    <n v="34.69"/>
    <n v="6572.75"/>
    <n v="5.74721387547069E-2"/>
    <n v="4932.05"/>
    <n v="0.25606999118013801"/>
    <n v="6169.85"/>
    <n v="4.07627413956573E-3"/>
    <x v="21"/>
    <x v="145"/>
    <s v="No"/>
    <s v="No"/>
    <x v="0"/>
    <x v="2"/>
  </r>
  <r>
    <x v="146"/>
    <x v="146"/>
    <x v="146"/>
    <n v="32.26"/>
    <n v="354.9"/>
    <n v="0.220343758805297"/>
    <n v="258.39999999999998"/>
    <n v="7.0820433436532507E-2"/>
    <n v="278.89999999999998"/>
    <n v="-7.8881319469343396E-3"/>
    <x v="27"/>
    <x v="146"/>
    <s v="No"/>
    <s v="No"/>
    <x v="0"/>
    <x v="2"/>
  </r>
  <r>
    <x v="147"/>
    <x v="147"/>
    <x v="147"/>
    <n v="35.81"/>
    <n v="1087"/>
    <n v="0.473965041398344"/>
    <n v="562.1"/>
    <n v="1.7256715886852701E-2"/>
    <n v="574.70000000000005"/>
    <n v="-5.0461110144424696E-3"/>
    <x v="35"/>
    <x v="147"/>
    <s v="No"/>
    <s v="No"/>
    <x v="0"/>
    <x v="2"/>
  </r>
  <r>
    <x v="148"/>
    <x v="148"/>
    <x v="148"/>
    <n v="17.489999999999998"/>
    <n v="671"/>
    <n v="0.43047690014903101"/>
    <n v="320.85000000000002"/>
    <n v="0.19105501012934301"/>
    <n v="362.3"/>
    <n v="5.4788849020148897E-2"/>
    <x v="1"/>
    <x v="148"/>
    <s v="No"/>
    <s v="No"/>
    <x v="0"/>
    <x v="2"/>
  </r>
  <r>
    <x v="149"/>
    <x v="149"/>
    <x v="149"/>
    <n v="19.149999999999999"/>
    <n v="666"/>
    <n v="0.40893393393393301"/>
    <n v="372.4"/>
    <n v="5.7062298603651897E-2"/>
    <n v="394.45"/>
    <n v="-2.0281404487261E-3"/>
    <x v="1"/>
    <x v="149"/>
    <s v="No"/>
    <s v="No"/>
    <x v="0"/>
    <x v="2"/>
  </r>
  <r>
    <x v="150"/>
    <x v="150"/>
    <x v="150"/>
    <n v="13.46"/>
    <n v="519.54999999999995"/>
    <n v="0.25704936964680902"/>
    <n v="301.10000000000002"/>
    <n v="0.28196612421122502"/>
    <n v="381.5"/>
    <n v="1.17955439056356E-2"/>
    <x v="39"/>
    <x v="150"/>
    <s v="No"/>
    <s v="No"/>
    <x v="0"/>
    <x v="2"/>
  </r>
  <r>
    <x v="151"/>
    <x v="151"/>
    <x v="151"/>
    <n v="64.75"/>
    <n v="635.70000000000005"/>
    <n v="0.197734780556866"/>
    <n v="395"/>
    <n v="0.291139240506329"/>
    <n v="514.85"/>
    <n v="-9.4202194814023907E-3"/>
    <x v="33"/>
    <x v="151"/>
    <s v="No"/>
    <s v="No"/>
    <x v="0"/>
    <x v="2"/>
  </r>
  <r>
    <x v="152"/>
    <x v="152"/>
    <x v="152"/>
    <n v="8.27"/>
    <n v="182.4"/>
    <n v="0.34978070175438603"/>
    <n v="98"/>
    <n v="0.210204081632653"/>
    <n v="120.25"/>
    <n v="-1.37214137214137E-2"/>
    <x v="39"/>
    <x v="152"/>
    <s v="No"/>
    <s v="No"/>
    <x v="0"/>
    <x v="2"/>
  </r>
  <r>
    <x v="153"/>
    <x v="153"/>
    <x v="153"/>
    <n v="10.9"/>
    <n v="744.15"/>
    <n v="0.353154605926224"/>
    <n v="477.8"/>
    <n v="7.4298869820008601E-3"/>
    <n v="481.85"/>
    <n v="-1.03766732385597E-3"/>
    <x v="14"/>
    <x v="153"/>
    <s v="No"/>
    <s v="No"/>
    <x v="0"/>
    <x v="2"/>
  </r>
  <r>
    <x v="154"/>
    <x v="154"/>
    <x v="154"/>
    <n v="17.829999999999998"/>
    <n v="209.41"/>
    <n v="0.209445585215605"/>
    <n v="116.75"/>
    <n v="0.41798715203426101"/>
    <n v="165.4"/>
    <n v="9.0689238210402395E-4"/>
    <x v="40"/>
    <x v="154"/>
    <s v="No"/>
    <s v="No"/>
    <x v="0"/>
    <x v="2"/>
  </r>
  <r>
    <x v="155"/>
    <x v="155"/>
    <x v="155"/>
    <n v="30.76"/>
    <n v="1000"/>
    <n v="0.50149999999999995"/>
    <n v="472.2"/>
    <n v="5.5696738670055E-2"/>
    <n v="503.15"/>
    <n v="-9.2417768061213903E-3"/>
    <x v="43"/>
    <x v="155"/>
    <s v="No"/>
    <s v="No"/>
    <x v="0"/>
    <x v="2"/>
  </r>
  <r>
    <x v="156"/>
    <x v="156"/>
    <x v="156"/>
    <n v="20.29"/>
    <n v="778"/>
    <n v="0.448136246786632"/>
    <n v="428.9"/>
    <n v="1.0491956166939699E-3"/>
    <n v="436.85"/>
    <n v="-1.7168364427148902E-2"/>
    <x v="39"/>
    <x v="156"/>
    <s v="No"/>
    <s v="No"/>
    <x v="0"/>
    <x v="2"/>
  </r>
  <r>
    <x v="157"/>
    <x v="157"/>
    <x v="157"/>
    <n v="15.51"/>
    <n v="477.95"/>
    <n v="0.39721728214248297"/>
    <n v="261"/>
    <n v="0.103831417624521"/>
    <n v="290.10000000000002"/>
    <n v="-6.8941744226128903E-3"/>
    <x v="27"/>
    <x v="157"/>
    <s v="No"/>
    <s v="No"/>
    <x v="0"/>
    <x v="2"/>
  </r>
  <r>
    <x v="158"/>
    <x v="158"/>
    <x v="158"/>
    <n v="23.13"/>
    <n v="4759.6000000000004"/>
    <n v="9.1625346667787197E-2"/>
    <n v="3654"/>
    <n v="0.183223864258347"/>
    <n v="4310.6000000000004"/>
    <n v="2.9926228367279802E-3"/>
    <x v="9"/>
    <x v="158"/>
    <s v="No"/>
    <s v="No"/>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DE8237-AB32-4A1F-8496-C11E0BD5B50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AB3:AD163" firstHeaderRow="0" firstDataRow="1" firstDataCol="1"/>
  <pivotFields count="16">
    <pivotField axis="axisRow" showAll="0" sortType="descending">
      <items count="160">
        <item x="138"/>
        <item x="73"/>
        <item x="40"/>
        <item x="146"/>
        <item x="88"/>
        <item x="98"/>
        <item x="86"/>
        <item x="104"/>
        <item x="126"/>
        <item x="17"/>
        <item x="52"/>
        <item x="151"/>
        <item x="143"/>
        <item x="66"/>
        <item x="45"/>
        <item x="61"/>
        <item x="131"/>
        <item x="9"/>
        <item x="18"/>
        <item x="6"/>
        <item x="12"/>
        <item x="110"/>
        <item x="43"/>
        <item x="50"/>
        <item x="21"/>
        <item x="74"/>
        <item x="33"/>
        <item x="152"/>
        <item x="140"/>
        <item x="128"/>
        <item x="95"/>
        <item x="94"/>
        <item x="93"/>
        <item x="122"/>
        <item x="157"/>
        <item x="26"/>
        <item x="85"/>
        <item x="65"/>
        <item x="60"/>
        <item x="118"/>
        <item x="69"/>
        <item x="72"/>
        <item x="105"/>
        <item x="20"/>
        <item x="125"/>
        <item x="59"/>
        <item x="141"/>
        <item x="23"/>
        <item x="158"/>
        <item x="25"/>
        <item x="76"/>
        <item x="84"/>
        <item x="57"/>
        <item x="81"/>
        <item x="107"/>
        <item x="99"/>
        <item x="109"/>
        <item x="127"/>
        <item x="64"/>
        <item x="120"/>
        <item x="22"/>
        <item x="150"/>
        <item x="154"/>
        <item x="112"/>
        <item x="130"/>
        <item x="55"/>
        <item x="54"/>
        <item x="91"/>
        <item x="145"/>
        <item x="4"/>
        <item x="41"/>
        <item x="96"/>
        <item x="137"/>
        <item x="153"/>
        <item x="34"/>
        <item x="102"/>
        <item x="2"/>
        <item x="116"/>
        <item x="90"/>
        <item x="87"/>
        <item x="58"/>
        <item x="38"/>
        <item x="114"/>
        <item x="71"/>
        <item x="36"/>
        <item x="67"/>
        <item x="80"/>
        <item x="68"/>
        <item x="89"/>
        <item x="7"/>
        <item x="79"/>
        <item x="156"/>
        <item x="8"/>
        <item x="16"/>
        <item x="51"/>
        <item x="115"/>
        <item x="78"/>
        <item x="113"/>
        <item x="5"/>
        <item x="70"/>
        <item x="136"/>
        <item x="14"/>
        <item x="108"/>
        <item x="100"/>
        <item x="30"/>
        <item x="10"/>
        <item x="132"/>
        <item x="119"/>
        <item x="144"/>
        <item x="49"/>
        <item x="44"/>
        <item x="148"/>
        <item x="83"/>
        <item x="129"/>
        <item x="42"/>
        <item x="56"/>
        <item x="77"/>
        <item x="37"/>
        <item x="106"/>
        <item x="46"/>
        <item x="134"/>
        <item x="124"/>
        <item x="123"/>
        <item x="0"/>
        <item x="139"/>
        <item x="117"/>
        <item x="3"/>
        <item x="27"/>
        <item x="92"/>
        <item x="24"/>
        <item x="47"/>
        <item x="142"/>
        <item x="111"/>
        <item x="155"/>
        <item x="63"/>
        <item x="11"/>
        <item x="53"/>
        <item x="103"/>
        <item x="62"/>
        <item x="48"/>
        <item x="29"/>
        <item x="15"/>
        <item x="121"/>
        <item x="1"/>
        <item x="19"/>
        <item x="147"/>
        <item x="82"/>
        <item x="97"/>
        <item x="39"/>
        <item x="13"/>
        <item x="31"/>
        <item x="35"/>
        <item x="101"/>
        <item x="133"/>
        <item x="28"/>
        <item x="75"/>
        <item x="149"/>
        <item x="32"/>
        <item x="135"/>
        <item t="default"/>
      </items>
      <autoSortScope>
        <pivotArea dataOnly="0" outline="0" fieldPosition="0">
          <references count="1">
            <reference field="4294967294" count="1" selected="0">
              <x v="1"/>
            </reference>
          </references>
        </pivotArea>
      </autoSortScope>
    </pivotField>
    <pivotField numFmtId="2" showAll="0"/>
    <pivotField showAll="0"/>
    <pivotField showAll="0"/>
    <pivotField dataField="1" showAll="0"/>
    <pivotField numFmtId="10" showAll="0"/>
    <pivotField dataField="1" showAll="0"/>
    <pivotField numFmtId="10" showAll="0"/>
    <pivotField showAll="0"/>
    <pivotField numFmtId="10" showAll="0"/>
    <pivotField showAll="0">
      <items count="45">
        <item x="14"/>
        <item x="17"/>
        <item x="8"/>
        <item x="29"/>
        <item x="3"/>
        <item x="15"/>
        <item x="10"/>
        <item x="30"/>
        <item x="38"/>
        <item x="27"/>
        <item x="21"/>
        <item x="22"/>
        <item x="4"/>
        <item x="2"/>
        <item x="11"/>
        <item x="31"/>
        <item x="35"/>
        <item x="7"/>
        <item x="5"/>
        <item x="1"/>
        <item x="23"/>
        <item x="43"/>
        <item x="42"/>
        <item x="37"/>
        <item x="36"/>
        <item x="6"/>
        <item x="41"/>
        <item x="13"/>
        <item x="9"/>
        <item x="33"/>
        <item x="25"/>
        <item x="32"/>
        <item x="28"/>
        <item x="40"/>
        <item x="20"/>
        <item x="12"/>
        <item x="24"/>
        <item x="16"/>
        <item x="34"/>
        <item x="0"/>
        <item x="18"/>
        <item x="19"/>
        <item x="26"/>
        <item x="39"/>
        <item t="default"/>
      </items>
    </pivotField>
    <pivotField showAll="0"/>
    <pivotField showAll="0"/>
    <pivotField showAll="0"/>
    <pivotField showAll="0"/>
    <pivotField showAll="0"/>
  </pivotFields>
  <rowFields count="1">
    <field x="0"/>
  </rowFields>
  <rowItems count="160">
    <i>
      <x v="114"/>
    </i>
    <i>
      <x v="129"/>
    </i>
    <i>
      <x v="2"/>
    </i>
    <i>
      <x v="28"/>
    </i>
    <i>
      <x v="13"/>
    </i>
    <i>
      <x v="105"/>
    </i>
    <i>
      <x v="139"/>
    </i>
    <i>
      <x v="19"/>
    </i>
    <i>
      <x v="149"/>
    </i>
    <i>
      <x v="68"/>
    </i>
    <i>
      <x v="25"/>
    </i>
    <i>
      <x v="93"/>
    </i>
    <i>
      <x v="116"/>
    </i>
    <i>
      <x v="79"/>
    </i>
    <i>
      <x v="48"/>
    </i>
    <i>
      <x v="33"/>
    </i>
    <i>
      <x v="53"/>
    </i>
    <i>
      <x v="81"/>
    </i>
    <i>
      <x v="37"/>
    </i>
    <i>
      <x v="47"/>
    </i>
    <i>
      <x v="18"/>
    </i>
    <i>
      <x v="115"/>
    </i>
    <i>
      <x v="143"/>
    </i>
    <i>
      <x v="94"/>
    </i>
    <i>
      <x v="57"/>
    </i>
    <i>
      <x v="40"/>
    </i>
    <i>
      <x v="21"/>
    </i>
    <i>
      <x v="6"/>
    </i>
    <i>
      <x v="117"/>
    </i>
    <i>
      <x v="56"/>
    </i>
    <i>
      <x v="123"/>
    </i>
    <i>
      <x v="130"/>
    </i>
    <i>
      <x v="49"/>
    </i>
    <i>
      <x v="74"/>
    </i>
    <i>
      <x v="65"/>
    </i>
    <i>
      <x v="119"/>
    </i>
    <i>
      <x v="30"/>
    </i>
    <i>
      <x v="69"/>
    </i>
    <i>
      <x v="85"/>
    </i>
    <i>
      <x v="76"/>
    </i>
    <i>
      <x v="109"/>
    </i>
    <i>
      <x v="39"/>
    </i>
    <i>
      <x v="8"/>
    </i>
    <i>
      <x v="22"/>
    </i>
    <i>
      <x v="70"/>
    </i>
    <i>
      <x v="45"/>
    </i>
    <i>
      <x v="155"/>
    </i>
    <i>
      <x v="136"/>
    </i>
    <i>
      <x v="89"/>
    </i>
    <i>
      <x v="100"/>
    </i>
    <i>
      <x v="106"/>
    </i>
    <i>
      <x v="120"/>
    </i>
    <i>
      <x v="92"/>
    </i>
    <i>
      <x v="58"/>
    </i>
    <i>
      <x v="142"/>
    </i>
    <i>
      <x v="36"/>
    </i>
    <i>
      <x v="20"/>
    </i>
    <i>
      <x v="82"/>
    </i>
    <i>
      <x v="12"/>
    </i>
    <i>
      <x v="71"/>
    </i>
    <i>
      <x v="107"/>
    </i>
    <i>
      <x v="59"/>
    </i>
    <i>
      <x v="128"/>
    </i>
    <i>
      <x v="125"/>
    </i>
    <i>
      <x v="50"/>
    </i>
    <i>
      <x v="31"/>
    </i>
    <i>
      <x v="110"/>
    </i>
    <i>
      <x v="144"/>
    </i>
    <i>
      <x v="88"/>
    </i>
    <i>
      <x v="86"/>
    </i>
    <i>
      <x v="4"/>
    </i>
    <i>
      <x v="35"/>
    </i>
    <i>
      <x v="83"/>
    </i>
    <i>
      <x v="67"/>
    </i>
    <i>
      <x v="135"/>
    </i>
    <i>
      <x v="138"/>
    </i>
    <i>
      <x v="10"/>
    </i>
    <i>
      <x v="147"/>
    </i>
    <i>
      <x v="38"/>
    </i>
    <i>
      <x v="42"/>
    </i>
    <i>
      <x v="150"/>
    </i>
    <i>
      <x v="124"/>
    </i>
    <i>
      <x v="101"/>
    </i>
    <i>
      <x v="102"/>
    </i>
    <i>
      <x v="60"/>
    </i>
    <i>
      <x v="127"/>
    </i>
    <i>
      <x v="118"/>
    </i>
    <i>
      <x v="108"/>
    </i>
    <i>
      <x v="77"/>
    </i>
    <i>
      <x v="46"/>
    </i>
    <i>
      <x v="17"/>
    </i>
    <i>
      <x v="151"/>
    </i>
    <i>
      <x v="152"/>
    </i>
    <i>
      <x v="98"/>
    </i>
    <i>
      <x v="137"/>
    </i>
    <i>
      <x v="1"/>
    </i>
    <i>
      <x v="44"/>
    </i>
    <i>
      <x v="145"/>
    </i>
    <i>
      <x v="154"/>
    </i>
    <i>
      <x v="84"/>
    </i>
    <i>
      <x v="26"/>
    </i>
    <i>
      <x v="5"/>
    </i>
    <i>
      <x v="14"/>
    </i>
    <i>
      <x v="122"/>
    </i>
    <i>
      <x v="148"/>
    </i>
    <i>
      <x v="32"/>
    </i>
    <i>
      <x v="43"/>
    </i>
    <i>
      <x v="73"/>
    </i>
    <i>
      <x v="133"/>
    </i>
    <i>
      <x v="29"/>
    </i>
    <i>
      <x v="132"/>
    </i>
    <i>
      <x v="104"/>
    </i>
    <i>
      <x v="90"/>
    </i>
    <i>
      <x v="7"/>
    </i>
    <i>
      <x v="15"/>
    </i>
    <i>
      <x v="91"/>
    </i>
    <i>
      <x v="126"/>
    </i>
    <i>
      <x v="66"/>
    </i>
    <i>
      <x v="11"/>
    </i>
    <i>
      <x/>
    </i>
    <i>
      <x v="156"/>
    </i>
    <i>
      <x v="16"/>
    </i>
    <i>
      <x v="87"/>
    </i>
    <i>
      <x v="96"/>
    </i>
    <i>
      <x v="134"/>
    </i>
    <i>
      <x v="54"/>
    </i>
    <i>
      <x v="80"/>
    </i>
    <i>
      <x v="111"/>
    </i>
    <i>
      <x v="41"/>
    </i>
    <i>
      <x v="95"/>
    </i>
    <i>
      <x v="61"/>
    </i>
    <i>
      <x v="99"/>
    </i>
    <i>
      <x v="121"/>
    </i>
    <i>
      <x v="153"/>
    </i>
    <i>
      <x v="97"/>
    </i>
    <i>
      <x v="9"/>
    </i>
    <i>
      <x v="34"/>
    </i>
    <i>
      <x v="131"/>
    </i>
    <i>
      <x v="3"/>
    </i>
    <i>
      <x v="113"/>
    </i>
    <i>
      <x v="112"/>
    </i>
    <i>
      <x v="63"/>
    </i>
    <i>
      <x v="23"/>
    </i>
    <i>
      <x v="158"/>
    </i>
    <i>
      <x v="140"/>
    </i>
    <i>
      <x v="64"/>
    </i>
    <i>
      <x v="72"/>
    </i>
    <i>
      <x v="51"/>
    </i>
    <i>
      <x v="78"/>
    </i>
    <i>
      <x v="55"/>
    </i>
    <i>
      <x v="62"/>
    </i>
    <i>
      <x v="27"/>
    </i>
    <i>
      <x v="24"/>
    </i>
    <i>
      <x v="141"/>
    </i>
    <i>
      <x v="52"/>
    </i>
    <i>
      <x v="103"/>
    </i>
    <i>
      <x v="75"/>
    </i>
    <i>
      <x v="146"/>
    </i>
    <i>
      <x v="157"/>
    </i>
    <i t="grand">
      <x/>
    </i>
  </rowItems>
  <colFields count="1">
    <field x="-2"/>
  </colFields>
  <colItems count="2">
    <i>
      <x/>
    </i>
    <i i="1">
      <x v="1"/>
    </i>
  </colItems>
  <dataFields count="2">
    <dataField name="Sum of 52 Week High" fld="4" baseField="0" baseItem="0"/>
    <dataField name="Sum of 52 Week Low" fld="6" baseField="0" baseItem="0"/>
  </dataFields>
  <formats count="6">
    <format dxfId="10">
      <pivotArea outline="0" collapsedLevelsAreSubtotals="1" fieldPosition="0"/>
    </format>
    <format dxfId="9">
      <pivotArea dataOnly="0" labelOnly="1" fieldPosition="0">
        <references count="1">
          <reference field="0" count="50">
            <x v="2"/>
            <x v="6"/>
            <x v="8"/>
            <x v="13"/>
            <x v="18"/>
            <x v="19"/>
            <x v="21"/>
            <x v="22"/>
            <x v="25"/>
            <x v="28"/>
            <x v="30"/>
            <x v="33"/>
            <x v="37"/>
            <x v="39"/>
            <x v="40"/>
            <x v="45"/>
            <x v="47"/>
            <x v="48"/>
            <x v="49"/>
            <x v="53"/>
            <x v="56"/>
            <x v="57"/>
            <x v="65"/>
            <x v="68"/>
            <x v="69"/>
            <x v="70"/>
            <x v="74"/>
            <x v="76"/>
            <x v="79"/>
            <x v="81"/>
            <x v="85"/>
            <x v="89"/>
            <x v="93"/>
            <x v="94"/>
            <x v="100"/>
            <x v="105"/>
            <x v="109"/>
            <x v="114"/>
            <x v="115"/>
            <x v="116"/>
            <x v="117"/>
            <x v="119"/>
            <x v="123"/>
            <x v="129"/>
            <x v="130"/>
            <x v="136"/>
            <x v="139"/>
            <x v="143"/>
            <x v="149"/>
            <x v="155"/>
          </reference>
        </references>
      </pivotArea>
    </format>
    <format dxfId="8">
      <pivotArea dataOnly="0" labelOnly="1" fieldPosition="0">
        <references count="1">
          <reference field="0" count="50">
            <x v="1"/>
            <x v="4"/>
            <x v="10"/>
            <x v="12"/>
            <x v="17"/>
            <x v="20"/>
            <x v="31"/>
            <x v="35"/>
            <x v="36"/>
            <x v="38"/>
            <x v="42"/>
            <x v="44"/>
            <x v="46"/>
            <x v="50"/>
            <x v="58"/>
            <x v="59"/>
            <x v="60"/>
            <x v="67"/>
            <x v="71"/>
            <x v="77"/>
            <x v="82"/>
            <x v="83"/>
            <x v="84"/>
            <x v="86"/>
            <x v="88"/>
            <x v="92"/>
            <x v="98"/>
            <x v="101"/>
            <x v="102"/>
            <x v="106"/>
            <x v="107"/>
            <x v="108"/>
            <x v="110"/>
            <x v="118"/>
            <x v="120"/>
            <x v="124"/>
            <x v="125"/>
            <x v="127"/>
            <x v="128"/>
            <x v="135"/>
            <x v="137"/>
            <x v="138"/>
            <x v="142"/>
            <x v="144"/>
            <x v="145"/>
            <x v="147"/>
            <x v="150"/>
            <x v="151"/>
            <x v="152"/>
            <x v="154"/>
          </reference>
        </references>
      </pivotArea>
    </format>
    <format dxfId="7">
      <pivotArea dataOnly="0" labelOnly="1" fieldPosition="0">
        <references count="1">
          <reference field="0" count="50">
            <x v="0"/>
            <x v="3"/>
            <x v="5"/>
            <x v="7"/>
            <x v="9"/>
            <x v="11"/>
            <x v="14"/>
            <x v="15"/>
            <x v="16"/>
            <x v="23"/>
            <x v="26"/>
            <x v="29"/>
            <x v="32"/>
            <x v="34"/>
            <x v="41"/>
            <x v="43"/>
            <x v="51"/>
            <x v="54"/>
            <x v="55"/>
            <x v="61"/>
            <x v="63"/>
            <x v="64"/>
            <x v="66"/>
            <x v="72"/>
            <x v="73"/>
            <x v="78"/>
            <x v="80"/>
            <x v="87"/>
            <x v="90"/>
            <x v="91"/>
            <x v="95"/>
            <x v="96"/>
            <x v="97"/>
            <x v="99"/>
            <x v="104"/>
            <x v="111"/>
            <x v="112"/>
            <x v="113"/>
            <x v="121"/>
            <x v="122"/>
            <x v="126"/>
            <x v="131"/>
            <x v="132"/>
            <x v="133"/>
            <x v="134"/>
            <x v="140"/>
            <x v="148"/>
            <x v="153"/>
            <x v="156"/>
            <x v="158"/>
          </reference>
        </references>
      </pivotArea>
    </format>
    <format dxfId="6">
      <pivotArea dataOnly="0" labelOnly="1" fieldPosition="0">
        <references count="1">
          <reference field="0" count="9">
            <x v="24"/>
            <x v="27"/>
            <x v="52"/>
            <x v="62"/>
            <x v="75"/>
            <x v="103"/>
            <x v="141"/>
            <x v="146"/>
            <x v="157"/>
          </reference>
        </references>
      </pivotArea>
    </format>
    <format dxfId="5">
      <pivotArea dataOnly="0" labelOnly="1" grandRow="1" outline="0" fieldPosition="0"/>
    </format>
  </formats>
  <chartFormats count="2">
    <chartFormat chart="14" format="6" series="1">
      <pivotArea type="data" outline="0" fieldPosition="0">
        <references count="1">
          <reference field="4294967294" count="1" selected="0">
            <x v="0"/>
          </reference>
        </references>
      </pivotArea>
    </chartFormat>
    <chartFormat chart="14" format="7"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CF48C06-0490-44DE-BF27-5B05B96529CD}"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rowHeaderCaption="Stock">
  <location ref="X3:Z163" firstHeaderRow="0" firstDataRow="1" firstDataCol="1"/>
  <pivotFields count="16">
    <pivotField axis="axisRow" showAll="0" sortType="descending">
      <items count="160">
        <item x="138"/>
        <item x="73"/>
        <item x="40"/>
        <item x="146"/>
        <item x="88"/>
        <item x="98"/>
        <item x="86"/>
        <item x="104"/>
        <item x="126"/>
        <item x="17"/>
        <item x="52"/>
        <item x="151"/>
        <item x="143"/>
        <item x="66"/>
        <item x="45"/>
        <item x="61"/>
        <item x="131"/>
        <item x="9"/>
        <item x="18"/>
        <item x="6"/>
        <item x="12"/>
        <item x="110"/>
        <item x="43"/>
        <item x="50"/>
        <item x="21"/>
        <item x="74"/>
        <item x="33"/>
        <item x="152"/>
        <item x="140"/>
        <item x="128"/>
        <item x="95"/>
        <item x="94"/>
        <item x="93"/>
        <item x="122"/>
        <item x="157"/>
        <item x="26"/>
        <item x="85"/>
        <item x="65"/>
        <item x="60"/>
        <item x="118"/>
        <item x="69"/>
        <item x="72"/>
        <item x="105"/>
        <item x="20"/>
        <item x="125"/>
        <item x="59"/>
        <item x="141"/>
        <item x="23"/>
        <item x="158"/>
        <item x="25"/>
        <item x="76"/>
        <item x="84"/>
        <item x="57"/>
        <item x="81"/>
        <item x="107"/>
        <item x="99"/>
        <item x="109"/>
        <item x="127"/>
        <item x="64"/>
        <item x="120"/>
        <item x="22"/>
        <item x="150"/>
        <item x="154"/>
        <item x="112"/>
        <item x="130"/>
        <item x="55"/>
        <item x="54"/>
        <item x="91"/>
        <item x="145"/>
        <item x="4"/>
        <item x="41"/>
        <item x="96"/>
        <item x="137"/>
        <item x="153"/>
        <item x="34"/>
        <item x="102"/>
        <item x="2"/>
        <item x="116"/>
        <item x="90"/>
        <item x="87"/>
        <item x="58"/>
        <item x="38"/>
        <item x="114"/>
        <item x="71"/>
        <item x="36"/>
        <item x="67"/>
        <item x="80"/>
        <item x="68"/>
        <item x="89"/>
        <item x="7"/>
        <item x="79"/>
        <item x="156"/>
        <item x="8"/>
        <item x="16"/>
        <item x="51"/>
        <item x="115"/>
        <item x="78"/>
        <item x="113"/>
        <item x="5"/>
        <item x="70"/>
        <item x="136"/>
        <item x="14"/>
        <item x="108"/>
        <item x="100"/>
        <item x="30"/>
        <item x="10"/>
        <item x="132"/>
        <item x="119"/>
        <item x="144"/>
        <item x="49"/>
        <item x="44"/>
        <item x="148"/>
        <item x="83"/>
        <item x="129"/>
        <item x="42"/>
        <item x="56"/>
        <item x="77"/>
        <item x="37"/>
        <item x="106"/>
        <item x="46"/>
        <item x="134"/>
        <item x="124"/>
        <item x="123"/>
        <item x="0"/>
        <item x="139"/>
        <item x="117"/>
        <item x="3"/>
        <item x="27"/>
        <item x="92"/>
        <item x="24"/>
        <item x="47"/>
        <item x="142"/>
        <item x="111"/>
        <item x="155"/>
        <item x="63"/>
        <item x="11"/>
        <item x="53"/>
        <item x="103"/>
        <item x="62"/>
        <item x="48"/>
        <item x="29"/>
        <item x="15"/>
        <item x="121"/>
        <item x="1"/>
        <item x="19"/>
        <item x="147"/>
        <item x="82"/>
        <item x="97"/>
        <item x="39"/>
        <item x="13"/>
        <item x="31"/>
        <item x="35"/>
        <item x="101"/>
        <item x="133"/>
        <item x="28"/>
        <item x="75"/>
        <item x="149"/>
        <item x="32"/>
        <item x="135"/>
        <item t="default"/>
      </items>
      <autoSortScope>
        <pivotArea dataOnly="0" outline="0" fieldPosition="0">
          <references count="1">
            <reference field="4294967294" count="1" selected="0">
              <x v="0"/>
            </reference>
          </references>
        </pivotArea>
      </autoSortScope>
    </pivotField>
    <pivotField numFmtId="2" showAll="0"/>
    <pivotField showAll="0"/>
    <pivotField showAll="0"/>
    <pivotField showAll="0"/>
    <pivotField dataField="1" numFmtId="10" showAll="0"/>
    <pivotField showAll="0"/>
    <pivotField dataField="1" numFmtId="10" showAll="0"/>
    <pivotField showAll="0"/>
    <pivotField numFmtId="10" showAll="0"/>
    <pivotField showAll="0"/>
    <pivotField showAll="0"/>
    <pivotField showAll="0"/>
    <pivotField showAll="0"/>
    <pivotField showAll="0"/>
    <pivotField showAll="0"/>
  </pivotFields>
  <rowFields count="1">
    <field x="0"/>
  </rowFields>
  <rowItems count="160">
    <i>
      <x v="137"/>
    </i>
    <i>
      <x v="20"/>
    </i>
    <i>
      <x v="58"/>
    </i>
    <i>
      <x v="100"/>
    </i>
    <i>
      <x v="158"/>
    </i>
    <i>
      <x v="107"/>
    </i>
    <i>
      <x v="8"/>
    </i>
    <i>
      <x v="146"/>
    </i>
    <i>
      <x v="133"/>
    </i>
    <i>
      <x v="106"/>
    </i>
    <i>
      <x v="1"/>
    </i>
    <i>
      <x v="78"/>
    </i>
    <i>
      <x v="124"/>
    </i>
    <i>
      <x v="145"/>
    </i>
    <i>
      <x v="153"/>
    </i>
    <i>
      <x v="120"/>
    </i>
    <i>
      <x v="91"/>
    </i>
    <i>
      <x v="36"/>
    </i>
    <i>
      <x v="111"/>
    </i>
    <i>
      <x v="96"/>
    </i>
    <i>
      <x v="144"/>
    </i>
    <i>
      <x v="97"/>
    </i>
    <i>
      <x v="139"/>
    </i>
    <i>
      <x v="109"/>
    </i>
    <i>
      <x v="156"/>
    </i>
    <i>
      <x v="95"/>
    </i>
    <i>
      <x v="15"/>
    </i>
    <i>
      <x v="29"/>
    </i>
    <i>
      <x v="34"/>
    </i>
    <i>
      <x v="94"/>
    </i>
    <i>
      <x v="16"/>
    </i>
    <i>
      <x v="64"/>
    </i>
    <i>
      <x v="125"/>
    </i>
    <i>
      <x v="128"/>
    </i>
    <i>
      <x v="66"/>
    </i>
    <i>
      <x v="81"/>
    </i>
    <i>
      <x v="73"/>
    </i>
    <i>
      <x v="79"/>
    </i>
    <i>
      <x v="27"/>
    </i>
    <i>
      <x v="67"/>
    </i>
    <i>
      <x v="31"/>
    </i>
    <i>
      <x v="37"/>
    </i>
    <i>
      <x v="28"/>
    </i>
    <i>
      <x v="87"/>
    </i>
    <i>
      <x v="21"/>
    </i>
    <i>
      <x v="65"/>
    </i>
    <i>
      <x v="112"/>
    </i>
    <i>
      <x v="5"/>
    </i>
    <i>
      <x v="4"/>
    </i>
    <i>
      <x v="23"/>
    </i>
    <i>
      <x v="56"/>
    </i>
    <i>
      <x v="140"/>
    </i>
    <i>
      <x v="84"/>
    </i>
    <i>
      <x v="110"/>
    </i>
    <i>
      <x v="32"/>
    </i>
    <i>
      <x v="103"/>
    </i>
    <i>
      <x v="13"/>
    </i>
    <i>
      <x v="26"/>
    </i>
    <i>
      <x v="6"/>
    </i>
    <i>
      <x v="113"/>
    </i>
    <i>
      <x v="47"/>
    </i>
    <i>
      <x v="45"/>
    </i>
    <i>
      <x v="75"/>
    </i>
    <i>
      <x v="12"/>
    </i>
    <i>
      <x v="152"/>
    </i>
    <i>
      <x v="114"/>
    </i>
    <i>
      <x v="59"/>
    </i>
    <i>
      <x v="19"/>
    </i>
    <i>
      <x v="61"/>
    </i>
    <i>
      <x v="41"/>
    </i>
    <i>
      <x v="147"/>
    </i>
    <i>
      <x v="127"/>
    </i>
    <i>
      <x v="121"/>
    </i>
    <i>
      <x v="30"/>
    </i>
    <i>
      <x v="53"/>
    </i>
    <i>
      <x v="82"/>
    </i>
    <i>
      <x v="72"/>
    </i>
    <i>
      <x v="98"/>
    </i>
    <i>
      <x v="3"/>
    </i>
    <i>
      <x v="40"/>
    </i>
    <i>
      <x v="122"/>
    </i>
    <i>
      <x v="62"/>
    </i>
    <i>
      <x v="154"/>
    </i>
    <i>
      <x v="85"/>
    </i>
    <i>
      <x v="38"/>
    </i>
    <i>
      <x v="83"/>
    </i>
    <i>
      <x v="142"/>
    </i>
    <i>
      <x v="11"/>
    </i>
    <i>
      <x v="138"/>
    </i>
    <i>
      <x v="50"/>
    </i>
    <i>
      <x v="57"/>
    </i>
    <i>
      <x v="115"/>
    </i>
    <i>
      <x v="86"/>
    </i>
    <i>
      <x v="49"/>
    </i>
    <i>
      <x v="157"/>
    </i>
    <i>
      <x v="25"/>
    </i>
    <i>
      <x v="44"/>
    </i>
    <i>
      <x v="42"/>
    </i>
    <i>
      <x/>
    </i>
    <i>
      <x v="143"/>
    </i>
    <i>
      <x v="63"/>
    </i>
    <i>
      <x v="132"/>
    </i>
    <i>
      <x v="155"/>
    </i>
    <i>
      <x v="14"/>
    </i>
    <i>
      <x v="55"/>
    </i>
    <i>
      <x v="151"/>
    </i>
    <i>
      <x v="148"/>
    </i>
    <i>
      <x v="118"/>
    </i>
    <i>
      <x v="116"/>
    </i>
    <i>
      <x v="70"/>
    </i>
    <i>
      <x v="129"/>
    </i>
    <i>
      <x v="7"/>
    </i>
    <i>
      <x v="88"/>
    </i>
    <i>
      <x v="123"/>
    </i>
    <i>
      <x v="105"/>
    </i>
    <i>
      <x v="9"/>
    </i>
    <i>
      <x v="141"/>
    </i>
    <i>
      <x v="18"/>
    </i>
    <i>
      <x v="33"/>
    </i>
    <i>
      <x v="22"/>
    </i>
    <i>
      <x v="119"/>
    </i>
    <i>
      <x v="46"/>
    </i>
    <i>
      <x v="117"/>
    </i>
    <i>
      <x v="150"/>
    </i>
    <i>
      <x v="43"/>
    </i>
    <i>
      <x v="89"/>
    </i>
    <i>
      <x v="69"/>
    </i>
    <i>
      <x v="80"/>
    </i>
    <i>
      <x v="104"/>
    </i>
    <i>
      <x v="35"/>
    </i>
    <i>
      <x v="48"/>
    </i>
    <i>
      <x v="99"/>
    </i>
    <i>
      <x v="90"/>
    </i>
    <i>
      <x v="77"/>
    </i>
    <i>
      <x v="149"/>
    </i>
    <i>
      <x v="134"/>
    </i>
    <i>
      <x v="102"/>
    </i>
    <i>
      <x v="71"/>
    </i>
    <i>
      <x v="74"/>
    </i>
    <i>
      <x v="54"/>
    </i>
    <i>
      <x v="39"/>
    </i>
    <i>
      <x v="108"/>
    </i>
    <i>
      <x v="24"/>
    </i>
    <i>
      <x v="51"/>
    </i>
    <i>
      <x v="68"/>
    </i>
    <i>
      <x v="136"/>
    </i>
    <i>
      <x v="10"/>
    </i>
    <i>
      <x v="126"/>
    </i>
    <i>
      <x v="76"/>
    </i>
    <i>
      <x v="130"/>
    </i>
    <i>
      <x v="60"/>
    </i>
    <i>
      <x v="131"/>
    </i>
    <i>
      <x v="135"/>
    </i>
    <i>
      <x v="17"/>
    </i>
    <i>
      <x v="101"/>
    </i>
    <i>
      <x v="52"/>
    </i>
    <i>
      <x v="92"/>
    </i>
    <i>
      <x v="2"/>
    </i>
    <i>
      <x v="93"/>
    </i>
    <i t="grand">
      <x/>
    </i>
  </rowItems>
  <colFields count="1">
    <field x="-2"/>
  </colFields>
  <colItems count="2">
    <i>
      <x/>
    </i>
    <i i="1">
      <x v="1"/>
    </i>
  </colItems>
  <dataFields count="2">
    <dataField name="Sum of % Below 52 week high" fld="5" baseField="0" baseItem="0"/>
    <dataField name="Sum of % Above 52 Week low" fld="7" baseField="0" baseItem="0"/>
  </dataFields>
  <formats count="6">
    <format dxfId="16">
      <pivotArea outline="0" collapsedLevelsAreSubtotals="1" fieldPosition="0"/>
    </format>
    <format dxfId="15">
      <pivotArea dataOnly="0" labelOnly="1" fieldPosition="0">
        <references count="1">
          <reference field="0" count="50">
            <x v="1"/>
            <x v="4"/>
            <x v="5"/>
            <x v="8"/>
            <x v="15"/>
            <x v="16"/>
            <x v="20"/>
            <x v="21"/>
            <x v="23"/>
            <x v="27"/>
            <x v="28"/>
            <x v="29"/>
            <x v="31"/>
            <x v="34"/>
            <x v="36"/>
            <x v="37"/>
            <x v="58"/>
            <x v="64"/>
            <x v="65"/>
            <x v="66"/>
            <x v="67"/>
            <x v="73"/>
            <x v="78"/>
            <x v="79"/>
            <x v="81"/>
            <x v="87"/>
            <x v="91"/>
            <x v="94"/>
            <x v="95"/>
            <x v="96"/>
            <x v="97"/>
            <x v="100"/>
            <x v="106"/>
            <x v="107"/>
            <x v="109"/>
            <x v="111"/>
            <x v="112"/>
            <x v="120"/>
            <x v="124"/>
            <x v="125"/>
            <x v="128"/>
            <x v="133"/>
            <x v="137"/>
            <x v="139"/>
            <x v="144"/>
            <x v="145"/>
            <x v="146"/>
            <x v="153"/>
            <x v="156"/>
            <x v="158"/>
          </reference>
        </references>
      </pivotArea>
    </format>
    <format dxfId="14">
      <pivotArea dataOnly="0" labelOnly="1" fieldPosition="0">
        <references count="1">
          <reference field="0" count="50">
            <x v="0"/>
            <x v="3"/>
            <x v="6"/>
            <x v="11"/>
            <x v="12"/>
            <x v="13"/>
            <x v="19"/>
            <x v="25"/>
            <x v="26"/>
            <x v="30"/>
            <x v="32"/>
            <x v="38"/>
            <x v="40"/>
            <x v="41"/>
            <x v="42"/>
            <x v="44"/>
            <x v="45"/>
            <x v="47"/>
            <x v="49"/>
            <x v="50"/>
            <x v="53"/>
            <x v="56"/>
            <x v="57"/>
            <x v="59"/>
            <x v="61"/>
            <x v="62"/>
            <x v="72"/>
            <x v="75"/>
            <x v="82"/>
            <x v="83"/>
            <x v="84"/>
            <x v="85"/>
            <x v="86"/>
            <x v="98"/>
            <x v="103"/>
            <x v="110"/>
            <x v="113"/>
            <x v="114"/>
            <x v="115"/>
            <x v="121"/>
            <x v="122"/>
            <x v="127"/>
            <x v="138"/>
            <x v="140"/>
            <x v="142"/>
            <x v="143"/>
            <x v="147"/>
            <x v="152"/>
            <x v="154"/>
            <x v="157"/>
          </reference>
        </references>
      </pivotArea>
    </format>
    <format dxfId="13">
      <pivotArea dataOnly="0" labelOnly="1" fieldPosition="0">
        <references count="1">
          <reference field="0" count="50">
            <x v="7"/>
            <x v="9"/>
            <x v="10"/>
            <x v="14"/>
            <x v="18"/>
            <x v="22"/>
            <x v="24"/>
            <x v="33"/>
            <x v="35"/>
            <x v="39"/>
            <x v="43"/>
            <x v="46"/>
            <x v="48"/>
            <x v="51"/>
            <x v="54"/>
            <x v="55"/>
            <x v="63"/>
            <x v="68"/>
            <x v="69"/>
            <x v="70"/>
            <x v="71"/>
            <x v="74"/>
            <x v="76"/>
            <x v="77"/>
            <x v="80"/>
            <x v="88"/>
            <x v="89"/>
            <x v="90"/>
            <x v="99"/>
            <x v="102"/>
            <x v="104"/>
            <x v="105"/>
            <x v="108"/>
            <x v="116"/>
            <x v="117"/>
            <x v="118"/>
            <x v="119"/>
            <x v="123"/>
            <x v="126"/>
            <x v="129"/>
            <x v="130"/>
            <x v="132"/>
            <x v="134"/>
            <x v="136"/>
            <x v="141"/>
            <x v="148"/>
            <x v="149"/>
            <x v="150"/>
            <x v="151"/>
            <x v="155"/>
          </reference>
        </references>
      </pivotArea>
    </format>
    <format dxfId="12">
      <pivotArea dataOnly="0" labelOnly="1" fieldPosition="0">
        <references count="1">
          <reference field="0" count="9">
            <x v="2"/>
            <x v="17"/>
            <x v="52"/>
            <x v="60"/>
            <x v="92"/>
            <x v="93"/>
            <x v="101"/>
            <x v="131"/>
            <x v="135"/>
          </reference>
        </references>
      </pivotArea>
    </format>
    <format dxfId="11">
      <pivotArea dataOnly="0" labelOnly="1" grandRow="1" outline="0" fieldPosition="0"/>
    </format>
  </formats>
  <chartFormats count="2">
    <chartFormat chart="36" format="10" series="1">
      <pivotArea type="data" outline="0" fieldPosition="0">
        <references count="1">
          <reference field="4294967294" count="1" selected="0">
            <x v="1"/>
          </reference>
        </references>
      </pivotArea>
    </chartFormat>
    <chartFormat chart="36" format="1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E9E3D2-8925-4920-933D-833C8AE20EE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M3:N7" firstHeaderRow="1" firstDataRow="1" firstDataCol="1"/>
  <pivotFields count="16">
    <pivotField showAll="0">
      <items count="160">
        <item x="138"/>
        <item x="73"/>
        <item x="40"/>
        <item x="146"/>
        <item x="88"/>
        <item x="98"/>
        <item x="86"/>
        <item x="104"/>
        <item x="126"/>
        <item x="17"/>
        <item x="52"/>
        <item x="151"/>
        <item x="143"/>
        <item x="66"/>
        <item x="45"/>
        <item x="61"/>
        <item x="131"/>
        <item x="9"/>
        <item x="18"/>
        <item x="6"/>
        <item x="12"/>
        <item x="110"/>
        <item x="43"/>
        <item x="50"/>
        <item x="21"/>
        <item x="74"/>
        <item x="33"/>
        <item x="152"/>
        <item x="140"/>
        <item x="128"/>
        <item x="95"/>
        <item x="94"/>
        <item x="93"/>
        <item x="122"/>
        <item x="157"/>
        <item x="26"/>
        <item x="85"/>
        <item x="65"/>
        <item x="60"/>
        <item x="118"/>
        <item x="69"/>
        <item x="72"/>
        <item x="105"/>
        <item x="20"/>
        <item x="125"/>
        <item x="59"/>
        <item x="141"/>
        <item x="23"/>
        <item x="158"/>
        <item x="25"/>
        <item x="76"/>
        <item x="84"/>
        <item x="57"/>
        <item x="81"/>
        <item x="107"/>
        <item x="99"/>
        <item x="109"/>
        <item x="127"/>
        <item x="64"/>
        <item x="120"/>
        <item x="22"/>
        <item x="150"/>
        <item x="154"/>
        <item x="112"/>
        <item x="130"/>
        <item x="55"/>
        <item x="54"/>
        <item x="91"/>
        <item x="145"/>
        <item x="4"/>
        <item x="41"/>
        <item x="96"/>
        <item x="137"/>
        <item x="153"/>
        <item x="34"/>
        <item x="102"/>
        <item x="2"/>
        <item x="116"/>
        <item x="90"/>
        <item x="87"/>
        <item x="58"/>
        <item x="38"/>
        <item x="114"/>
        <item x="71"/>
        <item x="36"/>
        <item x="67"/>
        <item x="80"/>
        <item x="68"/>
        <item x="89"/>
        <item x="7"/>
        <item x="79"/>
        <item x="156"/>
        <item x="8"/>
        <item x="16"/>
        <item x="51"/>
        <item x="115"/>
        <item x="78"/>
        <item x="113"/>
        <item x="5"/>
        <item x="70"/>
        <item x="136"/>
        <item x="14"/>
        <item x="108"/>
        <item x="100"/>
        <item x="30"/>
        <item x="10"/>
        <item x="132"/>
        <item x="119"/>
        <item x="144"/>
        <item x="49"/>
        <item x="44"/>
        <item x="148"/>
        <item x="83"/>
        <item x="129"/>
        <item x="42"/>
        <item x="56"/>
        <item x="77"/>
        <item x="37"/>
        <item x="106"/>
        <item x="46"/>
        <item x="134"/>
        <item x="124"/>
        <item x="123"/>
        <item x="0"/>
        <item x="139"/>
        <item x="117"/>
        <item x="3"/>
        <item x="27"/>
        <item x="92"/>
        <item x="24"/>
        <item x="47"/>
        <item x="142"/>
        <item x="111"/>
        <item x="155"/>
        <item x="63"/>
        <item x="11"/>
        <item x="53"/>
        <item x="103"/>
        <item x="62"/>
        <item x="48"/>
        <item x="29"/>
        <item x="15"/>
        <item x="121"/>
        <item x="1"/>
        <item x="19"/>
        <item x="147"/>
        <item x="82"/>
        <item x="97"/>
        <item x="39"/>
        <item x="13"/>
        <item x="31"/>
        <item x="35"/>
        <item x="101"/>
        <item x="133"/>
        <item x="28"/>
        <item x="75"/>
        <item x="149"/>
        <item x="32"/>
        <item x="135"/>
        <item t="default"/>
      </items>
    </pivotField>
    <pivotField numFmtId="2" showAll="0"/>
    <pivotField dataField="1" showAll="0">
      <items count="160">
        <item x="32"/>
        <item x="82"/>
        <item x="102"/>
        <item x="152"/>
        <item x="15"/>
        <item x="100"/>
        <item x="57"/>
        <item x="90"/>
        <item x="154"/>
        <item x="99"/>
        <item x="84"/>
        <item x="21"/>
        <item x="137"/>
        <item x="29"/>
        <item x="135"/>
        <item x="50"/>
        <item x="130"/>
        <item x="83"/>
        <item x="129"/>
        <item x="146"/>
        <item x="157"/>
        <item x="113"/>
        <item x="133"/>
        <item x="112"/>
        <item x="72"/>
        <item x="124"/>
        <item x="78"/>
        <item x="115"/>
        <item x="148"/>
        <item x="150"/>
        <item x="131"/>
        <item x="149"/>
        <item x="70"/>
        <item x="68"/>
        <item x="58"/>
        <item x="156"/>
        <item x="61"/>
        <item x="138"/>
        <item x="54"/>
        <item x="142"/>
        <item x="153"/>
        <item x="63"/>
        <item x="30"/>
        <item x="155"/>
        <item x="128"/>
        <item x="151"/>
        <item x="17"/>
        <item x="93"/>
        <item x="20"/>
        <item x="107"/>
        <item x="98"/>
        <item x="33"/>
        <item x="147"/>
        <item x="104"/>
        <item x="73"/>
        <item x="111"/>
        <item x="123"/>
        <item x="3"/>
        <item x="45"/>
        <item x="36"/>
        <item x="79"/>
        <item x="5"/>
        <item x="139"/>
        <item x="141"/>
        <item x="35"/>
        <item x="103"/>
        <item x="27"/>
        <item x="97"/>
        <item x="101"/>
        <item x="31"/>
        <item x="108"/>
        <item x="60"/>
        <item x="71"/>
        <item x="116"/>
        <item x="105"/>
        <item x="91"/>
        <item x="106"/>
        <item x="22"/>
        <item x="9"/>
        <item x="62"/>
        <item x="144"/>
        <item x="39"/>
        <item x="19"/>
        <item x="88"/>
        <item x="11"/>
        <item x="44"/>
        <item x="26"/>
        <item x="94"/>
        <item x="80"/>
        <item x="28"/>
        <item x="52"/>
        <item x="117"/>
        <item x="125"/>
        <item x="92"/>
        <item x="14"/>
        <item x="119"/>
        <item x="12"/>
        <item x="76"/>
        <item x="89"/>
        <item x="64"/>
        <item x="85"/>
        <item x="114"/>
        <item x="136"/>
        <item x="134"/>
        <item x="120"/>
        <item x="96"/>
        <item x="143"/>
        <item x="132"/>
        <item x="7"/>
        <item x="121"/>
        <item x="126"/>
        <item x="59"/>
        <item x="75"/>
        <item x="49"/>
        <item x="41"/>
        <item x="8"/>
        <item x="43"/>
        <item x="95"/>
        <item x="109"/>
        <item x="53"/>
        <item x="0"/>
        <item x="110"/>
        <item x="4"/>
        <item x="2"/>
        <item x="46"/>
        <item x="86"/>
        <item x="34"/>
        <item x="55"/>
        <item x="67"/>
        <item x="69"/>
        <item x="127"/>
        <item x="25"/>
        <item x="37"/>
        <item x="23"/>
        <item x="1"/>
        <item x="51"/>
        <item x="118"/>
        <item x="18"/>
        <item x="38"/>
        <item x="65"/>
        <item x="56"/>
        <item x="77"/>
        <item x="16"/>
        <item x="158"/>
        <item x="47"/>
        <item x="87"/>
        <item x="74"/>
        <item x="122"/>
        <item x="81"/>
        <item x="6"/>
        <item x="145"/>
        <item x="48"/>
        <item x="13"/>
        <item x="66"/>
        <item x="10"/>
        <item x="140"/>
        <item x="40"/>
        <item x="24"/>
        <item x="42"/>
        <item t="default"/>
      </items>
    </pivotField>
    <pivotField showAll="0"/>
    <pivotField showAll="0"/>
    <pivotField numFmtId="10" showAll="0"/>
    <pivotField showAll="0"/>
    <pivotField numFmtId="10" showAll="0"/>
    <pivotField showAll="0"/>
    <pivotField numFmtId="10" showAll="0"/>
    <pivotField showAll="0">
      <items count="45">
        <item x="14"/>
        <item x="17"/>
        <item x="8"/>
        <item x="29"/>
        <item x="3"/>
        <item x="15"/>
        <item x="10"/>
        <item x="30"/>
        <item x="38"/>
        <item x="27"/>
        <item x="21"/>
        <item x="22"/>
        <item x="4"/>
        <item x="2"/>
        <item x="11"/>
        <item x="31"/>
        <item x="35"/>
        <item x="7"/>
        <item x="5"/>
        <item x="1"/>
        <item x="23"/>
        <item x="43"/>
        <item x="42"/>
        <item x="37"/>
        <item x="36"/>
        <item x="6"/>
        <item x="41"/>
        <item x="13"/>
        <item x="9"/>
        <item x="33"/>
        <item x="25"/>
        <item x="32"/>
        <item x="28"/>
        <item x="40"/>
        <item x="20"/>
        <item x="12"/>
        <item x="24"/>
        <item x="16"/>
        <item x="34"/>
        <item x="0"/>
        <item x="18"/>
        <item x="19"/>
        <item x="26"/>
        <item x="39"/>
        <item t="default"/>
      </items>
    </pivotField>
    <pivotField showAll="0"/>
    <pivotField showAll="0"/>
    <pivotField showAll="0"/>
    <pivotField showAll="0"/>
    <pivotField axis="axisRow" showAll="0">
      <items count="4">
        <item x="0"/>
        <item x="2"/>
        <item x="1"/>
        <item t="default"/>
      </items>
    </pivotField>
  </pivotFields>
  <rowFields count="1">
    <field x="15"/>
  </rowFields>
  <rowItems count="4">
    <i>
      <x/>
    </i>
    <i>
      <x v="1"/>
    </i>
    <i>
      <x v="2"/>
    </i>
    <i t="grand">
      <x/>
    </i>
  </rowItems>
  <colItems count="1">
    <i/>
  </colItems>
  <dataFields count="1">
    <dataField name="Sum of Current price" fld="2" baseField="0" baseItem="0"/>
  </dataFields>
  <formats count="3">
    <format dxfId="19">
      <pivotArea outline="0" collapsedLevelsAreSubtotals="1" fieldPosition="0"/>
    </format>
    <format dxfId="18">
      <pivotArea dataOnly="0" labelOnly="1" fieldPosition="0">
        <references count="1">
          <reference field="15" count="0"/>
        </references>
      </pivotArea>
    </format>
    <format dxfId="17">
      <pivotArea dataOnly="0" labelOnly="1" grandRow="1" outline="0" fieldPosition="0"/>
    </format>
  </formats>
  <chartFormats count="4">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15" count="1" selected="0">
            <x v="0"/>
          </reference>
        </references>
      </pivotArea>
    </chartFormat>
    <chartFormat chart="5" format="11">
      <pivotArea type="data" outline="0" fieldPosition="0">
        <references count="2">
          <reference field="4294967294" count="1" selected="0">
            <x v="0"/>
          </reference>
          <reference field="15" count="1" selected="0">
            <x v="1"/>
          </reference>
        </references>
      </pivotArea>
    </chartFormat>
    <chartFormat chart="5" format="12">
      <pivotArea type="data" outline="0" fieldPosition="0">
        <references count="2">
          <reference field="4294967294" count="1" selected="0">
            <x v="0"/>
          </reference>
          <reference field="15"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E2733B-E5CD-4DA2-BF9C-E2E0CF5AA74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6">
    <pivotField showAll="0">
      <items count="160">
        <item x="138"/>
        <item x="73"/>
        <item x="40"/>
        <item x="146"/>
        <item x="88"/>
        <item x="98"/>
        <item x="86"/>
        <item x="104"/>
        <item x="126"/>
        <item x="17"/>
        <item x="52"/>
        <item x="151"/>
        <item x="143"/>
        <item x="66"/>
        <item x="45"/>
        <item x="61"/>
        <item x="131"/>
        <item x="9"/>
        <item x="18"/>
        <item x="6"/>
        <item x="12"/>
        <item x="110"/>
        <item x="43"/>
        <item x="50"/>
        <item x="21"/>
        <item x="74"/>
        <item x="33"/>
        <item x="152"/>
        <item x="140"/>
        <item x="128"/>
        <item x="95"/>
        <item x="94"/>
        <item x="93"/>
        <item x="122"/>
        <item x="157"/>
        <item x="26"/>
        <item x="85"/>
        <item x="65"/>
        <item x="60"/>
        <item x="118"/>
        <item x="69"/>
        <item x="72"/>
        <item x="105"/>
        <item x="20"/>
        <item x="125"/>
        <item x="59"/>
        <item x="141"/>
        <item x="23"/>
        <item x="158"/>
        <item x="25"/>
        <item x="76"/>
        <item x="84"/>
        <item x="57"/>
        <item x="81"/>
        <item x="107"/>
        <item x="99"/>
        <item x="109"/>
        <item x="127"/>
        <item x="64"/>
        <item x="120"/>
        <item x="22"/>
        <item x="150"/>
        <item x="154"/>
        <item x="112"/>
        <item x="130"/>
        <item x="55"/>
        <item x="54"/>
        <item x="91"/>
        <item x="145"/>
        <item x="4"/>
        <item x="41"/>
        <item x="96"/>
        <item x="137"/>
        <item x="153"/>
        <item x="34"/>
        <item x="102"/>
        <item x="2"/>
        <item x="116"/>
        <item x="90"/>
        <item x="87"/>
        <item x="58"/>
        <item x="38"/>
        <item x="114"/>
        <item x="71"/>
        <item x="36"/>
        <item x="67"/>
        <item x="80"/>
        <item x="68"/>
        <item x="89"/>
        <item x="7"/>
        <item x="79"/>
        <item x="156"/>
        <item x="8"/>
        <item x="16"/>
        <item x="51"/>
        <item x="115"/>
        <item x="78"/>
        <item x="113"/>
        <item x="5"/>
        <item x="70"/>
        <item x="136"/>
        <item x="14"/>
        <item x="108"/>
        <item x="100"/>
        <item x="30"/>
        <item x="10"/>
        <item x="132"/>
        <item x="119"/>
        <item x="144"/>
        <item x="49"/>
        <item x="44"/>
        <item x="148"/>
        <item x="83"/>
        <item x="129"/>
        <item x="42"/>
        <item x="56"/>
        <item x="77"/>
        <item x="37"/>
        <item x="106"/>
        <item x="46"/>
        <item x="134"/>
        <item x="124"/>
        <item x="123"/>
        <item x="0"/>
        <item x="139"/>
        <item x="117"/>
        <item x="3"/>
        <item x="27"/>
        <item x="92"/>
        <item x="24"/>
        <item x="47"/>
        <item x="142"/>
        <item x="111"/>
        <item x="155"/>
        <item x="63"/>
        <item x="11"/>
        <item x="53"/>
        <item x="103"/>
        <item x="62"/>
        <item x="48"/>
        <item x="29"/>
        <item x="15"/>
        <item x="121"/>
        <item x="1"/>
        <item x="19"/>
        <item x="147"/>
        <item x="82"/>
        <item x="97"/>
        <item x="39"/>
        <item x="13"/>
        <item x="31"/>
        <item x="35"/>
        <item x="101"/>
        <item x="133"/>
        <item x="28"/>
        <item x="75"/>
        <item x="149"/>
        <item x="32"/>
        <item x="135"/>
        <item t="default"/>
      </items>
    </pivotField>
    <pivotField numFmtId="2" showAll="0"/>
    <pivotField showAll="0"/>
    <pivotField dataField="1" showAll="0"/>
    <pivotField showAll="0"/>
    <pivotField numFmtId="10" showAll="0"/>
    <pivotField showAll="0"/>
    <pivotField numFmtId="10" showAll="0"/>
    <pivotField showAll="0"/>
    <pivotField numFmtId="10" showAll="0"/>
    <pivotField showAll="0">
      <items count="45">
        <item x="14"/>
        <item x="17"/>
        <item x="8"/>
        <item x="29"/>
        <item x="3"/>
        <item x="15"/>
        <item x="10"/>
        <item x="30"/>
        <item x="38"/>
        <item x="27"/>
        <item x="21"/>
        <item x="22"/>
        <item x="4"/>
        <item x="2"/>
        <item x="11"/>
        <item x="31"/>
        <item x="35"/>
        <item x="7"/>
        <item x="5"/>
        <item x="1"/>
        <item x="23"/>
        <item x="43"/>
        <item x="42"/>
        <item x="37"/>
        <item x="36"/>
        <item x="6"/>
        <item x="41"/>
        <item x="13"/>
        <item x="9"/>
        <item x="33"/>
        <item x="25"/>
        <item x="32"/>
        <item x="28"/>
        <item x="40"/>
        <item x="20"/>
        <item x="12"/>
        <item x="24"/>
        <item x="16"/>
        <item x="34"/>
        <item x="0"/>
        <item x="18"/>
        <item x="19"/>
        <item x="26"/>
        <item x="39"/>
        <item t="default"/>
      </items>
    </pivotField>
    <pivotField showAll="0"/>
    <pivotField showAll="0"/>
    <pivotField showAll="0"/>
    <pivotField showAll="0"/>
    <pivotField showAll="0"/>
  </pivotFields>
  <rowItems count="1">
    <i/>
  </rowItems>
  <colItems count="1">
    <i/>
  </colItems>
  <dataFields count="1">
    <dataField name="Min of PE Ratio" fld="3" subtotal="min" baseField="0" baseItem="0"/>
  </dataFields>
  <formats count="1">
    <format dxfId="20">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E273E7-2963-466C-A230-E5D2A5064ED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7:C8" firstHeaderRow="1" firstDataRow="1" firstDataCol="0"/>
  <pivotFields count="16">
    <pivotField showAll="0">
      <items count="160">
        <item x="138"/>
        <item x="73"/>
        <item x="40"/>
        <item x="146"/>
        <item x="88"/>
        <item x="98"/>
        <item x="86"/>
        <item x="104"/>
        <item x="126"/>
        <item x="17"/>
        <item x="52"/>
        <item x="151"/>
        <item x="143"/>
        <item x="66"/>
        <item x="45"/>
        <item x="61"/>
        <item x="131"/>
        <item x="9"/>
        <item x="18"/>
        <item x="6"/>
        <item x="12"/>
        <item x="110"/>
        <item x="43"/>
        <item x="50"/>
        <item x="21"/>
        <item x="74"/>
        <item x="33"/>
        <item x="152"/>
        <item x="140"/>
        <item x="128"/>
        <item x="95"/>
        <item x="94"/>
        <item x="93"/>
        <item x="122"/>
        <item x="157"/>
        <item x="26"/>
        <item x="85"/>
        <item x="65"/>
        <item x="60"/>
        <item x="118"/>
        <item x="69"/>
        <item x="72"/>
        <item x="105"/>
        <item x="20"/>
        <item x="125"/>
        <item x="59"/>
        <item x="141"/>
        <item x="23"/>
        <item x="158"/>
        <item x="25"/>
        <item x="76"/>
        <item x="84"/>
        <item x="57"/>
        <item x="81"/>
        <item x="107"/>
        <item x="99"/>
        <item x="109"/>
        <item x="127"/>
        <item x="64"/>
        <item x="120"/>
        <item x="22"/>
        <item x="150"/>
        <item x="154"/>
        <item x="112"/>
        <item x="130"/>
        <item x="55"/>
        <item x="54"/>
        <item x="91"/>
        <item x="145"/>
        <item x="4"/>
        <item x="41"/>
        <item x="96"/>
        <item x="137"/>
        <item x="153"/>
        <item x="34"/>
        <item x="102"/>
        <item x="2"/>
        <item x="116"/>
        <item x="90"/>
        <item x="87"/>
        <item x="58"/>
        <item x="38"/>
        <item x="114"/>
        <item x="71"/>
        <item x="36"/>
        <item x="67"/>
        <item x="80"/>
        <item x="68"/>
        <item x="89"/>
        <item x="7"/>
        <item x="79"/>
        <item x="156"/>
        <item x="8"/>
        <item x="16"/>
        <item x="51"/>
        <item x="115"/>
        <item x="78"/>
        <item x="113"/>
        <item x="5"/>
        <item x="70"/>
        <item x="136"/>
        <item x="14"/>
        <item x="108"/>
        <item x="100"/>
        <item x="30"/>
        <item x="10"/>
        <item x="132"/>
        <item x="119"/>
        <item x="144"/>
        <item x="49"/>
        <item x="44"/>
        <item x="148"/>
        <item x="83"/>
        <item x="129"/>
        <item x="42"/>
        <item x="56"/>
        <item x="77"/>
        <item x="37"/>
        <item x="106"/>
        <item x="46"/>
        <item x="134"/>
        <item x="124"/>
        <item x="123"/>
        <item x="0"/>
        <item x="139"/>
        <item x="117"/>
        <item x="3"/>
        <item x="27"/>
        <item x="92"/>
        <item x="24"/>
        <item x="47"/>
        <item x="142"/>
        <item x="111"/>
        <item x="155"/>
        <item x="63"/>
        <item x="11"/>
        <item x="53"/>
        <item x="103"/>
        <item x="62"/>
        <item x="48"/>
        <item x="29"/>
        <item x="15"/>
        <item x="121"/>
        <item x="1"/>
        <item x="19"/>
        <item x="147"/>
        <item x="82"/>
        <item x="97"/>
        <item x="39"/>
        <item x="13"/>
        <item x="31"/>
        <item x="35"/>
        <item x="101"/>
        <item x="133"/>
        <item x="28"/>
        <item x="75"/>
        <item x="149"/>
        <item x="32"/>
        <item x="135"/>
        <item t="default"/>
      </items>
    </pivotField>
    <pivotField numFmtId="2" showAll="0"/>
    <pivotField showAll="0"/>
    <pivotField showAll="0"/>
    <pivotField dataField="1" showAll="0"/>
    <pivotField numFmtId="10" showAll="0"/>
    <pivotField showAll="0"/>
    <pivotField numFmtId="10" showAll="0"/>
    <pivotField showAll="0"/>
    <pivotField numFmtId="10" showAll="0"/>
    <pivotField showAll="0">
      <items count="45">
        <item x="14"/>
        <item x="17"/>
        <item x="8"/>
        <item x="29"/>
        <item x="3"/>
        <item x="15"/>
        <item x="10"/>
        <item x="30"/>
        <item x="38"/>
        <item x="27"/>
        <item x="21"/>
        <item x="22"/>
        <item x="4"/>
        <item x="2"/>
        <item x="11"/>
        <item x="31"/>
        <item x="35"/>
        <item x="7"/>
        <item x="5"/>
        <item x="1"/>
        <item x="23"/>
        <item x="43"/>
        <item x="42"/>
        <item x="37"/>
        <item x="36"/>
        <item x="6"/>
        <item x="41"/>
        <item x="13"/>
        <item x="9"/>
        <item x="33"/>
        <item x="25"/>
        <item x="32"/>
        <item x="28"/>
        <item x="40"/>
        <item x="20"/>
        <item x="12"/>
        <item x="24"/>
        <item x="16"/>
        <item x="34"/>
        <item x="0"/>
        <item x="18"/>
        <item x="19"/>
        <item x="26"/>
        <item x="39"/>
        <item t="default"/>
      </items>
    </pivotField>
    <pivotField showAll="0"/>
    <pivotField showAll="0"/>
    <pivotField showAll="0"/>
    <pivotField showAll="0"/>
    <pivotField showAll="0"/>
  </pivotFields>
  <rowItems count="1">
    <i/>
  </rowItems>
  <colItems count="1">
    <i/>
  </colItems>
  <dataFields count="1">
    <dataField name="Sum of 52 Week High" fld="4" baseField="0" baseItem="0"/>
  </dataFields>
  <formats count="1">
    <format dxfId="21">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9BDDDD-AD54-4C28-AD33-D9162BDB7B3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6">
    <pivotField showAll="0"/>
    <pivotField numFmtId="2" showAll="0"/>
    <pivotField showAll="0"/>
    <pivotField showAll="0"/>
    <pivotField showAll="0"/>
    <pivotField numFmtId="10" showAll="0"/>
    <pivotField showAll="0"/>
    <pivotField numFmtId="10" showAll="0"/>
    <pivotField dataField="1" showAll="0"/>
    <pivotField numFmtId="10" showAll="0"/>
    <pivotField showAll="0">
      <items count="45">
        <item x="14"/>
        <item x="17"/>
        <item x="8"/>
        <item x="29"/>
        <item x="3"/>
        <item x="15"/>
        <item x="10"/>
        <item x="30"/>
        <item x="38"/>
        <item x="27"/>
        <item x="21"/>
        <item x="22"/>
        <item x="4"/>
        <item x="2"/>
        <item x="11"/>
        <item x="31"/>
        <item x="35"/>
        <item x="7"/>
        <item x="5"/>
        <item x="1"/>
        <item x="23"/>
        <item x="43"/>
        <item x="42"/>
        <item x="37"/>
        <item x="36"/>
        <item x="6"/>
        <item x="41"/>
        <item x="13"/>
        <item x="9"/>
        <item x="33"/>
        <item x="25"/>
        <item x="32"/>
        <item x="28"/>
        <item x="40"/>
        <item x="20"/>
        <item x="12"/>
        <item x="24"/>
        <item x="16"/>
        <item x="34"/>
        <item x="0"/>
        <item x="18"/>
        <item x="19"/>
        <item x="26"/>
        <item x="39"/>
        <item t="default"/>
      </items>
    </pivotField>
    <pivotField showAll="0"/>
    <pivotField showAll="0"/>
    <pivotField showAll="0"/>
    <pivotField showAll="0"/>
    <pivotField showAll="0"/>
  </pivotFields>
  <rowItems count="1">
    <i/>
  </rowItems>
  <colItems count="1">
    <i/>
  </colItems>
  <dataFields count="1">
    <dataField name="Sum of Yesterday Closing Price" fld="8" baseField="0" baseItem="0"/>
  </dataFields>
  <formats count="1">
    <format dxfId="22">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E55A18-1B9D-41C6-9E68-800BC9472B1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6">
    <pivotField showAll="0"/>
    <pivotField numFmtId="2" showAll="0"/>
    <pivotField showAll="0"/>
    <pivotField dataField="1" showAll="0"/>
    <pivotField showAll="0"/>
    <pivotField numFmtId="10" showAll="0"/>
    <pivotField showAll="0"/>
    <pivotField numFmtId="10" showAll="0"/>
    <pivotField showAll="0"/>
    <pivotField numFmtId="10" showAll="0"/>
    <pivotField showAll="0">
      <items count="45">
        <item x="14"/>
        <item x="17"/>
        <item x="8"/>
        <item x="29"/>
        <item x="3"/>
        <item x="15"/>
        <item x="10"/>
        <item x="30"/>
        <item x="38"/>
        <item x="27"/>
        <item x="21"/>
        <item x="22"/>
        <item x="4"/>
        <item x="2"/>
        <item x="11"/>
        <item x="31"/>
        <item x="35"/>
        <item x="7"/>
        <item x="5"/>
        <item x="1"/>
        <item x="23"/>
        <item x="43"/>
        <item x="42"/>
        <item x="37"/>
        <item x="36"/>
        <item x="6"/>
        <item x="41"/>
        <item x="13"/>
        <item x="9"/>
        <item x="33"/>
        <item x="25"/>
        <item x="32"/>
        <item x="28"/>
        <item x="40"/>
        <item x="20"/>
        <item x="12"/>
        <item x="24"/>
        <item x="16"/>
        <item x="34"/>
        <item x="0"/>
        <item x="18"/>
        <item x="19"/>
        <item x="26"/>
        <item x="39"/>
        <item t="default"/>
      </items>
    </pivotField>
    <pivotField showAll="0"/>
    <pivotField showAll="0"/>
    <pivotField showAll="0"/>
    <pivotField showAll="0"/>
    <pivotField showAll="0"/>
  </pivotFields>
  <rowItems count="1">
    <i/>
  </rowItems>
  <colItems count="1">
    <i/>
  </colItems>
  <dataFields count="1">
    <dataField name="Max of PE Ratio" fld="3" subtotal="max" baseField="0" baseItem="0"/>
  </dataFields>
  <formats count="2">
    <format dxfId="24">
      <pivotArea outline="0" collapsedLevelsAreSubtotals="1" fieldPosition="0"/>
    </format>
    <format dxfId="23">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8CE58B-3F65-4B2D-9A59-31A2BE91EB4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B11" firstHeaderRow="1" firstDataRow="1" firstDataCol="0"/>
  <pivotFields count="16">
    <pivotField showAll="0">
      <items count="160">
        <item x="138"/>
        <item x="73"/>
        <item x="40"/>
        <item x="146"/>
        <item x="88"/>
        <item x="98"/>
        <item x="86"/>
        <item x="104"/>
        <item x="126"/>
        <item x="17"/>
        <item x="52"/>
        <item x="151"/>
        <item x="143"/>
        <item x="66"/>
        <item x="45"/>
        <item x="61"/>
        <item x="131"/>
        <item x="9"/>
        <item x="18"/>
        <item x="6"/>
        <item x="12"/>
        <item x="110"/>
        <item x="43"/>
        <item x="50"/>
        <item x="21"/>
        <item x="74"/>
        <item x="33"/>
        <item x="152"/>
        <item x="140"/>
        <item x="128"/>
        <item x="95"/>
        <item x="94"/>
        <item x="93"/>
        <item x="122"/>
        <item x="157"/>
        <item x="26"/>
        <item x="85"/>
        <item x="65"/>
        <item x="60"/>
        <item x="118"/>
        <item x="69"/>
        <item x="72"/>
        <item x="105"/>
        <item x="20"/>
        <item x="125"/>
        <item x="59"/>
        <item x="141"/>
        <item x="23"/>
        <item x="158"/>
        <item x="25"/>
        <item x="76"/>
        <item x="84"/>
        <item x="57"/>
        <item x="81"/>
        <item x="107"/>
        <item x="99"/>
        <item x="109"/>
        <item x="127"/>
        <item x="64"/>
        <item x="120"/>
        <item x="22"/>
        <item x="150"/>
        <item x="154"/>
        <item x="112"/>
        <item x="130"/>
        <item x="55"/>
        <item x="54"/>
        <item x="91"/>
        <item x="145"/>
        <item x="4"/>
        <item x="41"/>
        <item x="96"/>
        <item x="137"/>
        <item x="153"/>
        <item x="34"/>
        <item x="102"/>
        <item x="2"/>
        <item x="116"/>
        <item x="90"/>
        <item x="87"/>
        <item x="58"/>
        <item x="38"/>
        <item x="114"/>
        <item x="71"/>
        <item x="36"/>
        <item x="67"/>
        <item x="80"/>
        <item x="68"/>
        <item x="89"/>
        <item x="7"/>
        <item x="79"/>
        <item x="156"/>
        <item x="8"/>
        <item x="16"/>
        <item x="51"/>
        <item x="115"/>
        <item x="78"/>
        <item x="113"/>
        <item x="5"/>
        <item x="70"/>
        <item x="136"/>
        <item x="14"/>
        <item x="108"/>
        <item x="100"/>
        <item x="30"/>
        <item x="10"/>
        <item x="132"/>
        <item x="119"/>
        <item x="144"/>
        <item x="49"/>
        <item x="44"/>
        <item x="148"/>
        <item x="83"/>
        <item x="129"/>
        <item x="42"/>
        <item x="56"/>
        <item x="77"/>
        <item x="37"/>
        <item x="106"/>
        <item x="46"/>
        <item x="134"/>
        <item x="124"/>
        <item x="123"/>
        <item x="0"/>
        <item x="139"/>
        <item x="117"/>
        <item x="3"/>
        <item x="27"/>
        <item x="92"/>
        <item x="24"/>
        <item x="47"/>
        <item x="142"/>
        <item x="111"/>
        <item x="155"/>
        <item x="63"/>
        <item x="11"/>
        <item x="53"/>
        <item x="103"/>
        <item x="62"/>
        <item x="48"/>
        <item x="29"/>
        <item x="15"/>
        <item x="121"/>
        <item x="1"/>
        <item x="19"/>
        <item x="147"/>
        <item x="82"/>
        <item x="97"/>
        <item x="39"/>
        <item x="13"/>
        <item x="31"/>
        <item x="35"/>
        <item x="101"/>
        <item x="133"/>
        <item x="28"/>
        <item x="75"/>
        <item x="149"/>
        <item x="32"/>
        <item x="135"/>
        <item t="default"/>
      </items>
    </pivotField>
    <pivotField dataField="1" numFmtId="2" showAll="0"/>
    <pivotField showAll="0"/>
    <pivotField showAll="0"/>
    <pivotField showAll="0"/>
    <pivotField numFmtId="10" showAll="0"/>
    <pivotField showAll="0"/>
    <pivotField numFmtId="10" showAll="0"/>
    <pivotField showAll="0"/>
    <pivotField numFmtId="10" showAll="0"/>
    <pivotField showAll="0">
      <items count="45">
        <item x="14"/>
        <item x="17"/>
        <item x="8"/>
        <item x="29"/>
        <item x="3"/>
        <item x="15"/>
        <item x="10"/>
        <item x="30"/>
        <item x="38"/>
        <item x="27"/>
        <item x="21"/>
        <item x="22"/>
        <item x="4"/>
        <item x="2"/>
        <item x="11"/>
        <item x="31"/>
        <item x="35"/>
        <item x="7"/>
        <item x="5"/>
        <item x="1"/>
        <item x="23"/>
        <item x="43"/>
        <item x="42"/>
        <item x="37"/>
        <item x="36"/>
        <item x="6"/>
        <item x="41"/>
        <item x="13"/>
        <item x="9"/>
        <item x="33"/>
        <item x="25"/>
        <item x="32"/>
        <item x="28"/>
        <item x="40"/>
        <item x="20"/>
        <item x="12"/>
        <item x="24"/>
        <item x="16"/>
        <item x="34"/>
        <item x="0"/>
        <item x="18"/>
        <item x="19"/>
        <item x="26"/>
        <item x="39"/>
        <item t="default"/>
      </items>
    </pivotField>
    <pivotField showAll="0"/>
    <pivotField showAll="0"/>
    <pivotField showAll="0"/>
    <pivotField showAll="0"/>
    <pivotField showAll="0"/>
  </pivotFields>
  <rowItems count="1">
    <i/>
  </rowItems>
  <colItems count="1">
    <i/>
  </colItems>
  <dataFields count="1">
    <dataField name="Sum of Market Cap (in $)" fld="1" baseField="0" baseItem="355172672" numFmtId="164"/>
  </dataFields>
  <formats count="4">
    <format dxfId="28">
      <pivotArea outline="0" collapsedLevelsAreSubtotals="1" fieldPosition="0"/>
    </format>
    <format dxfId="27">
      <pivotArea outline="0" collapsedLevelsAreSubtotals="1" fieldPosition="0"/>
    </format>
    <format dxfId="26">
      <pivotArea outline="0" collapsedLevelsAreSubtotals="1" fieldPosition="0"/>
    </format>
    <format dxfId="25">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D96C9DC-0BFA-4DA6-A46D-DEC9F2F85C3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8" rowHeaderCaption="Stock">
  <location ref="G3:H14" firstHeaderRow="1" firstDataRow="1" firstDataCol="1"/>
  <pivotFields count="16">
    <pivotField axis="axisRow" showAll="0" measureFilter="1" sortType="descending">
      <items count="160">
        <item x="138"/>
        <item x="73"/>
        <item x="40"/>
        <item x="146"/>
        <item x="88"/>
        <item x="98"/>
        <item x="86"/>
        <item x="104"/>
        <item x="126"/>
        <item x="17"/>
        <item x="52"/>
        <item x="151"/>
        <item x="143"/>
        <item x="66"/>
        <item x="45"/>
        <item x="61"/>
        <item x="131"/>
        <item x="9"/>
        <item x="18"/>
        <item x="6"/>
        <item x="12"/>
        <item x="110"/>
        <item x="43"/>
        <item x="50"/>
        <item x="21"/>
        <item x="74"/>
        <item x="33"/>
        <item x="152"/>
        <item x="140"/>
        <item x="128"/>
        <item x="95"/>
        <item x="94"/>
        <item x="93"/>
        <item x="122"/>
        <item x="157"/>
        <item x="26"/>
        <item x="85"/>
        <item x="65"/>
        <item x="60"/>
        <item x="118"/>
        <item x="69"/>
        <item x="72"/>
        <item x="105"/>
        <item x="20"/>
        <item x="125"/>
        <item x="59"/>
        <item x="141"/>
        <item x="23"/>
        <item x="158"/>
        <item x="25"/>
        <item x="76"/>
        <item x="84"/>
        <item x="57"/>
        <item x="81"/>
        <item x="107"/>
        <item x="99"/>
        <item x="109"/>
        <item x="127"/>
        <item x="64"/>
        <item x="120"/>
        <item x="22"/>
        <item x="150"/>
        <item x="154"/>
        <item x="112"/>
        <item x="130"/>
        <item x="55"/>
        <item x="54"/>
        <item x="91"/>
        <item x="145"/>
        <item x="4"/>
        <item x="41"/>
        <item x="96"/>
        <item x="137"/>
        <item x="153"/>
        <item x="34"/>
        <item x="102"/>
        <item x="2"/>
        <item x="116"/>
        <item x="90"/>
        <item x="87"/>
        <item x="58"/>
        <item x="38"/>
        <item x="114"/>
        <item x="71"/>
        <item x="36"/>
        <item x="67"/>
        <item x="80"/>
        <item x="68"/>
        <item x="89"/>
        <item x="7"/>
        <item x="79"/>
        <item x="156"/>
        <item x="8"/>
        <item x="16"/>
        <item x="51"/>
        <item x="115"/>
        <item x="78"/>
        <item x="113"/>
        <item x="5"/>
        <item x="70"/>
        <item x="136"/>
        <item x="14"/>
        <item x="108"/>
        <item x="100"/>
        <item x="30"/>
        <item x="10"/>
        <item x="132"/>
        <item x="119"/>
        <item x="144"/>
        <item x="49"/>
        <item x="44"/>
        <item x="148"/>
        <item x="83"/>
        <item x="129"/>
        <item x="42"/>
        <item x="56"/>
        <item x="77"/>
        <item x="37"/>
        <item x="106"/>
        <item x="46"/>
        <item x="134"/>
        <item x="124"/>
        <item x="123"/>
        <item x="0"/>
        <item x="139"/>
        <item x="117"/>
        <item x="3"/>
        <item x="27"/>
        <item x="92"/>
        <item x="24"/>
        <item x="47"/>
        <item x="142"/>
        <item x="111"/>
        <item x="155"/>
        <item x="63"/>
        <item x="11"/>
        <item x="53"/>
        <item x="103"/>
        <item x="62"/>
        <item x="48"/>
        <item x="29"/>
        <item x="15"/>
        <item x="121"/>
        <item x="1"/>
        <item x="19"/>
        <item x="147"/>
        <item x="82"/>
        <item x="97"/>
        <item x="39"/>
        <item x="13"/>
        <item x="31"/>
        <item x="35"/>
        <item x="101"/>
        <item x="133"/>
        <item x="28"/>
        <item x="75"/>
        <item x="149"/>
        <item x="32"/>
        <item x="135"/>
        <item t="default"/>
      </items>
      <autoSortScope>
        <pivotArea dataOnly="0" outline="0" fieldPosition="0">
          <references count="1">
            <reference field="4294967294" count="1" selected="0">
              <x v="0"/>
            </reference>
          </references>
        </pivotArea>
      </autoSortScope>
    </pivotField>
    <pivotField dataField="1" numFmtId="2" showAll="0">
      <items count="160">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numFmtId="10" showAll="0"/>
    <pivotField showAll="0"/>
    <pivotField numFmtId="10" showAll="0"/>
    <pivotField showAll="0"/>
    <pivotField numFmtId="10" showAll="0"/>
    <pivotField showAll="0">
      <items count="45">
        <item x="14"/>
        <item x="17"/>
        <item x="8"/>
        <item x="29"/>
        <item x="3"/>
        <item x="15"/>
        <item x="10"/>
        <item x="30"/>
        <item x="38"/>
        <item x="27"/>
        <item x="21"/>
        <item x="22"/>
        <item x="4"/>
        <item x="2"/>
        <item x="11"/>
        <item x="31"/>
        <item x="35"/>
        <item x="7"/>
        <item x="5"/>
        <item x="1"/>
        <item x="23"/>
        <item x="43"/>
        <item x="42"/>
        <item x="37"/>
        <item x="36"/>
        <item x="6"/>
        <item x="41"/>
        <item x="13"/>
        <item x="9"/>
        <item x="33"/>
        <item x="25"/>
        <item x="32"/>
        <item x="28"/>
        <item x="40"/>
        <item x="20"/>
        <item x="12"/>
        <item x="24"/>
        <item x="16"/>
        <item x="34"/>
        <item x="0"/>
        <item x="18"/>
        <item x="19"/>
        <item x="26"/>
        <item x="39"/>
        <item t="default"/>
      </items>
    </pivotField>
    <pivotField showAll="0"/>
    <pivotField showAll="0"/>
    <pivotField showAll="0"/>
    <pivotField showAll="0">
      <items count="2">
        <item x="0"/>
        <item t="default"/>
      </items>
    </pivotField>
    <pivotField showAll="0">
      <items count="4">
        <item x="0"/>
        <item x="2"/>
        <item x="1"/>
        <item t="default"/>
      </items>
    </pivotField>
  </pivotFields>
  <rowFields count="1">
    <field x="0"/>
  </rowFields>
  <rowItems count="11">
    <i>
      <x v="123"/>
    </i>
    <i>
      <x v="143"/>
    </i>
    <i>
      <x v="76"/>
    </i>
    <i>
      <x v="126"/>
    </i>
    <i>
      <x v="69"/>
    </i>
    <i>
      <x v="98"/>
    </i>
    <i>
      <x v="19"/>
    </i>
    <i>
      <x v="89"/>
    </i>
    <i>
      <x v="92"/>
    </i>
    <i>
      <x v="17"/>
    </i>
    <i t="grand">
      <x/>
    </i>
  </rowItems>
  <colItems count="1">
    <i/>
  </colItems>
  <dataFields count="1">
    <dataField name="Sum of Market Cap (In Rs Cr.)" fld="1" baseField="0" baseItem="0"/>
  </dataFields>
  <formats count="3">
    <format dxfId="31">
      <pivotArea outline="0" collapsedLevelsAreSubtotals="1" fieldPosition="0"/>
    </format>
    <format dxfId="30">
      <pivotArea dataOnly="0" labelOnly="1" fieldPosition="0">
        <references count="1">
          <reference field="0" count="10">
            <x v="17"/>
            <x v="19"/>
            <x v="69"/>
            <x v="76"/>
            <x v="89"/>
            <x v="92"/>
            <x v="98"/>
            <x v="123"/>
            <x v="126"/>
            <x v="143"/>
          </reference>
        </references>
      </pivotArea>
    </format>
    <format dxfId="29">
      <pivotArea dataOnly="0" labelOnly="1" grandRow="1" outline="0" fieldPosition="0"/>
    </format>
  </formats>
  <chartFormats count="14">
    <chartFormat chart="0"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36" format="4" series="1">
      <pivotArea type="data" outline="0" fieldPosition="0">
        <references count="1">
          <reference field="4294967294" count="1" selected="0">
            <x v="0"/>
          </reference>
        </references>
      </pivotArea>
    </chartFormat>
    <chartFormat chart="36" format="5">
      <pivotArea type="data" outline="0" fieldPosition="0">
        <references count="2">
          <reference field="4294967294" count="1" selected="0">
            <x v="0"/>
          </reference>
          <reference field="0" count="1" selected="0">
            <x v="143"/>
          </reference>
        </references>
      </pivotArea>
    </chartFormat>
    <chartFormat chart="36" format="6">
      <pivotArea type="data" outline="0" fieldPosition="0">
        <references count="2">
          <reference field="4294967294" count="1" selected="0">
            <x v="0"/>
          </reference>
          <reference field="0" count="1" selected="0">
            <x v="123"/>
          </reference>
        </references>
      </pivotArea>
    </chartFormat>
    <chartFormat chart="36" format="7">
      <pivotArea type="data" outline="0" fieldPosition="0">
        <references count="2">
          <reference field="4294967294" count="1" selected="0">
            <x v="0"/>
          </reference>
          <reference field="0" count="1" selected="0">
            <x v="76"/>
          </reference>
        </references>
      </pivotArea>
    </chartFormat>
    <chartFormat chart="36" format="8">
      <pivotArea type="data" outline="0" fieldPosition="0">
        <references count="2">
          <reference field="4294967294" count="1" selected="0">
            <x v="0"/>
          </reference>
          <reference field="0" count="1" selected="0">
            <x v="126"/>
          </reference>
        </references>
      </pivotArea>
    </chartFormat>
    <chartFormat chart="36" format="9">
      <pivotArea type="data" outline="0" fieldPosition="0">
        <references count="2">
          <reference field="4294967294" count="1" selected="0">
            <x v="0"/>
          </reference>
          <reference field="0" count="1" selected="0">
            <x v="69"/>
          </reference>
        </references>
      </pivotArea>
    </chartFormat>
    <chartFormat chart="36" format="10">
      <pivotArea type="data" outline="0" fieldPosition="0">
        <references count="2">
          <reference field="4294967294" count="1" selected="0">
            <x v="0"/>
          </reference>
          <reference field="0" count="1" selected="0">
            <x v="98"/>
          </reference>
        </references>
      </pivotArea>
    </chartFormat>
    <chartFormat chart="36" format="11">
      <pivotArea type="data" outline="0" fieldPosition="0">
        <references count="2">
          <reference field="4294967294" count="1" selected="0">
            <x v="0"/>
          </reference>
          <reference field="0" count="1" selected="0">
            <x v="19"/>
          </reference>
        </references>
      </pivotArea>
    </chartFormat>
    <chartFormat chart="36" format="12">
      <pivotArea type="data" outline="0" fieldPosition="0">
        <references count="2">
          <reference field="4294967294" count="1" selected="0">
            <x v="0"/>
          </reference>
          <reference field="0" count="1" selected="0">
            <x v="89"/>
          </reference>
        </references>
      </pivotArea>
    </chartFormat>
    <chartFormat chart="36" format="13">
      <pivotArea type="data" outline="0" fieldPosition="0">
        <references count="2">
          <reference field="4294967294" count="1" selected="0">
            <x v="0"/>
          </reference>
          <reference field="0" count="1" selected="0">
            <x v="92"/>
          </reference>
        </references>
      </pivotArea>
    </chartFormat>
    <chartFormat chart="36" format="14">
      <pivotArea type="data" outline="0" fieldPosition="0">
        <references count="2">
          <reference field="4294967294" count="1" selected="0">
            <x v="0"/>
          </reference>
          <reference field="0" count="1" selected="0">
            <x v="17"/>
          </reference>
        </references>
      </pivotArea>
    </chartFormat>
  </chartFormats>
  <pivotTableStyleInfo name="PivotStyleMedium9"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807DB0-3B28-4FBB-AEB9-48B3258AF3EA}"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rowHeaderCaption="Stock">
  <location ref="T3:V163" firstHeaderRow="0" firstDataRow="1" firstDataCol="1"/>
  <pivotFields count="16">
    <pivotField axis="axisRow" showAll="0" sortType="descending">
      <items count="160">
        <item x="138"/>
        <item x="73"/>
        <item x="40"/>
        <item x="146"/>
        <item x="88"/>
        <item x="98"/>
        <item x="86"/>
        <item x="104"/>
        <item x="126"/>
        <item x="17"/>
        <item x="52"/>
        <item x="151"/>
        <item x="143"/>
        <item x="66"/>
        <item x="45"/>
        <item x="61"/>
        <item x="131"/>
        <item x="9"/>
        <item x="18"/>
        <item x="6"/>
        <item x="12"/>
        <item x="110"/>
        <item x="43"/>
        <item x="50"/>
        <item x="21"/>
        <item x="74"/>
        <item x="33"/>
        <item x="152"/>
        <item x="140"/>
        <item x="128"/>
        <item x="95"/>
        <item x="94"/>
        <item x="93"/>
        <item x="122"/>
        <item x="157"/>
        <item x="26"/>
        <item x="85"/>
        <item x="65"/>
        <item x="60"/>
        <item x="118"/>
        <item x="69"/>
        <item x="72"/>
        <item x="105"/>
        <item x="20"/>
        <item x="125"/>
        <item x="59"/>
        <item x="141"/>
        <item x="23"/>
        <item x="158"/>
        <item x="25"/>
        <item x="76"/>
        <item x="84"/>
        <item x="57"/>
        <item x="81"/>
        <item x="107"/>
        <item x="99"/>
        <item x="109"/>
        <item x="127"/>
        <item x="64"/>
        <item x="120"/>
        <item x="22"/>
        <item x="150"/>
        <item x="154"/>
        <item x="112"/>
        <item x="130"/>
        <item x="55"/>
        <item x="54"/>
        <item x="91"/>
        <item x="145"/>
        <item x="4"/>
        <item x="41"/>
        <item x="96"/>
        <item x="137"/>
        <item x="153"/>
        <item x="34"/>
        <item x="102"/>
        <item x="2"/>
        <item x="116"/>
        <item x="90"/>
        <item x="87"/>
        <item x="58"/>
        <item x="38"/>
        <item x="114"/>
        <item x="71"/>
        <item x="36"/>
        <item x="67"/>
        <item x="80"/>
        <item x="68"/>
        <item x="89"/>
        <item x="7"/>
        <item x="79"/>
        <item x="156"/>
        <item x="8"/>
        <item x="16"/>
        <item x="51"/>
        <item x="115"/>
        <item x="78"/>
        <item x="113"/>
        <item x="5"/>
        <item x="70"/>
        <item x="136"/>
        <item x="14"/>
        <item x="108"/>
        <item x="100"/>
        <item x="30"/>
        <item x="10"/>
        <item x="132"/>
        <item x="119"/>
        <item x="144"/>
        <item x="49"/>
        <item x="44"/>
        <item x="148"/>
        <item x="83"/>
        <item x="129"/>
        <item x="42"/>
        <item x="56"/>
        <item x="77"/>
        <item x="37"/>
        <item x="106"/>
        <item x="46"/>
        <item x="134"/>
        <item x="124"/>
        <item x="123"/>
        <item x="0"/>
        <item x="139"/>
        <item x="117"/>
        <item x="3"/>
        <item x="27"/>
        <item x="92"/>
        <item x="24"/>
        <item x="47"/>
        <item x="142"/>
        <item x="111"/>
        <item x="155"/>
        <item x="63"/>
        <item x="11"/>
        <item x="53"/>
        <item x="103"/>
        <item x="62"/>
        <item x="48"/>
        <item x="29"/>
        <item x="15"/>
        <item x="121"/>
        <item x="1"/>
        <item x="19"/>
        <item x="147"/>
        <item x="82"/>
        <item x="97"/>
        <item x="39"/>
        <item x="13"/>
        <item x="31"/>
        <item x="35"/>
        <item x="101"/>
        <item x="133"/>
        <item x="28"/>
        <item x="75"/>
        <item x="149"/>
        <item x="32"/>
        <item x="135"/>
        <item t="default"/>
      </items>
      <autoSortScope>
        <pivotArea dataOnly="0" outline="0" fieldPosition="0">
          <references count="1">
            <reference field="4294967294" count="1" selected="0">
              <x v="0"/>
            </reference>
          </references>
        </pivotArea>
      </autoSortScope>
    </pivotField>
    <pivotField numFmtId="2" showAll="0"/>
    <pivotField dataField="1" showAll="0" sortType="descending">
      <items count="160">
        <item x="32"/>
        <item x="82"/>
        <item x="102"/>
        <item x="152"/>
        <item x="15"/>
        <item x="100"/>
        <item x="57"/>
        <item x="90"/>
        <item x="154"/>
        <item x="99"/>
        <item x="84"/>
        <item x="21"/>
        <item x="137"/>
        <item x="29"/>
        <item x="135"/>
        <item x="50"/>
        <item x="130"/>
        <item x="83"/>
        <item x="129"/>
        <item x="146"/>
        <item x="157"/>
        <item x="113"/>
        <item x="133"/>
        <item x="112"/>
        <item x="72"/>
        <item x="124"/>
        <item x="78"/>
        <item x="115"/>
        <item x="148"/>
        <item x="150"/>
        <item x="131"/>
        <item x="149"/>
        <item x="70"/>
        <item x="68"/>
        <item x="58"/>
        <item x="156"/>
        <item x="61"/>
        <item x="138"/>
        <item x="54"/>
        <item x="142"/>
        <item x="153"/>
        <item x="63"/>
        <item x="30"/>
        <item x="155"/>
        <item x="128"/>
        <item x="151"/>
        <item x="17"/>
        <item x="93"/>
        <item x="20"/>
        <item x="107"/>
        <item x="98"/>
        <item x="33"/>
        <item x="147"/>
        <item x="104"/>
        <item x="73"/>
        <item x="111"/>
        <item x="123"/>
        <item x="3"/>
        <item x="45"/>
        <item x="36"/>
        <item x="79"/>
        <item x="5"/>
        <item x="139"/>
        <item x="141"/>
        <item x="35"/>
        <item x="103"/>
        <item x="27"/>
        <item x="97"/>
        <item x="101"/>
        <item x="31"/>
        <item x="108"/>
        <item x="60"/>
        <item x="71"/>
        <item x="116"/>
        <item x="105"/>
        <item x="91"/>
        <item x="106"/>
        <item x="22"/>
        <item x="9"/>
        <item x="62"/>
        <item x="144"/>
        <item x="39"/>
        <item x="19"/>
        <item x="88"/>
        <item x="11"/>
        <item x="44"/>
        <item x="26"/>
        <item x="94"/>
        <item x="80"/>
        <item x="28"/>
        <item x="52"/>
        <item x="117"/>
        <item x="125"/>
        <item x="92"/>
        <item x="14"/>
        <item x="119"/>
        <item x="12"/>
        <item x="76"/>
        <item x="89"/>
        <item x="64"/>
        <item x="85"/>
        <item x="114"/>
        <item x="136"/>
        <item x="134"/>
        <item x="120"/>
        <item x="96"/>
        <item x="143"/>
        <item x="132"/>
        <item x="7"/>
        <item x="121"/>
        <item x="126"/>
        <item x="59"/>
        <item x="75"/>
        <item x="49"/>
        <item x="41"/>
        <item x="8"/>
        <item x="43"/>
        <item x="95"/>
        <item x="109"/>
        <item x="53"/>
        <item x="0"/>
        <item x="110"/>
        <item x="4"/>
        <item x="2"/>
        <item x="46"/>
        <item x="86"/>
        <item x="34"/>
        <item x="55"/>
        <item x="67"/>
        <item x="69"/>
        <item x="127"/>
        <item x="25"/>
        <item x="37"/>
        <item x="23"/>
        <item x="1"/>
        <item x="51"/>
        <item x="118"/>
        <item x="18"/>
        <item x="38"/>
        <item x="65"/>
        <item x="56"/>
        <item x="77"/>
        <item x="16"/>
        <item x="158"/>
        <item x="47"/>
        <item x="87"/>
        <item x="74"/>
        <item x="122"/>
        <item x="81"/>
        <item x="6"/>
        <item x="145"/>
        <item x="48"/>
        <item x="13"/>
        <item x="66"/>
        <item x="10"/>
        <item x="140"/>
        <item x="40"/>
        <item x="24"/>
        <item x="42"/>
        <item t="default"/>
      </items>
      <autoSortScope>
        <pivotArea dataOnly="0" outline="0" fieldPosition="0">
          <references count="1">
            <reference field="4294967294" count="1" selected="0">
              <x v="0"/>
            </reference>
          </references>
        </pivotArea>
      </autoSortScope>
    </pivotField>
    <pivotField showAll="0"/>
    <pivotField dataField="1" showAll="0"/>
    <pivotField numFmtId="10" showAll="0"/>
    <pivotField showAll="0"/>
    <pivotField numFmtId="10" showAll="0"/>
    <pivotField showAll="0"/>
    <pivotField numFmtId="10" showAll="0"/>
    <pivotField showAll="0">
      <items count="45">
        <item x="14"/>
        <item x="17"/>
        <item x="8"/>
        <item x="29"/>
        <item x="3"/>
        <item x="15"/>
        <item x="10"/>
        <item x="30"/>
        <item x="38"/>
        <item x="27"/>
        <item x="21"/>
        <item x="22"/>
        <item x="4"/>
        <item x="2"/>
        <item x="11"/>
        <item x="31"/>
        <item x="35"/>
        <item x="7"/>
        <item x="5"/>
        <item x="1"/>
        <item x="23"/>
        <item x="43"/>
        <item x="42"/>
        <item x="37"/>
        <item x="36"/>
        <item x="6"/>
        <item x="41"/>
        <item x="13"/>
        <item x="9"/>
        <item x="33"/>
        <item x="25"/>
        <item x="32"/>
        <item x="28"/>
        <item x="40"/>
        <item x="20"/>
        <item x="12"/>
        <item x="24"/>
        <item x="16"/>
        <item x="34"/>
        <item x="0"/>
        <item x="18"/>
        <item x="19"/>
        <item x="26"/>
        <item x="39"/>
        <item t="default"/>
      </items>
    </pivotField>
    <pivotField showAll="0"/>
    <pivotField showAll="0"/>
    <pivotField showAll="0"/>
    <pivotField showAll="0"/>
    <pivotField showAll="0"/>
  </pivotFields>
  <rowFields count="1">
    <field x="0"/>
  </rowFields>
  <rowItems count="160">
    <i>
      <x v="114"/>
    </i>
    <i>
      <x v="129"/>
    </i>
    <i>
      <x v="2"/>
    </i>
    <i>
      <x v="28"/>
    </i>
    <i>
      <x v="13"/>
    </i>
    <i>
      <x v="139"/>
    </i>
    <i>
      <x v="105"/>
    </i>
    <i>
      <x v="19"/>
    </i>
    <i>
      <x v="149"/>
    </i>
    <i>
      <x v="53"/>
    </i>
    <i>
      <x v="79"/>
    </i>
    <i>
      <x v="68"/>
    </i>
    <i>
      <x v="33"/>
    </i>
    <i>
      <x v="37"/>
    </i>
    <i>
      <x v="81"/>
    </i>
    <i>
      <x v="94"/>
    </i>
    <i>
      <x v="25"/>
    </i>
    <i>
      <x v="115"/>
    </i>
    <i>
      <x v="116"/>
    </i>
    <i>
      <x v="48"/>
    </i>
    <i>
      <x v="47"/>
    </i>
    <i>
      <x v="130"/>
    </i>
    <i>
      <x v="93"/>
    </i>
    <i>
      <x v="65"/>
    </i>
    <i>
      <x v="18"/>
    </i>
    <i>
      <x v="143"/>
    </i>
    <i>
      <x v="8"/>
    </i>
    <i>
      <x v="100"/>
    </i>
    <i>
      <x v="49"/>
    </i>
    <i>
      <x v="40"/>
    </i>
    <i>
      <x v="21"/>
    </i>
    <i>
      <x v="6"/>
    </i>
    <i>
      <x v="58"/>
    </i>
    <i>
      <x v="57"/>
    </i>
    <i>
      <x v="20"/>
    </i>
    <i>
      <x v="39"/>
    </i>
    <i>
      <x v="117"/>
    </i>
    <i>
      <x v="85"/>
    </i>
    <i>
      <x v="109"/>
    </i>
    <i>
      <x v="56"/>
    </i>
    <i>
      <x v="106"/>
    </i>
    <i>
      <x v="107"/>
    </i>
    <i>
      <x v="119"/>
    </i>
    <i>
      <x v="30"/>
    </i>
    <i>
      <x v="74"/>
    </i>
    <i>
      <x v="69"/>
    </i>
    <i>
      <x v="120"/>
    </i>
    <i>
      <x v="123"/>
    </i>
    <i>
      <x v="76"/>
    </i>
    <i>
      <x v="45"/>
    </i>
    <i>
      <x v="36"/>
    </i>
    <i>
      <x v="136"/>
    </i>
    <i>
      <x v="22"/>
    </i>
    <i>
      <x v="70"/>
    </i>
    <i>
      <x v="155"/>
    </i>
    <i>
      <x v="12"/>
    </i>
    <i>
      <x v="142"/>
    </i>
    <i>
      <x v="92"/>
    </i>
    <i>
      <x v="59"/>
    </i>
    <i>
      <x v="137"/>
    </i>
    <i>
      <x v="128"/>
    </i>
    <i>
      <x v="89"/>
    </i>
    <i>
      <x v="82"/>
    </i>
    <i>
      <x v="125"/>
    </i>
    <i>
      <x v="144"/>
    </i>
    <i>
      <x v="50"/>
    </i>
    <i>
      <x v="71"/>
    </i>
    <i>
      <x v="88"/>
    </i>
    <i>
      <x v="31"/>
    </i>
    <i>
      <x v="110"/>
    </i>
    <i>
      <x v="4"/>
    </i>
    <i>
      <x v="44"/>
    </i>
    <i>
      <x v="154"/>
    </i>
    <i>
      <x v="124"/>
    </i>
    <i>
      <x v="86"/>
    </i>
    <i>
      <x v="101"/>
    </i>
    <i>
      <x v="67"/>
    </i>
    <i>
      <x v="138"/>
    </i>
    <i>
      <x v="10"/>
    </i>
    <i>
      <x v="35"/>
    </i>
    <i>
      <x v="148"/>
    </i>
    <i>
      <x v="1"/>
    </i>
    <i>
      <x v="152"/>
    </i>
    <i>
      <x v="83"/>
    </i>
    <i>
      <x v="38"/>
    </i>
    <i>
      <x v="145"/>
    </i>
    <i>
      <x v="135"/>
    </i>
    <i>
      <x v="108"/>
    </i>
    <i>
      <x v="42"/>
    </i>
    <i>
      <x v="147"/>
    </i>
    <i>
      <x v="118"/>
    </i>
    <i>
      <x v="127"/>
    </i>
    <i>
      <x v="133"/>
    </i>
    <i>
      <x v="17"/>
    </i>
    <i>
      <x v="150"/>
    </i>
    <i>
      <x v="77"/>
    </i>
    <i>
      <x v="60"/>
    </i>
    <i>
      <x v="102"/>
    </i>
    <i>
      <x v="98"/>
    </i>
    <i>
      <x v="84"/>
    </i>
    <i>
      <x v="151"/>
    </i>
    <i>
      <x v="29"/>
    </i>
    <i>
      <x v="5"/>
    </i>
    <i>
      <x v="46"/>
    </i>
    <i>
      <x v="26"/>
    </i>
    <i>
      <x v="91"/>
    </i>
    <i>
      <x v="90"/>
    </i>
    <i>
      <x v="32"/>
    </i>
    <i>
      <x v="122"/>
    </i>
    <i>
      <x v="73"/>
    </i>
    <i>
      <x v="14"/>
    </i>
    <i>
      <x v="15"/>
    </i>
    <i>
      <x v="66"/>
    </i>
    <i>
      <x v="132"/>
    </i>
    <i>
      <x v="111"/>
    </i>
    <i>
      <x v="7"/>
    </i>
    <i>
      <x v="156"/>
    </i>
    <i>
      <x v="16"/>
    </i>
    <i>
      <x v="11"/>
    </i>
    <i>
      <x v="126"/>
    </i>
    <i>
      <x v="96"/>
    </i>
    <i>
      <x v="87"/>
    </i>
    <i>
      <x v="95"/>
    </i>
    <i>
      <x v="43"/>
    </i>
    <i>
      <x v="9"/>
    </i>
    <i>
      <x v="54"/>
    </i>
    <i>
      <x v="153"/>
    </i>
    <i>
      <x v="104"/>
    </i>
    <i>
      <x v="134"/>
    </i>
    <i>
      <x/>
    </i>
    <i>
      <x v="61"/>
    </i>
    <i>
      <x v="97"/>
    </i>
    <i>
      <x v="158"/>
    </i>
    <i>
      <x v="131"/>
    </i>
    <i>
      <x v="34"/>
    </i>
    <i>
      <x v="80"/>
    </i>
    <i>
      <x v="121"/>
    </i>
    <i>
      <x v="41"/>
    </i>
    <i>
      <x v="99"/>
    </i>
    <i>
      <x v="64"/>
    </i>
    <i>
      <x v="63"/>
    </i>
    <i>
      <x v="112"/>
    </i>
    <i>
      <x v="113"/>
    </i>
    <i>
      <x v="3"/>
    </i>
    <i>
      <x v="23"/>
    </i>
    <i>
      <x v="140"/>
    </i>
    <i>
      <x v="78"/>
    </i>
    <i>
      <x v="72"/>
    </i>
    <i>
      <x v="62"/>
    </i>
    <i>
      <x v="55"/>
    </i>
    <i>
      <x v="24"/>
    </i>
    <i>
      <x v="51"/>
    </i>
    <i>
      <x v="27"/>
    </i>
    <i>
      <x v="103"/>
    </i>
    <i>
      <x v="52"/>
    </i>
    <i>
      <x v="141"/>
    </i>
    <i>
      <x v="75"/>
    </i>
    <i>
      <x v="146"/>
    </i>
    <i>
      <x v="157"/>
    </i>
    <i t="grand">
      <x/>
    </i>
  </rowItems>
  <colFields count="1">
    <field x="-2"/>
  </colFields>
  <colItems count="2">
    <i>
      <x/>
    </i>
    <i i="1">
      <x v="1"/>
    </i>
  </colItems>
  <dataFields count="2">
    <dataField name="Sum of 52 Week High" fld="4" baseField="0" baseItem="0"/>
    <dataField name="Sum of Current price" fld="2" baseField="0" baseItem="0"/>
  </dataFields>
  <formats count="9">
    <format dxfId="40">
      <pivotArea collapsedLevelsAreSubtotals="1" fieldPosition="0">
        <references count="1">
          <reference field="0" count="158">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reference>
        </references>
      </pivotArea>
    </format>
    <format dxfId="39">
      <pivotArea grandRow="1" outline="0" collapsedLevelsAreSubtotals="1" fieldPosition="0"/>
    </format>
    <format dxfId="38">
      <pivotArea dataOnly="0" labelOnly="1" fieldPosition="0">
        <references count="1">
          <reference field="0" count="50">
            <x v="2"/>
            <x v="6"/>
            <x v="8"/>
            <x v="13"/>
            <x v="18"/>
            <x v="19"/>
            <x v="20"/>
            <x v="21"/>
            <x v="25"/>
            <x v="28"/>
            <x v="30"/>
            <x v="33"/>
            <x v="36"/>
            <x v="37"/>
            <x v="39"/>
            <x v="40"/>
            <x v="45"/>
            <x v="47"/>
            <x v="48"/>
            <x v="49"/>
            <x v="53"/>
            <x v="56"/>
            <x v="57"/>
            <x v="58"/>
            <x v="65"/>
            <x v="68"/>
            <x v="69"/>
            <x v="74"/>
            <x v="76"/>
            <x v="79"/>
            <x v="81"/>
            <x v="85"/>
            <x v="93"/>
            <x v="94"/>
            <x v="100"/>
            <x v="105"/>
            <x v="106"/>
            <x v="107"/>
            <x v="109"/>
            <x v="115"/>
            <x v="116"/>
            <x v="117"/>
            <x v="119"/>
            <x v="120"/>
            <x v="123"/>
            <x v="129"/>
            <x v="130"/>
            <x v="139"/>
            <x v="143"/>
            <x v="149"/>
          </reference>
        </references>
      </pivotArea>
    </format>
    <format dxfId="37">
      <pivotArea dataOnly="0" labelOnly="1" fieldPosition="0">
        <references count="1">
          <reference field="0" count="50">
            <x v="1"/>
            <x v="4"/>
            <x v="10"/>
            <x v="12"/>
            <x v="17"/>
            <x v="22"/>
            <x v="31"/>
            <x v="35"/>
            <x v="38"/>
            <x v="42"/>
            <x v="44"/>
            <x v="50"/>
            <x v="59"/>
            <x v="60"/>
            <x v="67"/>
            <x v="70"/>
            <x v="71"/>
            <x v="77"/>
            <x v="82"/>
            <x v="83"/>
            <x v="84"/>
            <x v="86"/>
            <x v="88"/>
            <x v="89"/>
            <x v="92"/>
            <x v="98"/>
            <x v="101"/>
            <x v="102"/>
            <x v="108"/>
            <x v="110"/>
            <x v="118"/>
            <x v="124"/>
            <x v="125"/>
            <x v="127"/>
            <x v="128"/>
            <x v="133"/>
            <x v="135"/>
            <x v="136"/>
            <x v="137"/>
            <x v="138"/>
            <x v="142"/>
            <x v="144"/>
            <x v="145"/>
            <x v="147"/>
            <x v="148"/>
            <x v="150"/>
            <x v="151"/>
            <x v="152"/>
            <x v="154"/>
            <x v="155"/>
          </reference>
        </references>
      </pivotArea>
    </format>
    <format dxfId="36">
      <pivotArea dataOnly="0" labelOnly="1" fieldPosition="0">
        <references count="1">
          <reference field="0" count="50">
            <x v="0"/>
            <x v="3"/>
            <x v="5"/>
            <x v="7"/>
            <x v="9"/>
            <x v="11"/>
            <x v="14"/>
            <x v="15"/>
            <x v="16"/>
            <x v="23"/>
            <x v="24"/>
            <x v="26"/>
            <x v="29"/>
            <x v="32"/>
            <x v="34"/>
            <x v="41"/>
            <x v="43"/>
            <x v="46"/>
            <x v="54"/>
            <x v="55"/>
            <x v="61"/>
            <x v="62"/>
            <x v="63"/>
            <x v="64"/>
            <x v="66"/>
            <x v="72"/>
            <x v="73"/>
            <x v="78"/>
            <x v="80"/>
            <x v="87"/>
            <x v="90"/>
            <x v="91"/>
            <x v="95"/>
            <x v="96"/>
            <x v="97"/>
            <x v="99"/>
            <x v="104"/>
            <x v="111"/>
            <x v="112"/>
            <x v="113"/>
            <x v="121"/>
            <x v="122"/>
            <x v="126"/>
            <x v="131"/>
            <x v="132"/>
            <x v="134"/>
            <x v="140"/>
            <x v="153"/>
            <x v="156"/>
            <x v="158"/>
          </reference>
        </references>
      </pivotArea>
    </format>
    <format dxfId="35">
      <pivotArea dataOnly="0" labelOnly="1" fieldPosition="0">
        <references count="1">
          <reference field="0" count="8">
            <x v="27"/>
            <x v="51"/>
            <x v="52"/>
            <x v="75"/>
            <x v="103"/>
            <x v="141"/>
            <x v="146"/>
            <x v="157"/>
          </reference>
        </references>
      </pivotArea>
    </format>
    <format dxfId="34">
      <pivotArea dataOnly="0" labelOnly="1" grandRow="1" outline="0" fieldPosition="0"/>
    </format>
    <format dxfId="33">
      <pivotArea collapsedLevelsAreSubtotals="1" fieldPosition="0">
        <references count="1">
          <reference field="0" count="1">
            <x v="114"/>
          </reference>
        </references>
      </pivotArea>
    </format>
    <format dxfId="32">
      <pivotArea dataOnly="0" labelOnly="1" fieldPosition="0">
        <references count="1">
          <reference field="0" count="1">
            <x v="114"/>
          </reference>
        </references>
      </pivotArea>
    </format>
  </formats>
  <chartFormats count="4">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28" format="6" series="1">
      <pivotArea type="data" outline="0" fieldPosition="0">
        <references count="1">
          <reference field="4294967294" count="1" selected="0">
            <x v="0"/>
          </reference>
        </references>
      </pivotArea>
    </chartFormat>
    <chartFormat chart="28" format="7"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F876EEF-3CE8-43D3-899F-36E4AEA4D50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Industery">
  <location ref="J3:K14" firstHeaderRow="1" firstDataRow="1" firstDataCol="1"/>
  <pivotFields count="16">
    <pivotField showAll="0">
      <items count="160">
        <item x="138"/>
        <item x="73"/>
        <item x="40"/>
        <item x="146"/>
        <item x="88"/>
        <item x="98"/>
        <item x="86"/>
        <item x="104"/>
        <item x="126"/>
        <item x="17"/>
        <item x="52"/>
        <item x="151"/>
        <item x="143"/>
        <item x="66"/>
        <item x="45"/>
        <item x="61"/>
        <item x="131"/>
        <item x="9"/>
        <item x="18"/>
        <item x="6"/>
        <item x="12"/>
        <item x="110"/>
        <item x="43"/>
        <item x="50"/>
        <item x="21"/>
        <item x="74"/>
        <item x="33"/>
        <item x="152"/>
        <item x="140"/>
        <item x="128"/>
        <item x="95"/>
        <item x="94"/>
        <item x="93"/>
        <item x="122"/>
        <item x="157"/>
        <item x="26"/>
        <item x="85"/>
        <item x="65"/>
        <item x="60"/>
        <item x="118"/>
        <item x="69"/>
        <item x="72"/>
        <item x="105"/>
        <item x="20"/>
        <item x="125"/>
        <item x="59"/>
        <item x="141"/>
        <item x="23"/>
        <item x="158"/>
        <item x="25"/>
        <item x="76"/>
        <item x="84"/>
        <item x="57"/>
        <item x="81"/>
        <item x="107"/>
        <item x="99"/>
        <item x="109"/>
        <item x="127"/>
        <item x="64"/>
        <item x="120"/>
        <item x="22"/>
        <item x="150"/>
        <item x="154"/>
        <item x="112"/>
        <item x="130"/>
        <item x="55"/>
        <item x="54"/>
        <item x="91"/>
        <item x="145"/>
        <item x="4"/>
        <item x="41"/>
        <item x="96"/>
        <item x="137"/>
        <item x="153"/>
        <item x="34"/>
        <item x="102"/>
        <item x="2"/>
        <item x="116"/>
        <item x="90"/>
        <item x="87"/>
        <item x="58"/>
        <item x="38"/>
        <item x="114"/>
        <item x="71"/>
        <item x="36"/>
        <item x="67"/>
        <item x="80"/>
        <item x="68"/>
        <item x="89"/>
        <item x="7"/>
        <item x="79"/>
        <item x="156"/>
        <item x="8"/>
        <item x="16"/>
        <item x="51"/>
        <item x="115"/>
        <item x="78"/>
        <item x="113"/>
        <item x="5"/>
        <item x="70"/>
        <item x="136"/>
        <item x="14"/>
        <item x="108"/>
        <item x="100"/>
        <item x="30"/>
        <item x="10"/>
        <item x="132"/>
        <item x="119"/>
        <item x="144"/>
        <item x="49"/>
        <item x="44"/>
        <item x="148"/>
        <item x="83"/>
        <item x="129"/>
        <item x="42"/>
        <item x="56"/>
        <item x="77"/>
        <item x="37"/>
        <item x="106"/>
        <item x="46"/>
        <item x="134"/>
        <item x="124"/>
        <item x="123"/>
        <item x="0"/>
        <item x="139"/>
        <item x="117"/>
        <item x="3"/>
        <item x="27"/>
        <item x="92"/>
        <item x="24"/>
        <item x="47"/>
        <item x="142"/>
        <item x="111"/>
        <item x="155"/>
        <item x="63"/>
        <item x="11"/>
        <item x="53"/>
        <item x="103"/>
        <item x="62"/>
        <item x="48"/>
        <item x="29"/>
        <item x="15"/>
        <item x="121"/>
        <item x="1"/>
        <item x="19"/>
        <item x="147"/>
        <item x="82"/>
        <item x="97"/>
        <item x="39"/>
        <item x="13"/>
        <item x="31"/>
        <item x="35"/>
        <item x="101"/>
        <item x="133"/>
        <item x="28"/>
        <item x="75"/>
        <item x="149"/>
        <item x="32"/>
        <item x="135"/>
        <item t="default"/>
      </items>
    </pivotField>
    <pivotField numFmtId="2" showAll="0"/>
    <pivotField dataField="1" showAll="0"/>
    <pivotField showAll="0"/>
    <pivotField showAll="0"/>
    <pivotField numFmtId="10" showAll="0"/>
    <pivotField showAll="0"/>
    <pivotField numFmtId="10" showAll="0"/>
    <pivotField showAll="0"/>
    <pivotField numFmtId="10" showAll="0"/>
    <pivotField axis="axisRow" showAll="0" measureFilter="1" sortType="descending">
      <items count="45">
        <item x="14"/>
        <item x="17"/>
        <item x="8"/>
        <item x="29"/>
        <item x="3"/>
        <item x="15"/>
        <item x="10"/>
        <item x="30"/>
        <item x="38"/>
        <item x="27"/>
        <item x="21"/>
        <item x="22"/>
        <item x="4"/>
        <item x="2"/>
        <item x="11"/>
        <item x="31"/>
        <item x="35"/>
        <item x="7"/>
        <item x="5"/>
        <item x="1"/>
        <item x="23"/>
        <item x="43"/>
        <item x="42"/>
        <item x="37"/>
        <item x="36"/>
        <item x="6"/>
        <item x="41"/>
        <item x="13"/>
        <item x="9"/>
        <item x="33"/>
        <item x="25"/>
        <item x="32"/>
        <item x="28"/>
        <item x="40"/>
        <item x="20"/>
        <item x="12"/>
        <item x="24"/>
        <item x="16"/>
        <item x="34"/>
        <item x="0"/>
        <item x="18"/>
        <item x="19"/>
        <item x="26"/>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4">
        <item x="0"/>
        <item x="2"/>
        <item x="1"/>
        <item t="default"/>
      </items>
    </pivotField>
  </pivotFields>
  <rowFields count="1">
    <field x="10"/>
  </rowFields>
  <rowItems count="11">
    <i>
      <x v="40"/>
    </i>
    <i>
      <x v="28"/>
    </i>
    <i>
      <x v="6"/>
    </i>
    <i>
      <x v="9"/>
    </i>
    <i>
      <x v="2"/>
    </i>
    <i>
      <x v="37"/>
    </i>
    <i>
      <x v="19"/>
    </i>
    <i>
      <x/>
    </i>
    <i>
      <x v="10"/>
    </i>
    <i>
      <x v="20"/>
    </i>
    <i t="grand">
      <x/>
    </i>
  </rowItems>
  <colItems count="1">
    <i/>
  </colItems>
  <dataFields count="1">
    <dataField name="Sum of Current price" fld="2" baseField="0" baseItem="0"/>
  </dataFields>
  <formats count="6">
    <format dxfId="46">
      <pivotArea outline="0" collapsedLevelsAreSubtotals="1" fieldPosition="0"/>
    </format>
    <format dxfId="45">
      <pivotArea dataOnly="0" labelOnly="1" fieldPosition="0">
        <references count="1">
          <reference field="10" count="0"/>
        </references>
      </pivotArea>
    </format>
    <format dxfId="44">
      <pivotArea dataOnly="0" labelOnly="1" grandRow="1" outline="0" fieldPosition="0"/>
    </format>
    <format dxfId="43">
      <pivotArea outline="0" collapsedLevelsAreSubtotals="1" fieldPosition="0"/>
    </format>
    <format dxfId="42">
      <pivotArea dataOnly="0" labelOnly="1" fieldPosition="0">
        <references count="1">
          <reference field="10" count="10">
            <x v="0"/>
            <x v="2"/>
            <x v="6"/>
            <x v="9"/>
            <x v="10"/>
            <x v="19"/>
            <x v="20"/>
            <x v="28"/>
            <x v="37"/>
            <x v="40"/>
          </reference>
        </references>
      </pivotArea>
    </format>
    <format dxfId="41">
      <pivotArea dataOnly="0" labelOnly="1" grandRow="1" outline="0" fieldPosition="0"/>
    </format>
  </formats>
  <chartFormats count="11">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10" count="1" selected="0">
            <x v="40"/>
          </reference>
        </references>
      </pivotArea>
    </chartFormat>
    <chartFormat chart="10" format="5">
      <pivotArea type="data" outline="0" fieldPosition="0">
        <references count="2">
          <reference field="4294967294" count="1" selected="0">
            <x v="0"/>
          </reference>
          <reference field="10" count="1" selected="0">
            <x v="28"/>
          </reference>
        </references>
      </pivotArea>
    </chartFormat>
    <chartFormat chart="10" format="6">
      <pivotArea type="data" outline="0" fieldPosition="0">
        <references count="2">
          <reference field="4294967294" count="1" selected="0">
            <x v="0"/>
          </reference>
          <reference field="10" count="1" selected="0">
            <x v="6"/>
          </reference>
        </references>
      </pivotArea>
    </chartFormat>
    <chartFormat chart="10" format="7">
      <pivotArea type="data" outline="0" fieldPosition="0">
        <references count="2">
          <reference field="4294967294" count="1" selected="0">
            <x v="0"/>
          </reference>
          <reference field="10" count="1" selected="0">
            <x v="9"/>
          </reference>
        </references>
      </pivotArea>
    </chartFormat>
    <chartFormat chart="10" format="8">
      <pivotArea type="data" outline="0" fieldPosition="0">
        <references count="2">
          <reference field="4294967294" count="1" selected="0">
            <x v="0"/>
          </reference>
          <reference field="10" count="1" selected="0">
            <x v="2"/>
          </reference>
        </references>
      </pivotArea>
    </chartFormat>
    <chartFormat chart="10" format="9">
      <pivotArea type="data" outline="0" fieldPosition="0">
        <references count="2">
          <reference field="4294967294" count="1" selected="0">
            <x v="0"/>
          </reference>
          <reference field="10" count="1" selected="0">
            <x v="37"/>
          </reference>
        </references>
      </pivotArea>
    </chartFormat>
    <chartFormat chart="10" format="10">
      <pivotArea type="data" outline="0" fieldPosition="0">
        <references count="2">
          <reference field="4294967294" count="1" selected="0">
            <x v="0"/>
          </reference>
          <reference field="10" count="1" selected="0">
            <x v="19"/>
          </reference>
        </references>
      </pivotArea>
    </chartFormat>
    <chartFormat chart="10" format="11">
      <pivotArea type="data" outline="0" fieldPosition="0">
        <references count="2">
          <reference field="4294967294" count="1" selected="0">
            <x v="0"/>
          </reference>
          <reference field="10" count="1" selected="0">
            <x v="0"/>
          </reference>
        </references>
      </pivotArea>
    </chartFormat>
    <chartFormat chart="10" format="12">
      <pivotArea type="data" outline="0" fieldPosition="0">
        <references count="2">
          <reference field="4294967294" count="1" selected="0">
            <x v="0"/>
          </reference>
          <reference field="10" count="1" selected="0">
            <x v="10"/>
          </reference>
        </references>
      </pivotArea>
    </chartFormat>
    <chartFormat chart="10" format="13">
      <pivotArea type="data" outline="0" fieldPosition="0">
        <references count="2">
          <reference field="4294967294" count="1" selected="0">
            <x v="0"/>
          </reference>
          <reference field="10" count="1" selected="0">
            <x v="20"/>
          </reference>
        </references>
      </pivotArea>
    </chartFormat>
  </chartFormats>
  <pivotTableStyleInfo name="PivotStyleMedium9" showRowHeaders="1" showColHeaders="1" showRowStripes="0" showColStripes="0" showLastColumn="1"/>
  <filters count="1">
    <filter fld="1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6446E5F-0023-4769-A2F7-4A3F5D35FEF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rowHeaderCaption="Industry">
  <location ref="P3:R48" firstHeaderRow="0" firstDataRow="1" firstDataCol="1"/>
  <pivotFields count="16">
    <pivotField showAll="0">
      <items count="160">
        <item x="138"/>
        <item x="73"/>
        <item x="40"/>
        <item x="146"/>
        <item x="88"/>
        <item x="98"/>
        <item x="86"/>
        <item x="104"/>
        <item x="126"/>
        <item x="17"/>
        <item x="52"/>
        <item x="151"/>
        <item x="143"/>
        <item x="66"/>
        <item x="45"/>
        <item x="61"/>
        <item x="131"/>
        <item x="9"/>
        <item x="18"/>
        <item x="6"/>
        <item x="12"/>
        <item x="110"/>
        <item x="43"/>
        <item x="50"/>
        <item x="21"/>
        <item x="74"/>
        <item x="33"/>
        <item x="152"/>
        <item x="140"/>
        <item x="128"/>
        <item x="95"/>
        <item x="94"/>
        <item x="93"/>
        <item x="122"/>
        <item x="157"/>
        <item x="26"/>
        <item x="85"/>
        <item x="65"/>
        <item x="60"/>
        <item x="118"/>
        <item x="69"/>
        <item x="72"/>
        <item x="105"/>
        <item x="20"/>
        <item x="125"/>
        <item x="59"/>
        <item x="141"/>
        <item x="23"/>
        <item x="158"/>
        <item x="25"/>
        <item x="76"/>
        <item x="84"/>
        <item x="57"/>
        <item x="81"/>
        <item x="107"/>
        <item x="99"/>
        <item x="109"/>
        <item x="127"/>
        <item x="64"/>
        <item x="120"/>
        <item x="22"/>
        <item x="150"/>
        <item x="154"/>
        <item x="112"/>
        <item x="130"/>
        <item x="55"/>
        <item x="54"/>
        <item x="91"/>
        <item x="145"/>
        <item x="4"/>
        <item x="41"/>
        <item x="96"/>
        <item x="137"/>
        <item x="153"/>
        <item x="34"/>
        <item x="102"/>
        <item x="2"/>
        <item x="116"/>
        <item x="90"/>
        <item x="87"/>
        <item x="58"/>
        <item x="38"/>
        <item x="114"/>
        <item x="71"/>
        <item x="36"/>
        <item x="67"/>
        <item x="80"/>
        <item x="68"/>
        <item x="89"/>
        <item x="7"/>
        <item x="79"/>
        <item x="156"/>
        <item x="8"/>
        <item x="16"/>
        <item x="51"/>
        <item x="115"/>
        <item x="78"/>
        <item x="113"/>
        <item x="5"/>
        <item x="70"/>
        <item x="136"/>
        <item x="14"/>
        <item x="108"/>
        <item x="100"/>
        <item x="30"/>
        <item x="10"/>
        <item x="132"/>
        <item x="119"/>
        <item x="144"/>
        <item x="49"/>
        <item x="44"/>
        <item x="148"/>
        <item x="83"/>
        <item x="129"/>
        <item x="42"/>
        <item x="56"/>
        <item x="77"/>
        <item x="37"/>
        <item x="106"/>
        <item x="46"/>
        <item x="134"/>
        <item x="124"/>
        <item x="123"/>
        <item x="0"/>
        <item x="139"/>
        <item x="117"/>
        <item x="3"/>
        <item x="27"/>
        <item x="92"/>
        <item x="24"/>
        <item x="47"/>
        <item x="142"/>
        <item x="111"/>
        <item x="155"/>
        <item x="63"/>
        <item x="11"/>
        <item x="53"/>
        <item x="103"/>
        <item x="62"/>
        <item x="48"/>
        <item x="29"/>
        <item x="15"/>
        <item x="121"/>
        <item x="1"/>
        <item x="19"/>
        <item x="147"/>
        <item x="82"/>
        <item x="97"/>
        <item x="39"/>
        <item x="13"/>
        <item x="31"/>
        <item x="35"/>
        <item x="101"/>
        <item x="133"/>
        <item x="28"/>
        <item x="75"/>
        <item x="149"/>
        <item x="32"/>
        <item x="135"/>
        <item t="default"/>
      </items>
    </pivotField>
    <pivotField numFmtId="2" showAll="0"/>
    <pivotField dataField="1" showAll="0"/>
    <pivotField showAll="0"/>
    <pivotField showAll="0"/>
    <pivotField numFmtId="10" showAll="0"/>
    <pivotField showAll="0"/>
    <pivotField numFmtId="10" showAll="0"/>
    <pivotField dataField="1" showAll="0"/>
    <pivotField numFmtId="10" showAll="0"/>
    <pivotField axis="axisRow" showAll="0" sortType="descending">
      <items count="45">
        <item x="14"/>
        <item x="17"/>
        <item x="8"/>
        <item x="29"/>
        <item x="3"/>
        <item x="15"/>
        <item x="10"/>
        <item x="30"/>
        <item x="38"/>
        <item x="27"/>
        <item x="21"/>
        <item x="22"/>
        <item x="4"/>
        <item x="2"/>
        <item x="11"/>
        <item x="31"/>
        <item x="35"/>
        <item x="7"/>
        <item x="5"/>
        <item x="1"/>
        <item x="23"/>
        <item x="43"/>
        <item x="42"/>
        <item x="37"/>
        <item x="36"/>
        <item x="6"/>
        <item x="41"/>
        <item x="13"/>
        <item x="9"/>
        <item x="33"/>
        <item x="25"/>
        <item x="32"/>
        <item x="28"/>
        <item x="40"/>
        <item x="20"/>
        <item x="12"/>
        <item x="24"/>
        <item x="16"/>
        <item x="34"/>
        <item x="0"/>
        <item x="18"/>
        <item x="19"/>
        <item x="26"/>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10"/>
  </rowFields>
  <rowItems count="45">
    <i>
      <x v="40"/>
    </i>
    <i>
      <x v="28"/>
    </i>
    <i>
      <x v="6"/>
    </i>
    <i>
      <x v="9"/>
    </i>
    <i>
      <x v="2"/>
    </i>
    <i>
      <x v="37"/>
    </i>
    <i>
      <x/>
    </i>
    <i>
      <x v="19"/>
    </i>
    <i>
      <x v="10"/>
    </i>
    <i>
      <x v="20"/>
    </i>
    <i>
      <x v="25"/>
    </i>
    <i>
      <x v="4"/>
    </i>
    <i>
      <x v="8"/>
    </i>
    <i>
      <x v="12"/>
    </i>
    <i>
      <x v="13"/>
    </i>
    <i>
      <x v="11"/>
    </i>
    <i>
      <x v="24"/>
    </i>
    <i>
      <x v="1"/>
    </i>
    <i>
      <x v="32"/>
    </i>
    <i>
      <x v="16"/>
    </i>
    <i>
      <x v="17"/>
    </i>
    <i>
      <x v="39"/>
    </i>
    <i>
      <x v="30"/>
    </i>
    <i>
      <x v="41"/>
    </i>
    <i>
      <x v="3"/>
    </i>
    <i>
      <x v="43"/>
    </i>
    <i>
      <x v="23"/>
    </i>
    <i>
      <x v="42"/>
    </i>
    <i>
      <x v="14"/>
    </i>
    <i>
      <x v="26"/>
    </i>
    <i>
      <x v="29"/>
    </i>
    <i>
      <x v="15"/>
    </i>
    <i>
      <x v="36"/>
    </i>
    <i>
      <x v="7"/>
    </i>
    <i>
      <x v="27"/>
    </i>
    <i>
      <x v="35"/>
    </i>
    <i>
      <x v="18"/>
    </i>
    <i>
      <x v="5"/>
    </i>
    <i>
      <x v="34"/>
    </i>
    <i>
      <x v="31"/>
    </i>
    <i>
      <x v="21"/>
    </i>
    <i>
      <x v="22"/>
    </i>
    <i>
      <x v="33"/>
    </i>
    <i>
      <x v="38"/>
    </i>
    <i t="grand">
      <x/>
    </i>
  </rowItems>
  <colFields count="1">
    <field x="-2"/>
  </colFields>
  <colItems count="2">
    <i>
      <x/>
    </i>
    <i i="1">
      <x v="1"/>
    </i>
  </colItems>
  <dataFields count="2">
    <dataField name="Sum of Yesterday Closing Price" fld="8" baseField="0" baseItem="0"/>
    <dataField name="Sum of Current price" fld="2" baseField="0" baseItem="0"/>
  </dataFields>
  <formats count="2">
    <format dxfId="48">
      <pivotArea collapsedLevelsAreSubtotals="1" fieldPosition="0">
        <references count="1">
          <reference field="10" count="0"/>
        </references>
      </pivotArea>
    </format>
    <format dxfId="47">
      <pivotArea dataOnly="0" labelOnly="1" fieldPosition="0">
        <references count="1">
          <reference field="10" count="0"/>
        </references>
      </pivotArea>
    </format>
  </formats>
  <chartFormats count="4">
    <chartFormat chart="10" format="12"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1"/>
          </reference>
        </references>
      </pivotArea>
    </chartFormat>
    <chartFormat chart="26" format="16" series="1">
      <pivotArea type="data" outline="0" fieldPosition="0">
        <references count="1">
          <reference field="4294967294" count="1" selected="0">
            <x v="0"/>
          </reference>
        </references>
      </pivotArea>
    </chartFormat>
    <chartFormat chart="26" format="17"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ck" xr10:uid="{5FB3C3D0-B372-442D-BAA8-723E2865C1D3}" sourceName="Stock">
  <pivotTables>
    <pivotTable tabId="6" name="PivotTable8"/>
    <pivotTable tabId="6" name="PivotTable1"/>
    <pivotTable tabId="6" name="PivotTable10"/>
    <pivotTable tabId="6" name="PivotTable2"/>
    <pivotTable tabId="6" name="PivotTable4"/>
    <pivotTable tabId="6" name="PivotTable5"/>
    <pivotTable tabId="6" name="PivotTable6"/>
    <pivotTable tabId="6" name="PivotTable9"/>
  </pivotTables>
  <data>
    <tabular pivotCacheId="1022856636">
      <items count="159">
        <i x="138" s="1"/>
        <i x="73" s="1"/>
        <i x="40" s="1"/>
        <i x="146" s="1"/>
        <i x="88" s="1"/>
        <i x="98" s="1"/>
        <i x="86" s="1"/>
        <i x="104" s="1"/>
        <i x="126" s="1"/>
        <i x="17" s="1"/>
        <i x="52" s="1"/>
        <i x="151" s="1"/>
        <i x="143" s="1"/>
        <i x="66" s="1"/>
        <i x="45" s="1"/>
        <i x="61" s="1"/>
        <i x="131" s="1"/>
        <i x="9" s="1"/>
        <i x="18" s="1"/>
        <i x="6" s="1"/>
        <i x="12" s="1"/>
        <i x="110" s="1"/>
        <i x="43" s="1"/>
        <i x="50" s="1"/>
        <i x="21" s="1"/>
        <i x="74" s="1"/>
        <i x="33" s="1"/>
        <i x="152" s="1"/>
        <i x="140" s="1"/>
        <i x="128" s="1"/>
        <i x="95" s="1"/>
        <i x="94" s="1"/>
        <i x="93" s="1"/>
        <i x="122" s="1"/>
        <i x="157" s="1"/>
        <i x="26" s="1"/>
        <i x="85" s="1"/>
        <i x="65" s="1"/>
        <i x="60" s="1"/>
        <i x="118" s="1"/>
        <i x="69" s="1"/>
        <i x="72" s="1"/>
        <i x="105" s="1"/>
        <i x="20" s="1"/>
        <i x="125" s="1"/>
        <i x="59" s="1"/>
        <i x="141" s="1"/>
        <i x="23" s="1"/>
        <i x="158" s="1"/>
        <i x="25" s="1"/>
        <i x="76" s="1"/>
        <i x="84" s="1"/>
        <i x="57" s="1"/>
        <i x="81" s="1"/>
        <i x="107" s="1"/>
        <i x="99" s="1"/>
        <i x="109" s="1"/>
        <i x="127" s="1"/>
        <i x="64" s="1"/>
        <i x="120" s="1"/>
        <i x="22" s="1"/>
        <i x="150" s="1"/>
        <i x="154" s="1"/>
        <i x="112" s="1"/>
        <i x="130" s="1"/>
        <i x="55" s="1"/>
        <i x="54" s="1"/>
        <i x="91" s="1"/>
        <i x="145" s="1"/>
        <i x="4" s="1"/>
        <i x="41" s="1"/>
        <i x="96" s="1"/>
        <i x="137" s="1"/>
        <i x="153" s="1"/>
        <i x="34" s="1"/>
        <i x="102" s="1"/>
        <i x="2" s="1"/>
        <i x="116" s="1"/>
        <i x="90" s="1"/>
        <i x="87" s="1"/>
        <i x="58" s="1"/>
        <i x="38" s="1"/>
        <i x="114" s="1"/>
        <i x="71" s="1"/>
        <i x="36" s="1"/>
        <i x="67" s="1"/>
        <i x="80" s="1"/>
        <i x="68" s="1"/>
        <i x="89" s="1"/>
        <i x="7" s="1"/>
        <i x="79" s="1"/>
        <i x="156" s="1"/>
        <i x="8" s="1"/>
        <i x="16" s="1"/>
        <i x="51" s="1"/>
        <i x="115" s="1"/>
        <i x="78" s="1"/>
        <i x="113" s="1"/>
        <i x="5" s="1"/>
        <i x="70" s="1"/>
        <i x="136" s="1"/>
        <i x="14" s="1"/>
        <i x="108" s="1"/>
        <i x="100" s="1"/>
        <i x="30" s="1"/>
        <i x="10" s="1"/>
        <i x="132" s="1"/>
        <i x="119" s="1"/>
        <i x="144" s="1"/>
        <i x="49" s="1"/>
        <i x="44" s="1"/>
        <i x="148" s="1"/>
        <i x="83" s="1"/>
        <i x="129" s="1"/>
        <i x="42" s="1"/>
        <i x="56" s="1"/>
        <i x="77" s="1"/>
        <i x="37" s="1"/>
        <i x="106" s="1"/>
        <i x="46" s="1"/>
        <i x="134" s="1"/>
        <i x="124" s="1"/>
        <i x="123" s="1"/>
        <i x="0" s="1"/>
        <i x="139" s="1"/>
        <i x="117" s="1"/>
        <i x="3" s="1"/>
        <i x="27" s="1"/>
        <i x="92" s="1"/>
        <i x="24" s="1"/>
        <i x="47" s="1"/>
        <i x="142" s="1"/>
        <i x="111" s="1"/>
        <i x="155" s="1"/>
        <i x="63" s="1"/>
        <i x="11" s="1"/>
        <i x="53" s="1"/>
        <i x="103" s="1"/>
        <i x="62" s="1"/>
        <i x="48" s="1"/>
        <i x="29" s="1"/>
        <i x="15" s="1"/>
        <i x="121" s="1"/>
        <i x="1" s="1"/>
        <i x="19" s="1"/>
        <i x="147" s="1"/>
        <i x="82" s="1"/>
        <i x="97" s="1"/>
        <i x="39" s="1"/>
        <i x="13" s="1"/>
        <i x="31" s="1"/>
        <i x="35" s="1"/>
        <i x="101" s="1"/>
        <i x="133" s="1"/>
        <i x="28" s="1"/>
        <i x="75" s="1"/>
        <i x="149" s="1"/>
        <i x="32" s="1"/>
        <i x="13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ery" xr10:uid="{3CFA1ED7-B7CE-4ABF-9B32-AABE43B45576}" sourceName="Industery">
  <pivotTables>
    <pivotTable tabId="6" name="PivotTable6"/>
    <pivotTable tabId="6" name="PivotTable2"/>
    <pivotTable tabId="6" name="PivotTable3"/>
    <pivotTable tabId="6" name="PivotTable4"/>
    <pivotTable tabId="6" name="PivotTable5"/>
    <pivotTable tabId="6" name="PivotTable7"/>
    <pivotTable tabId="6" name="PivotTable8"/>
    <pivotTable tabId="6" name="PivotTable1"/>
    <pivotTable tabId="6" name="PivotTable10"/>
    <pivotTable tabId="6" name="PivotTable9"/>
  </pivotTables>
  <data>
    <tabular pivotCacheId="1022856636">
      <items count="44">
        <i x="14" s="1"/>
        <i x="17" s="1"/>
        <i x="8" s="1"/>
        <i x="29" s="1"/>
        <i x="3" s="1"/>
        <i x="15" s="1"/>
        <i x="10" s="1"/>
        <i x="30" s="1"/>
        <i x="38" s="1"/>
        <i x="27" s="1"/>
        <i x="21" s="1"/>
        <i x="22" s="1"/>
        <i x="4" s="1"/>
        <i x="2" s="1"/>
        <i x="11" s="1"/>
        <i x="31" s="1"/>
        <i x="35" s="1"/>
        <i x="7" s="1"/>
        <i x="5" s="1"/>
        <i x="1" s="1"/>
        <i x="23" s="1"/>
        <i x="43" s="1"/>
        <i x="42" s="1"/>
        <i x="37" s="1"/>
        <i x="36" s="1"/>
        <i x="6" s="1"/>
        <i x="41" s="1"/>
        <i x="13" s="1"/>
        <i x="9" s="1"/>
        <i x="33" s="1"/>
        <i x="25" s="1"/>
        <i x="32" s="1"/>
        <i x="28" s="1"/>
        <i x="40" s="1"/>
        <i x="20" s="1"/>
        <i x="12" s="1"/>
        <i x="24" s="1"/>
        <i x="16" s="1"/>
        <i x="34" s="1"/>
        <i x="0" s="1"/>
        <i x="18" s="1"/>
        <i x="19" s="1"/>
        <i x="26" s="1"/>
        <i x="3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ck" xr10:uid="{32C78BE7-7DD4-42FB-95E3-E1EA64E60203}" cache="Slicer_Stock" caption="Stock" startItem="16" style="SlicerStyleDark4" rowHeight="209550"/>
  <slicer name="Industery" xr10:uid="{108991A5-9622-45A0-94B0-ABCD323CD2D2}" cache="Slicer_Industery" caption="Industery" startItem="12" style="SlicerStyleDark2"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217">
  <tableColumns count="10">
    <tableColumn id="1" xr3:uid="{00000000-0010-0000-0000-000001000000}" name="Stock"/>
    <tableColumn id="2" xr3:uid="{00000000-0010-0000-0000-000002000000}" name="Market Cap (In Rs Cr.)"/>
    <tableColumn id="3" xr3:uid="{00000000-0010-0000-0000-000003000000}" name="Current price"/>
    <tableColumn id="4" xr3:uid="{00000000-0010-0000-0000-000004000000}" name="PE Ratio"/>
    <tableColumn id="5" xr3:uid="{00000000-0010-0000-0000-000005000000}" name="52 Week High"/>
    <tableColumn id="6" xr3:uid="{00000000-0010-0000-0000-000006000000}" name="% Below 52 week high"/>
    <tableColumn id="7" xr3:uid="{00000000-0010-0000-0000-000007000000}" name="52 Week Low"/>
    <tableColumn id="8" xr3:uid="{00000000-0010-0000-0000-000008000000}" name="% Above 52 Week low"/>
    <tableColumn id="9" xr3:uid="{00000000-0010-0000-0000-000009000000}" name="Yesterday Closing Price"/>
    <tableColumn id="10" xr3:uid="{00000000-0010-0000-0000-00000A000000}" name="% Change"/>
  </tableColumns>
  <tableStyleInfo name="Data Se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C219">
  <tableColumns count="3">
    <tableColumn id="1" xr3:uid="{00000000-0010-0000-0100-000001000000}" name="Stock"/>
    <tableColumn id="2" xr3:uid="{00000000-0010-0000-0100-000002000000}" name="Industry"/>
    <tableColumn id="3" xr3:uid="{00000000-0010-0000-0100-000003000000}" name="NSE/BSE Code"/>
  </tableColumns>
  <tableStyleInfo name="NSEBSE Cod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FF"/>
    <outlinePr summaryBelow="0" summaryRight="0"/>
  </sheetPr>
  <dimension ref="A1:AC217"/>
  <sheetViews>
    <sheetView zoomScale="69" workbookViewId="0">
      <pane xSplit="10" topLeftCell="K1" activePane="topRight" state="frozen"/>
      <selection pane="topRight" activeCell="L2" sqref="L2"/>
    </sheetView>
  </sheetViews>
  <sheetFormatPr defaultColWidth="12.6640625" defaultRowHeight="15.75" customHeight="1"/>
  <cols>
    <col min="1" max="1" width="24.33203125" customWidth="1"/>
    <col min="2" max="2" width="17" customWidth="1"/>
    <col min="6" max="6" width="12.88671875" customWidth="1"/>
    <col min="9" max="9" width="14.77734375" customWidth="1"/>
    <col min="10" max="10" width="20.6640625" customWidth="1"/>
    <col min="11" max="29" width="19.6640625" customWidth="1"/>
  </cols>
  <sheetData>
    <row r="1" spans="1:29" ht="42.75" customHeight="1">
      <c r="A1" s="1" t="s">
        <v>0</v>
      </c>
      <c r="B1" s="2" t="s">
        <v>1</v>
      </c>
      <c r="C1" s="3" t="s">
        <v>2</v>
      </c>
      <c r="D1" s="3" t="s">
        <v>3</v>
      </c>
      <c r="E1" s="3" t="s">
        <v>4</v>
      </c>
      <c r="F1" s="4" t="s">
        <v>5</v>
      </c>
      <c r="G1" s="3" t="s">
        <v>6</v>
      </c>
      <c r="H1" s="4" t="s">
        <v>7</v>
      </c>
      <c r="I1" s="3" t="s">
        <v>8</v>
      </c>
      <c r="J1" s="4" t="s">
        <v>9</v>
      </c>
      <c r="K1" s="5"/>
      <c r="L1" s="5"/>
      <c r="M1" s="5"/>
      <c r="N1" s="5"/>
      <c r="O1" s="5"/>
      <c r="P1" s="5"/>
      <c r="Q1" s="5"/>
      <c r="R1" s="5"/>
      <c r="S1" s="5"/>
      <c r="T1" s="5"/>
      <c r="U1" s="5"/>
      <c r="V1" s="5"/>
      <c r="W1" s="5"/>
      <c r="X1" s="5"/>
      <c r="Y1" s="5"/>
      <c r="Z1" s="5"/>
      <c r="AA1" s="5"/>
      <c r="AB1" s="5"/>
      <c r="AC1" s="5"/>
    </row>
    <row r="2" spans="1:29" ht="24">
      <c r="A2" s="6" t="s">
        <v>10</v>
      </c>
      <c r="B2" s="7">
        <v>1234544.5174748001</v>
      </c>
      <c r="C2" s="8">
        <v>3374.2</v>
      </c>
      <c r="D2" s="8">
        <v>30.43</v>
      </c>
      <c r="E2" s="8">
        <v>4045.5</v>
      </c>
      <c r="F2" s="9">
        <v>0.16593746137683851</v>
      </c>
      <c r="G2" s="8">
        <v>2926</v>
      </c>
      <c r="H2" s="9">
        <v>0.15317840054682152</v>
      </c>
      <c r="I2" s="8">
        <v>3334.6</v>
      </c>
      <c r="J2" s="9">
        <v>1.187548731482034E-2</v>
      </c>
      <c r="K2" s="10"/>
      <c r="L2" s="10"/>
      <c r="M2" s="10"/>
      <c r="N2" s="10"/>
      <c r="O2" s="10"/>
      <c r="P2" s="10"/>
      <c r="Q2" s="10"/>
      <c r="R2" s="10"/>
      <c r="S2" s="10"/>
      <c r="T2" s="10"/>
      <c r="U2" s="10"/>
      <c r="V2" s="10"/>
      <c r="W2" s="10"/>
      <c r="X2" s="10"/>
      <c r="Y2" s="10"/>
      <c r="Z2" s="10"/>
      <c r="AA2" s="10"/>
      <c r="AB2" s="10"/>
      <c r="AC2" s="10"/>
    </row>
    <row r="3" spans="1:29" ht="24">
      <c r="A3" s="6" t="s">
        <v>11</v>
      </c>
      <c r="B3" s="7">
        <v>616301.32687500003</v>
      </c>
      <c r="C3" s="8">
        <v>2620.6</v>
      </c>
      <c r="D3" s="8">
        <v>63.81</v>
      </c>
      <c r="E3" s="8">
        <v>2741.6</v>
      </c>
      <c r="F3" s="9">
        <v>4.4134811788736503E-2</v>
      </c>
      <c r="G3" s="8">
        <v>1901.55</v>
      </c>
      <c r="H3" s="9">
        <v>0.37813888669769397</v>
      </c>
      <c r="I3" s="8">
        <v>2590.0500000000002</v>
      </c>
      <c r="J3" s="9">
        <v>1.1795139089978852E-2</v>
      </c>
      <c r="K3" s="10"/>
      <c r="L3" s="10"/>
      <c r="M3" s="10"/>
      <c r="N3" s="10"/>
      <c r="O3" s="10"/>
      <c r="P3" s="10"/>
      <c r="Q3" s="10"/>
      <c r="R3" s="10"/>
      <c r="S3" s="10"/>
      <c r="T3" s="10"/>
      <c r="U3" s="10"/>
      <c r="V3" s="10"/>
      <c r="W3" s="10"/>
      <c r="X3" s="10"/>
      <c r="Y3" s="10"/>
      <c r="Z3" s="10"/>
      <c r="AA3" s="10"/>
      <c r="AB3" s="10"/>
      <c r="AC3" s="10"/>
    </row>
    <row r="4" spans="1:29" ht="24">
      <c r="A4" s="6" t="s">
        <v>12</v>
      </c>
      <c r="B4" s="7">
        <v>441027.39724590001</v>
      </c>
      <c r="C4" s="8">
        <v>764.6</v>
      </c>
      <c r="D4" s="8">
        <v>65.86</v>
      </c>
      <c r="E4" s="8">
        <v>860.55</v>
      </c>
      <c r="F4" s="9">
        <v>0.11149846028702566</v>
      </c>
      <c r="G4" s="8">
        <v>628.75</v>
      </c>
      <c r="H4" s="9">
        <v>0.2160636182902585</v>
      </c>
      <c r="I4" s="8">
        <v>756.9</v>
      </c>
      <c r="J4" s="9">
        <v>1.0173074382349117E-2</v>
      </c>
      <c r="K4" s="10"/>
      <c r="L4" s="10"/>
      <c r="M4" s="10"/>
      <c r="N4" s="10"/>
      <c r="O4" s="10"/>
      <c r="P4" s="10"/>
      <c r="Q4" s="10"/>
      <c r="R4" s="10"/>
      <c r="S4" s="10"/>
      <c r="T4" s="10"/>
      <c r="U4" s="10"/>
      <c r="V4" s="10"/>
      <c r="W4" s="10"/>
      <c r="X4" s="10"/>
      <c r="Y4" s="10"/>
      <c r="Z4" s="10"/>
      <c r="AA4" s="10"/>
      <c r="AB4" s="10"/>
      <c r="AC4" s="10"/>
    </row>
    <row r="5" spans="1:29" ht="24">
      <c r="A5" s="6" t="s">
        <v>13</v>
      </c>
      <c r="B5" s="7">
        <v>361172.63514019997</v>
      </c>
      <c r="C5" s="8">
        <v>5977</v>
      </c>
      <c r="D5" s="8">
        <v>36.520000000000003</v>
      </c>
      <c r="E5" s="8">
        <v>8045</v>
      </c>
      <c r="F5" s="9">
        <v>0.25705407085146054</v>
      </c>
      <c r="G5" s="8">
        <v>5220</v>
      </c>
      <c r="H5" s="9">
        <v>0.1450191570881226</v>
      </c>
      <c r="I5" s="8">
        <v>5898.4</v>
      </c>
      <c r="J5" s="9">
        <v>1.3325647633256539E-2</v>
      </c>
      <c r="K5" s="10"/>
      <c r="L5" s="10"/>
      <c r="M5" s="10"/>
      <c r="N5" s="10"/>
      <c r="O5" s="10"/>
      <c r="P5" s="10"/>
      <c r="Q5" s="10"/>
      <c r="R5" s="10"/>
      <c r="S5" s="10"/>
      <c r="T5" s="10"/>
      <c r="U5" s="10"/>
      <c r="V5" s="10"/>
      <c r="W5" s="10"/>
      <c r="X5" s="10"/>
      <c r="Y5" s="10"/>
      <c r="Z5" s="10"/>
      <c r="AA5" s="10"/>
      <c r="AB5" s="10"/>
      <c r="AC5" s="10"/>
    </row>
    <row r="6" spans="1:29" ht="24">
      <c r="A6" s="6" t="s">
        <v>14</v>
      </c>
      <c r="B6" s="7">
        <v>278960.09956589999</v>
      </c>
      <c r="C6" s="8">
        <v>2912</v>
      </c>
      <c r="D6" s="8">
        <v>76.19</v>
      </c>
      <c r="E6" s="8">
        <v>3582.9</v>
      </c>
      <c r="F6" s="9">
        <v>0.18725055122945103</v>
      </c>
      <c r="G6" s="8">
        <v>2560</v>
      </c>
      <c r="H6" s="9">
        <v>0.13750000000000001</v>
      </c>
      <c r="I6" s="8">
        <v>2915.95</v>
      </c>
      <c r="J6" s="9">
        <v>-1.3546185634183776E-3</v>
      </c>
      <c r="K6" s="10"/>
      <c r="L6" s="10"/>
      <c r="M6" s="10"/>
      <c r="N6" s="10"/>
      <c r="O6" s="10"/>
      <c r="P6" s="10"/>
      <c r="Q6" s="10"/>
      <c r="R6" s="10"/>
      <c r="S6" s="10"/>
      <c r="T6" s="10"/>
      <c r="U6" s="10"/>
      <c r="V6" s="10"/>
      <c r="W6" s="10"/>
      <c r="X6" s="10"/>
      <c r="Y6" s="10"/>
      <c r="Z6" s="10"/>
      <c r="AA6" s="10"/>
      <c r="AB6" s="10"/>
      <c r="AC6" s="10"/>
    </row>
    <row r="7" spans="1:29" ht="24">
      <c r="A7" s="6" t="s">
        <v>15</v>
      </c>
      <c r="B7" s="7">
        <v>291770.1146186</v>
      </c>
      <c r="C7" s="8">
        <v>1077</v>
      </c>
      <c r="D7" s="8" t="s">
        <v>16</v>
      </c>
      <c r="E7" s="8">
        <v>1359.4</v>
      </c>
      <c r="F7" s="9">
        <v>0.20773870825364135</v>
      </c>
      <c r="G7" s="8">
        <v>877.35</v>
      </c>
      <c r="H7" s="9">
        <v>0.22756026671225849</v>
      </c>
      <c r="I7" s="8">
        <v>1071.6500000000001</v>
      </c>
      <c r="J7" s="9">
        <v>4.99230159100444E-3</v>
      </c>
      <c r="K7" s="10"/>
      <c r="L7" s="10"/>
      <c r="M7" s="10"/>
      <c r="N7" s="10"/>
      <c r="O7" s="10"/>
      <c r="P7" s="10"/>
      <c r="Q7" s="10"/>
      <c r="R7" s="10"/>
      <c r="S7" s="10"/>
      <c r="T7" s="10"/>
      <c r="U7" s="10"/>
      <c r="V7" s="10"/>
      <c r="W7" s="10"/>
      <c r="X7" s="10"/>
      <c r="Y7" s="10"/>
      <c r="Z7" s="10"/>
      <c r="AA7" s="10"/>
      <c r="AB7" s="10"/>
      <c r="AC7" s="10"/>
    </row>
    <row r="8" spans="1:29" ht="24">
      <c r="A8" s="6" t="s">
        <v>17</v>
      </c>
      <c r="B8" s="7">
        <v>255438.41859260001</v>
      </c>
      <c r="C8" s="8">
        <v>8454.2000000000007</v>
      </c>
      <c r="D8" s="8">
        <v>42.1</v>
      </c>
      <c r="E8" s="8">
        <v>9769</v>
      </c>
      <c r="F8" s="9">
        <v>0.13458900603951268</v>
      </c>
      <c r="G8" s="8">
        <v>6536.55</v>
      </c>
      <c r="H8" s="9">
        <v>0.29337341563974889</v>
      </c>
      <c r="I8" s="8">
        <v>8369.2000000000007</v>
      </c>
      <c r="J8" s="9">
        <v>1.0156287339291688E-2</v>
      </c>
      <c r="K8" s="10"/>
      <c r="L8" s="10"/>
      <c r="M8" s="10"/>
      <c r="N8" s="10"/>
      <c r="O8" s="10"/>
      <c r="P8" s="10"/>
      <c r="Q8" s="10"/>
      <c r="R8" s="10"/>
      <c r="S8" s="10"/>
      <c r="T8" s="10"/>
      <c r="U8" s="10"/>
      <c r="V8" s="10"/>
      <c r="W8" s="10"/>
      <c r="X8" s="10"/>
      <c r="Y8" s="10"/>
      <c r="Z8" s="10"/>
      <c r="AA8" s="10"/>
      <c r="AB8" s="10"/>
      <c r="AC8" s="10"/>
    </row>
    <row r="9" spans="1:29" ht="24">
      <c r="A9" s="6" t="s">
        <v>18</v>
      </c>
      <c r="B9" s="7">
        <v>250157.93508530001</v>
      </c>
      <c r="C9" s="8">
        <v>3855</v>
      </c>
      <c r="D9" s="8">
        <v>109.05</v>
      </c>
      <c r="E9" s="8">
        <v>4609</v>
      </c>
      <c r="F9" s="9">
        <v>0.16359297027554784</v>
      </c>
      <c r="G9" s="8">
        <v>3186</v>
      </c>
      <c r="H9" s="9">
        <v>0.20998116760828625</v>
      </c>
      <c r="I9" s="8">
        <v>3911.8</v>
      </c>
      <c r="J9" s="9">
        <v>-1.4520169742829435E-2</v>
      </c>
      <c r="K9" s="10"/>
      <c r="L9" s="10"/>
      <c r="M9" s="10"/>
      <c r="N9" s="10"/>
      <c r="O9" s="10"/>
      <c r="P9" s="10"/>
      <c r="Q9" s="10"/>
      <c r="R9" s="10"/>
      <c r="S9" s="10"/>
      <c r="T9" s="10"/>
      <c r="U9" s="10"/>
      <c r="V9" s="10"/>
      <c r="W9" s="10"/>
      <c r="X9" s="10"/>
      <c r="Y9" s="10"/>
      <c r="Z9" s="10"/>
      <c r="AA9" s="10"/>
      <c r="AB9" s="10"/>
      <c r="AC9" s="10"/>
    </row>
    <row r="10" spans="1:29" ht="24">
      <c r="A10" s="6" t="s">
        <v>19</v>
      </c>
      <c r="B10" s="7">
        <v>302617.16662500001</v>
      </c>
      <c r="C10" s="8">
        <v>2153.75</v>
      </c>
      <c r="D10" s="8">
        <v>31.53</v>
      </c>
      <c r="E10" s="8">
        <v>2210.5</v>
      </c>
      <c r="F10" s="9">
        <v>2.5672924677674736E-2</v>
      </c>
      <c r="G10" s="8">
        <v>1456.8</v>
      </c>
      <c r="H10" s="9">
        <v>0.4784115870400879</v>
      </c>
      <c r="I10" s="8">
        <v>2160.1999999999998</v>
      </c>
      <c r="J10" s="9">
        <v>-2.9858346449401995E-3</v>
      </c>
      <c r="K10" s="10"/>
      <c r="L10" s="10"/>
      <c r="M10" s="10"/>
      <c r="N10" s="10"/>
      <c r="O10" s="10"/>
      <c r="P10" s="10"/>
      <c r="Q10" s="10"/>
      <c r="R10" s="10"/>
      <c r="S10" s="10"/>
      <c r="T10" s="10"/>
      <c r="U10" s="10"/>
      <c r="V10" s="10"/>
      <c r="W10" s="10"/>
      <c r="X10" s="10"/>
      <c r="Y10" s="10"/>
      <c r="Z10" s="10"/>
      <c r="AA10" s="10"/>
      <c r="AB10" s="10"/>
      <c r="AC10" s="10"/>
    </row>
    <row r="11" spans="1:29" ht="24">
      <c r="A11" s="6" t="s">
        <v>20</v>
      </c>
      <c r="B11" s="7">
        <v>221292.50643760001</v>
      </c>
      <c r="C11" s="8">
        <v>1391</v>
      </c>
      <c r="D11" s="8">
        <v>40.479999999999997</v>
      </c>
      <c r="E11" s="8">
        <v>3724.2</v>
      </c>
      <c r="F11" s="9">
        <v>0.62649696579131087</v>
      </c>
      <c r="G11" s="8">
        <v>1374.35</v>
      </c>
      <c r="H11" s="9">
        <v>1.2114817913923012E-2</v>
      </c>
      <c r="I11" s="8">
        <v>1387.8</v>
      </c>
      <c r="J11" s="9">
        <v>2.3058077532786031E-3</v>
      </c>
      <c r="K11" s="10"/>
      <c r="L11" s="10"/>
      <c r="M11" s="10"/>
      <c r="N11" s="10"/>
      <c r="O11" s="10"/>
      <c r="P11" s="10"/>
      <c r="Q11" s="10"/>
      <c r="R11" s="10"/>
      <c r="S11" s="10"/>
      <c r="T11" s="10"/>
      <c r="U11" s="10"/>
      <c r="V11" s="10"/>
      <c r="W11" s="10"/>
      <c r="X11" s="10"/>
      <c r="Y11" s="10"/>
      <c r="Z11" s="10"/>
      <c r="AA11" s="10"/>
      <c r="AB11" s="10"/>
      <c r="AC11" s="10"/>
    </row>
    <row r="12" spans="1:29" ht="24">
      <c r="A12" s="6" t="s">
        <v>21</v>
      </c>
      <c r="B12" s="7">
        <v>190752.2</v>
      </c>
      <c r="C12" s="8">
        <v>19782.3</v>
      </c>
      <c r="D12" s="8">
        <v>88.1</v>
      </c>
      <c r="E12" s="8">
        <v>21050</v>
      </c>
      <c r="F12" s="9">
        <v>6.0223277909738755E-2</v>
      </c>
      <c r="G12" s="8">
        <v>16000</v>
      </c>
      <c r="H12" s="9">
        <v>0.23639374999999996</v>
      </c>
      <c r="I12" s="8">
        <v>19873.25</v>
      </c>
      <c r="J12" s="9">
        <v>-4.5765035915112384E-3</v>
      </c>
      <c r="K12" s="10"/>
      <c r="L12" s="10"/>
      <c r="M12" s="10"/>
      <c r="N12" s="10"/>
      <c r="O12" s="10"/>
      <c r="P12" s="10"/>
      <c r="Q12" s="10"/>
      <c r="R12" s="10"/>
      <c r="S12" s="10"/>
      <c r="T12" s="10"/>
      <c r="U12" s="10"/>
      <c r="V12" s="10"/>
      <c r="W12" s="10"/>
      <c r="X12" s="10"/>
      <c r="Y12" s="10"/>
      <c r="Z12" s="10"/>
      <c r="AA12" s="10"/>
      <c r="AB12" s="10"/>
      <c r="AC12" s="10"/>
    </row>
    <row r="13" spans="1:29" ht="24">
      <c r="A13" s="6" t="s">
        <v>22</v>
      </c>
      <c r="B13" s="7">
        <v>208975.8</v>
      </c>
      <c r="C13" s="8">
        <v>7244.95</v>
      </c>
      <c r="D13" s="8">
        <v>31.35</v>
      </c>
      <c r="E13" s="8">
        <v>7946</v>
      </c>
      <c r="F13" s="9">
        <v>8.8226780770198868E-2</v>
      </c>
      <c r="G13" s="8">
        <v>5157.05</v>
      </c>
      <c r="H13" s="9">
        <v>0.40486324546009822</v>
      </c>
      <c r="I13" s="8">
        <v>7153.35</v>
      </c>
      <c r="J13" s="9">
        <v>1.2805189177098764E-2</v>
      </c>
      <c r="K13" s="10"/>
      <c r="L13" s="10"/>
      <c r="M13" s="10"/>
      <c r="N13" s="10"/>
      <c r="O13" s="10"/>
      <c r="P13" s="10"/>
      <c r="Q13" s="10"/>
      <c r="R13" s="10"/>
      <c r="S13" s="10"/>
      <c r="T13" s="10"/>
      <c r="U13" s="10"/>
      <c r="V13" s="10"/>
      <c r="W13" s="10"/>
      <c r="X13" s="10"/>
      <c r="Y13" s="10"/>
      <c r="Z13" s="10"/>
      <c r="AA13" s="10"/>
      <c r="AB13" s="10"/>
      <c r="AC13" s="10"/>
    </row>
    <row r="14" spans="1:29" ht="24">
      <c r="A14" s="6" t="s">
        <v>23</v>
      </c>
      <c r="B14" s="7">
        <v>158785.37168929999</v>
      </c>
      <c r="C14" s="8">
        <v>1327.55</v>
      </c>
      <c r="D14" s="8">
        <v>16.12</v>
      </c>
      <c r="E14" s="8">
        <v>1366.55</v>
      </c>
      <c r="F14" s="9">
        <v>2.8539021623797154E-2</v>
      </c>
      <c r="G14" s="8">
        <v>671.15</v>
      </c>
      <c r="H14" s="9">
        <v>0.97802279669224468</v>
      </c>
      <c r="I14" s="8">
        <v>1319.9</v>
      </c>
      <c r="J14" s="9">
        <v>5.795893628305071E-3</v>
      </c>
      <c r="K14" s="10"/>
      <c r="L14" s="10"/>
      <c r="M14" s="10"/>
      <c r="N14" s="10"/>
      <c r="O14" s="10"/>
      <c r="P14" s="10"/>
      <c r="Q14" s="10"/>
      <c r="R14" s="10"/>
      <c r="S14" s="10"/>
      <c r="T14" s="10"/>
      <c r="U14" s="10"/>
      <c r="V14" s="10"/>
      <c r="W14" s="10"/>
      <c r="X14" s="10"/>
      <c r="Y14" s="10"/>
      <c r="Z14" s="10"/>
      <c r="AA14" s="10"/>
      <c r="AB14" s="10"/>
      <c r="AC14" s="10"/>
    </row>
    <row r="15" spans="1:29" ht="24">
      <c r="A15" s="6" t="s">
        <v>24</v>
      </c>
      <c r="B15" s="7">
        <v>101964.8629622</v>
      </c>
      <c r="C15" s="8">
        <v>3602.45</v>
      </c>
      <c r="D15" s="8">
        <v>17.79</v>
      </c>
      <c r="E15" s="8">
        <v>4131.75</v>
      </c>
      <c r="F15" s="9">
        <v>0.12810552429358024</v>
      </c>
      <c r="G15" s="8">
        <v>3125</v>
      </c>
      <c r="H15" s="9">
        <v>0.15278399999999995</v>
      </c>
      <c r="I15" s="8">
        <v>3570.3</v>
      </c>
      <c r="J15" s="9">
        <v>9.0048455311877527E-3</v>
      </c>
      <c r="K15" s="10"/>
      <c r="L15" s="10"/>
      <c r="M15" s="10"/>
      <c r="N15" s="10"/>
      <c r="O15" s="10"/>
      <c r="P15" s="10"/>
      <c r="Q15" s="10"/>
      <c r="R15" s="10"/>
      <c r="S15" s="10"/>
      <c r="T15" s="10"/>
      <c r="U15" s="10"/>
      <c r="V15" s="10"/>
      <c r="W15" s="10"/>
      <c r="X15" s="10"/>
      <c r="Y15" s="10"/>
      <c r="Z15" s="10"/>
      <c r="AA15" s="10"/>
      <c r="AB15" s="10"/>
      <c r="AC15" s="10"/>
    </row>
    <row r="16" spans="1:29" ht="24">
      <c r="A16" s="6" t="s">
        <v>25</v>
      </c>
      <c r="B16" s="7">
        <v>127340</v>
      </c>
      <c r="C16" s="8">
        <v>2513</v>
      </c>
      <c r="D16" s="8">
        <v>98.38</v>
      </c>
      <c r="E16" s="8">
        <v>2918.95</v>
      </c>
      <c r="F16" s="9">
        <v>0.13907398208259814</v>
      </c>
      <c r="G16" s="8">
        <v>1988.55</v>
      </c>
      <c r="H16" s="9">
        <v>0.26373488220059843</v>
      </c>
      <c r="I16" s="8">
        <v>2495.5</v>
      </c>
      <c r="J16" s="9">
        <v>7.0126227208976155E-3</v>
      </c>
      <c r="K16" s="10"/>
      <c r="L16" s="10"/>
      <c r="M16" s="10"/>
      <c r="N16" s="10"/>
      <c r="O16" s="10"/>
      <c r="P16" s="10"/>
      <c r="Q16" s="10"/>
      <c r="R16" s="10"/>
      <c r="S16" s="10"/>
      <c r="T16" s="10"/>
      <c r="U16" s="10"/>
      <c r="V16" s="10"/>
      <c r="W16" s="10"/>
      <c r="X16" s="10"/>
      <c r="Y16" s="10"/>
      <c r="Z16" s="10"/>
      <c r="AA16" s="10"/>
      <c r="AB16" s="10"/>
      <c r="AC16" s="10"/>
    </row>
    <row r="17" spans="1:29" ht="24">
      <c r="A17" s="6" t="s">
        <v>26</v>
      </c>
      <c r="B17" s="7">
        <v>130568.986925</v>
      </c>
      <c r="C17" s="8">
        <v>1307</v>
      </c>
      <c r="D17" s="8">
        <v>78.069999999999993</v>
      </c>
      <c r="E17" s="8">
        <v>1340.35</v>
      </c>
      <c r="F17" s="9">
        <v>2.4881560786361705E-2</v>
      </c>
      <c r="G17" s="8">
        <v>1003.5</v>
      </c>
      <c r="H17" s="9">
        <v>0.30244145490782259</v>
      </c>
      <c r="I17" s="8">
        <v>1315.7</v>
      </c>
      <c r="J17" s="9">
        <v>-6.6124496465760014E-3</v>
      </c>
      <c r="K17" s="10"/>
      <c r="L17" s="10"/>
      <c r="M17" s="10"/>
      <c r="N17" s="10"/>
      <c r="O17" s="10"/>
      <c r="P17" s="10"/>
      <c r="Q17" s="10"/>
      <c r="R17" s="10"/>
      <c r="S17" s="10"/>
      <c r="T17" s="10"/>
      <c r="U17" s="10"/>
      <c r="V17" s="10"/>
      <c r="W17" s="10"/>
      <c r="X17" s="10"/>
      <c r="Y17" s="10"/>
      <c r="Z17" s="10"/>
      <c r="AA17" s="10"/>
      <c r="AB17" s="10"/>
      <c r="AC17" s="10"/>
    </row>
    <row r="18" spans="1:29" ht="24">
      <c r="A18" s="6" t="s">
        <v>27</v>
      </c>
      <c r="B18" s="7">
        <v>147293.6037181</v>
      </c>
      <c r="C18" s="8">
        <v>120.45</v>
      </c>
      <c r="D18" s="8">
        <v>5.13</v>
      </c>
      <c r="E18" s="8">
        <v>138.63</v>
      </c>
      <c r="F18" s="9">
        <v>0.1311404457909543</v>
      </c>
      <c r="G18" s="8">
        <v>82.71</v>
      </c>
      <c r="H18" s="9">
        <v>0.45629307217990583</v>
      </c>
      <c r="I18" s="8">
        <v>118.05</v>
      </c>
      <c r="J18" s="9">
        <v>2.0330368487928893E-2</v>
      </c>
      <c r="K18" s="10"/>
      <c r="L18" s="10"/>
      <c r="M18" s="10"/>
      <c r="N18" s="10"/>
      <c r="O18" s="10"/>
      <c r="P18" s="10"/>
      <c r="Q18" s="10"/>
      <c r="R18" s="10"/>
      <c r="S18" s="10"/>
      <c r="T18" s="10"/>
      <c r="U18" s="10"/>
      <c r="V18" s="10"/>
      <c r="W18" s="10"/>
      <c r="X18" s="10"/>
      <c r="Y18" s="10"/>
      <c r="Z18" s="10"/>
      <c r="AA18" s="10"/>
      <c r="AB18" s="10"/>
      <c r="AC18" s="10"/>
    </row>
    <row r="19" spans="1:29" ht="24">
      <c r="A19" s="6" t="s">
        <v>28</v>
      </c>
      <c r="B19" s="7">
        <v>88977.11</v>
      </c>
      <c r="C19" s="8">
        <v>3352.15</v>
      </c>
      <c r="D19" s="8">
        <v>29.74</v>
      </c>
      <c r="E19" s="8">
        <v>4668</v>
      </c>
      <c r="F19" s="9">
        <v>0.28188731790916877</v>
      </c>
      <c r="G19" s="8">
        <v>3195.15</v>
      </c>
      <c r="H19" s="9">
        <v>4.9136973225044206E-2</v>
      </c>
      <c r="I19" s="8">
        <v>3305.3</v>
      </c>
      <c r="J19" s="9">
        <v>1.4174205064593201E-2</v>
      </c>
      <c r="K19" s="10"/>
      <c r="L19" s="10"/>
      <c r="M19" s="10"/>
      <c r="N19" s="10"/>
      <c r="O19" s="10"/>
      <c r="P19" s="10"/>
      <c r="Q19" s="10"/>
      <c r="R19" s="10"/>
      <c r="S19" s="10"/>
      <c r="T19" s="10"/>
      <c r="U19" s="10"/>
      <c r="V19" s="10"/>
      <c r="W19" s="10"/>
      <c r="X19" s="10"/>
      <c r="Y19" s="10"/>
      <c r="Z19" s="10"/>
      <c r="AA19" s="10"/>
      <c r="AB19" s="10"/>
      <c r="AC19" s="10"/>
    </row>
    <row r="20" spans="1:29" ht="24">
      <c r="A20" s="6" t="s">
        <v>29</v>
      </c>
      <c r="B20" s="7">
        <v>97631.018453700002</v>
      </c>
      <c r="C20" s="8">
        <v>1002.8</v>
      </c>
      <c r="D20" s="8">
        <v>16.8</v>
      </c>
      <c r="E20" s="8">
        <v>1751</v>
      </c>
      <c r="F20" s="9">
        <v>0.42729868646487723</v>
      </c>
      <c r="G20" s="8">
        <v>943.7</v>
      </c>
      <c r="H20" s="9">
        <v>6.2625834481296924E-2</v>
      </c>
      <c r="I20" s="8">
        <v>1001.55</v>
      </c>
      <c r="J20" s="9">
        <v>1.2480654984773601E-3</v>
      </c>
      <c r="K20" s="10"/>
      <c r="L20" s="10"/>
      <c r="M20" s="10"/>
      <c r="N20" s="10"/>
      <c r="O20" s="10"/>
      <c r="P20" s="10"/>
      <c r="Q20" s="10"/>
      <c r="R20" s="10"/>
      <c r="S20" s="10"/>
      <c r="T20" s="10"/>
      <c r="U20" s="10"/>
      <c r="V20" s="10"/>
      <c r="W20" s="10"/>
      <c r="X20" s="10"/>
      <c r="Y20" s="10"/>
      <c r="Z20" s="10"/>
      <c r="AA20" s="10"/>
      <c r="AB20" s="10"/>
      <c r="AC20" s="10"/>
    </row>
    <row r="21" spans="1:29" ht="24">
      <c r="A21" s="6" t="s">
        <v>30</v>
      </c>
      <c r="B21" s="7">
        <v>96383.937255199999</v>
      </c>
      <c r="C21" s="8">
        <v>544</v>
      </c>
      <c r="D21" s="8">
        <v>55.79</v>
      </c>
      <c r="E21" s="8">
        <v>610.75</v>
      </c>
      <c r="F21" s="9">
        <v>0.10929185427752763</v>
      </c>
      <c r="G21" s="8">
        <v>482.25</v>
      </c>
      <c r="H21" s="9">
        <v>0.12804561949196475</v>
      </c>
      <c r="I21" s="8">
        <v>544.95000000000005</v>
      </c>
      <c r="J21" s="9">
        <v>-1.7432791999266821E-3</v>
      </c>
      <c r="K21" s="10"/>
      <c r="L21" s="10"/>
      <c r="M21" s="10"/>
      <c r="N21" s="10"/>
      <c r="O21" s="10"/>
      <c r="P21" s="10"/>
      <c r="Q21" s="10"/>
      <c r="R21" s="10"/>
      <c r="S21" s="10"/>
      <c r="T21" s="10"/>
      <c r="U21" s="10"/>
      <c r="V21" s="10"/>
      <c r="W21" s="10"/>
      <c r="X21" s="10"/>
      <c r="Y21" s="10"/>
      <c r="Z21" s="10"/>
      <c r="AA21" s="10"/>
      <c r="AB21" s="10"/>
      <c r="AC21" s="10"/>
    </row>
    <row r="22" spans="1:29" ht="24">
      <c r="A22" s="6" t="s">
        <v>31</v>
      </c>
      <c r="B22" s="7">
        <v>104442.9</v>
      </c>
      <c r="C22" s="8">
        <v>4328</v>
      </c>
      <c r="D22" s="8">
        <v>65.900000000000006</v>
      </c>
      <c r="E22" s="8">
        <v>4537</v>
      </c>
      <c r="F22" s="9">
        <v>4.6065682168834034E-2</v>
      </c>
      <c r="G22" s="8">
        <v>3050</v>
      </c>
      <c r="H22" s="9">
        <v>0.41901639344262293</v>
      </c>
      <c r="I22" s="8">
        <v>4299.25</v>
      </c>
      <c r="J22" s="9">
        <v>6.6872128859684831E-3</v>
      </c>
      <c r="K22" s="10"/>
      <c r="L22" s="10"/>
      <c r="M22" s="10"/>
      <c r="N22" s="10"/>
      <c r="O22" s="10"/>
      <c r="P22" s="10"/>
      <c r="Q22" s="10"/>
      <c r="R22" s="10"/>
      <c r="S22" s="10"/>
      <c r="T22" s="10"/>
      <c r="U22" s="10"/>
      <c r="V22" s="10"/>
      <c r="W22" s="10"/>
      <c r="X22" s="10"/>
      <c r="Y22" s="10"/>
      <c r="Z22" s="10"/>
      <c r="AA22" s="10"/>
      <c r="AB22" s="10"/>
      <c r="AC22" s="10"/>
    </row>
    <row r="23" spans="1:29" ht="24">
      <c r="A23" s="6" t="s">
        <v>32</v>
      </c>
      <c r="B23" s="7">
        <v>86543.229623199994</v>
      </c>
      <c r="C23" s="8">
        <v>3164.9</v>
      </c>
      <c r="D23" s="8">
        <v>37.119999999999997</v>
      </c>
      <c r="E23" s="8">
        <v>3889.65</v>
      </c>
      <c r="F23" s="9">
        <v>0.18632781869834047</v>
      </c>
      <c r="G23" s="8">
        <v>2159.5500000000002</v>
      </c>
      <c r="H23" s="9">
        <v>0.46553680164849148</v>
      </c>
      <c r="I23" s="8">
        <v>3103.25</v>
      </c>
      <c r="J23" s="9">
        <v>1.9866269233867747E-2</v>
      </c>
      <c r="K23" s="10"/>
      <c r="L23" s="10"/>
      <c r="M23" s="10"/>
      <c r="N23" s="10"/>
      <c r="O23" s="10"/>
      <c r="P23" s="10"/>
      <c r="Q23" s="10"/>
      <c r="R23" s="10"/>
      <c r="S23" s="10"/>
      <c r="T23" s="10"/>
      <c r="U23" s="10"/>
      <c r="V23" s="10"/>
      <c r="W23" s="10"/>
      <c r="X23" s="10"/>
      <c r="Y23" s="10"/>
      <c r="Z23" s="10"/>
      <c r="AA23" s="10"/>
      <c r="AB23" s="10"/>
      <c r="AC23" s="10"/>
    </row>
    <row r="24" spans="1:29" ht="24">
      <c r="A24" s="6" t="s">
        <v>33</v>
      </c>
      <c r="B24" s="7">
        <v>86182.29</v>
      </c>
      <c r="C24" s="8">
        <v>1068.8499999999999</v>
      </c>
      <c r="D24" s="8">
        <v>33.64</v>
      </c>
      <c r="E24" s="8">
        <v>1185.25</v>
      </c>
      <c r="F24" s="9">
        <v>9.8207129297616616E-2</v>
      </c>
      <c r="G24" s="8">
        <v>860</v>
      </c>
      <c r="H24" s="9">
        <v>0.24284883720930223</v>
      </c>
      <c r="I24" s="8">
        <v>1061.1500000000001</v>
      </c>
      <c r="J24" s="9">
        <v>7.2562785657068439E-3</v>
      </c>
      <c r="K24" s="10"/>
      <c r="L24" s="10"/>
      <c r="M24" s="10"/>
      <c r="N24" s="10"/>
      <c r="O24" s="10"/>
      <c r="P24" s="10"/>
      <c r="Q24" s="10"/>
      <c r="R24" s="10"/>
      <c r="S24" s="10"/>
      <c r="T24" s="10"/>
      <c r="U24" s="10"/>
      <c r="V24" s="10"/>
      <c r="W24" s="10"/>
      <c r="X24" s="10"/>
      <c r="Y24" s="10"/>
      <c r="Z24" s="10"/>
      <c r="AA24" s="10"/>
      <c r="AB24" s="10"/>
      <c r="AC24" s="10"/>
    </row>
    <row r="25" spans="1:29" ht="24">
      <c r="A25" s="6" t="s">
        <v>34</v>
      </c>
      <c r="B25" s="7">
        <v>102995.3567038</v>
      </c>
      <c r="C25" s="8">
        <v>518.70000000000005</v>
      </c>
      <c r="D25" s="8">
        <v>57.36</v>
      </c>
      <c r="E25" s="8">
        <v>598.15</v>
      </c>
      <c r="F25" s="9">
        <v>0.13282621416032755</v>
      </c>
      <c r="G25" s="8">
        <v>274</v>
      </c>
      <c r="H25" s="9">
        <v>0.89306569343065711</v>
      </c>
      <c r="I25" s="8">
        <v>510.4</v>
      </c>
      <c r="J25" s="9">
        <v>1.626175548589355E-2</v>
      </c>
      <c r="K25" s="10"/>
      <c r="L25" s="10"/>
      <c r="M25" s="10"/>
      <c r="N25" s="10"/>
      <c r="O25" s="10"/>
      <c r="P25" s="10"/>
      <c r="Q25" s="10"/>
      <c r="R25" s="10"/>
      <c r="S25" s="10"/>
      <c r="T25" s="10"/>
      <c r="U25" s="10"/>
      <c r="V25" s="10"/>
      <c r="W25" s="10"/>
      <c r="X25" s="10"/>
      <c r="Y25" s="10"/>
      <c r="Z25" s="10"/>
      <c r="AA25" s="10"/>
      <c r="AB25" s="10"/>
      <c r="AC25" s="10"/>
    </row>
    <row r="26" spans="1:29" ht="24">
      <c r="A26" s="6" t="s">
        <v>35</v>
      </c>
      <c r="B26" s="7">
        <v>74336.763066500003</v>
      </c>
      <c r="C26" s="8">
        <v>786.05</v>
      </c>
      <c r="D26" s="8">
        <v>35.28</v>
      </c>
      <c r="E26" s="8">
        <v>1028.6500000000001</v>
      </c>
      <c r="F26" s="9">
        <v>0.23584309531910769</v>
      </c>
      <c r="G26" s="8">
        <v>655.7</v>
      </c>
      <c r="H26" s="9">
        <v>0.1987951807228914</v>
      </c>
      <c r="I26" s="8">
        <v>780.25</v>
      </c>
      <c r="J26" s="9">
        <v>7.4335148990707523E-3</v>
      </c>
      <c r="K26" s="10"/>
      <c r="L26" s="10"/>
      <c r="M26" s="10"/>
      <c r="N26" s="10"/>
      <c r="O26" s="10"/>
      <c r="P26" s="10"/>
      <c r="Q26" s="10"/>
      <c r="R26" s="10"/>
      <c r="S26" s="10"/>
      <c r="T26" s="10"/>
      <c r="U26" s="10"/>
      <c r="V26" s="10"/>
      <c r="W26" s="10"/>
      <c r="X26" s="10"/>
      <c r="Y26" s="10"/>
      <c r="Z26" s="10"/>
      <c r="AA26" s="10"/>
      <c r="AB26" s="10"/>
      <c r="AC26" s="10"/>
    </row>
    <row r="27" spans="1:29" ht="24">
      <c r="A27" s="6" t="s">
        <v>36</v>
      </c>
      <c r="B27" s="7">
        <v>126813.4</v>
      </c>
      <c r="C27" s="8">
        <v>4289.8</v>
      </c>
      <c r="D27" s="8">
        <v>34.729999999999997</v>
      </c>
      <c r="E27" s="8">
        <v>4293.25</v>
      </c>
      <c r="F27" s="9">
        <v>8.0358702614565143E-4</v>
      </c>
      <c r="G27" s="8">
        <v>4147.45</v>
      </c>
      <c r="H27" s="9">
        <v>3.4322294421873768E-2</v>
      </c>
      <c r="I27" s="8">
        <v>4279.2</v>
      </c>
      <c r="J27" s="9">
        <v>2.4770985230885127E-3</v>
      </c>
      <c r="K27" s="10"/>
      <c r="L27" s="10"/>
      <c r="M27" s="10"/>
      <c r="N27" s="10"/>
      <c r="O27" s="10"/>
      <c r="P27" s="10"/>
      <c r="Q27" s="10"/>
      <c r="R27" s="10"/>
      <c r="S27" s="10"/>
      <c r="T27" s="10"/>
      <c r="U27" s="10"/>
      <c r="V27" s="10"/>
      <c r="W27" s="10"/>
      <c r="X27" s="10"/>
      <c r="Y27" s="10"/>
      <c r="Z27" s="10"/>
      <c r="AA27" s="10"/>
      <c r="AB27" s="10"/>
      <c r="AC27" s="10"/>
    </row>
    <row r="28" spans="1:29" ht="24">
      <c r="A28" s="6" t="s">
        <v>37</v>
      </c>
      <c r="B28" s="7">
        <v>73418.667839999995</v>
      </c>
      <c r="C28" s="8">
        <v>1167.55</v>
      </c>
      <c r="D28" s="8">
        <v>67.239999999999995</v>
      </c>
      <c r="E28" s="8">
        <v>1405.55</v>
      </c>
      <c r="F28" s="9">
        <v>0.16932873252463448</v>
      </c>
      <c r="G28" s="8">
        <v>1024.5</v>
      </c>
      <c r="H28" s="9">
        <v>0.1396290873596876</v>
      </c>
      <c r="I28" s="8">
        <v>1192.5999999999999</v>
      </c>
      <c r="J28" s="9">
        <v>-2.1004527922186784E-2</v>
      </c>
      <c r="K28" s="10"/>
      <c r="L28" s="10"/>
      <c r="M28" s="10"/>
      <c r="N28" s="10"/>
      <c r="O28" s="10"/>
      <c r="P28" s="10"/>
      <c r="Q28" s="10"/>
      <c r="R28" s="10"/>
      <c r="S28" s="10"/>
      <c r="T28" s="10"/>
      <c r="U28" s="10"/>
      <c r="V28" s="10"/>
      <c r="W28" s="10"/>
      <c r="X28" s="10"/>
      <c r="Y28" s="10"/>
      <c r="Z28" s="10"/>
      <c r="AA28" s="10"/>
      <c r="AB28" s="10"/>
      <c r="AC28" s="10"/>
    </row>
    <row r="29" spans="1:29" ht="24">
      <c r="A29" s="6" t="s">
        <v>38</v>
      </c>
      <c r="B29" s="7">
        <v>42070.769219599999</v>
      </c>
      <c r="C29" s="8">
        <v>147.6</v>
      </c>
      <c r="D29" s="8">
        <v>918.2</v>
      </c>
      <c r="E29" s="8">
        <v>348</v>
      </c>
      <c r="F29" s="9">
        <v>0.57586206896551728</v>
      </c>
      <c r="G29" s="8">
        <v>139.35</v>
      </c>
      <c r="H29" s="9">
        <v>5.9203444564047365E-2</v>
      </c>
      <c r="I29" s="8">
        <v>149.75</v>
      </c>
      <c r="J29" s="9">
        <v>-1.4357262103505882E-2</v>
      </c>
      <c r="K29" s="10"/>
      <c r="L29" s="10"/>
      <c r="M29" s="10"/>
      <c r="N29" s="10"/>
      <c r="O29" s="10"/>
      <c r="P29" s="10"/>
      <c r="Q29" s="10"/>
      <c r="R29" s="10"/>
      <c r="S29" s="10"/>
      <c r="T29" s="10"/>
      <c r="U29" s="10"/>
      <c r="V29" s="10"/>
      <c r="W29" s="10"/>
      <c r="X29" s="10"/>
      <c r="Y29" s="10"/>
      <c r="Z29" s="10"/>
      <c r="AA29" s="10"/>
      <c r="AB29" s="10"/>
      <c r="AC29" s="10"/>
    </row>
    <row r="30" spans="1:29" ht="48">
      <c r="A30" s="6" t="s">
        <v>39</v>
      </c>
      <c r="B30" s="7">
        <v>69898.962369700006</v>
      </c>
      <c r="C30" s="8">
        <v>752.8</v>
      </c>
      <c r="D30" s="8">
        <v>65.040000000000006</v>
      </c>
      <c r="E30" s="8">
        <v>861.15</v>
      </c>
      <c r="F30" s="9">
        <v>0.12582012425245315</v>
      </c>
      <c r="G30" s="8">
        <v>650.20000000000005</v>
      </c>
      <c r="H30" s="9">
        <v>0.15779760073823423</v>
      </c>
      <c r="I30" s="8">
        <v>754.25</v>
      </c>
      <c r="J30" s="9">
        <v>-1.9224395094465303E-3</v>
      </c>
      <c r="K30" s="10"/>
      <c r="L30" s="10"/>
      <c r="M30" s="10"/>
      <c r="N30" s="10"/>
      <c r="O30" s="10"/>
      <c r="P30" s="10"/>
      <c r="Q30" s="10"/>
      <c r="R30" s="10"/>
      <c r="S30" s="10"/>
      <c r="T30" s="10"/>
      <c r="U30" s="10"/>
      <c r="V30" s="10"/>
      <c r="W30" s="10"/>
      <c r="X30" s="10"/>
      <c r="Y30" s="10"/>
      <c r="Z30" s="10"/>
      <c r="AA30" s="10"/>
      <c r="AB30" s="10"/>
      <c r="AC30" s="10"/>
    </row>
    <row r="31" spans="1:29" ht="24">
      <c r="A31" s="6" t="s">
        <v>40</v>
      </c>
      <c r="B31" s="7">
        <v>66015.776955299996</v>
      </c>
      <c r="C31" s="8">
        <v>206.55</v>
      </c>
      <c r="D31" s="8">
        <v>25.89</v>
      </c>
      <c r="E31" s="8">
        <v>298</v>
      </c>
      <c r="F31" s="9">
        <v>0.30687919463087243</v>
      </c>
      <c r="G31" s="8">
        <v>190</v>
      </c>
      <c r="H31" s="9">
        <v>8.7105263157894797E-2</v>
      </c>
      <c r="I31" s="8">
        <v>205.65</v>
      </c>
      <c r="J31" s="9">
        <v>4.3763676148796775E-3</v>
      </c>
      <c r="K31" s="10"/>
      <c r="L31" s="10"/>
      <c r="M31" s="10"/>
      <c r="N31" s="10"/>
      <c r="O31" s="10"/>
      <c r="P31" s="10"/>
      <c r="Q31" s="10"/>
      <c r="R31" s="10"/>
      <c r="S31" s="10"/>
      <c r="T31" s="10"/>
      <c r="U31" s="10"/>
      <c r="V31" s="10"/>
      <c r="W31" s="10"/>
      <c r="X31" s="10"/>
      <c r="Y31" s="10"/>
      <c r="Z31" s="10"/>
      <c r="AA31" s="10"/>
      <c r="AB31" s="10"/>
      <c r="AC31" s="10"/>
    </row>
    <row r="32" spans="1:29" ht="24">
      <c r="A32" s="6" t="s">
        <v>41</v>
      </c>
      <c r="B32" s="7">
        <v>64133.35</v>
      </c>
      <c r="C32" s="8">
        <v>497.5</v>
      </c>
      <c r="D32" s="8">
        <v>52.21</v>
      </c>
      <c r="E32" s="8">
        <v>554.35</v>
      </c>
      <c r="F32" s="9">
        <v>0.10255253900965097</v>
      </c>
      <c r="G32" s="8">
        <v>455.65</v>
      </c>
      <c r="H32" s="9">
        <v>9.1846812246241694E-2</v>
      </c>
      <c r="I32" s="8">
        <v>501.6</v>
      </c>
      <c r="J32" s="9">
        <v>-8.1738437001595346E-3</v>
      </c>
      <c r="K32" s="10"/>
      <c r="L32" s="10"/>
      <c r="M32" s="10"/>
      <c r="N32" s="10"/>
      <c r="O32" s="10"/>
      <c r="P32" s="10"/>
      <c r="Q32" s="10"/>
      <c r="R32" s="10"/>
      <c r="S32" s="10"/>
      <c r="T32" s="10"/>
      <c r="U32" s="10"/>
      <c r="V32" s="10"/>
      <c r="W32" s="10"/>
      <c r="X32" s="10"/>
      <c r="Y32" s="10"/>
      <c r="Z32" s="10"/>
      <c r="AA32" s="10"/>
      <c r="AB32" s="10"/>
      <c r="AC32" s="10"/>
    </row>
    <row r="33" spans="1:29" ht="24">
      <c r="A33" s="6" t="s">
        <v>42</v>
      </c>
      <c r="B33" s="7">
        <v>54643.261700399999</v>
      </c>
      <c r="C33" s="8">
        <v>564</v>
      </c>
      <c r="D33" s="8">
        <v>57.95</v>
      </c>
      <c r="E33" s="8">
        <v>793.05</v>
      </c>
      <c r="F33" s="9">
        <v>0.28882163797995081</v>
      </c>
      <c r="G33" s="8">
        <v>543.6</v>
      </c>
      <c r="H33" s="9">
        <v>3.7527593818984503E-2</v>
      </c>
      <c r="I33" s="8">
        <v>561.95000000000005</v>
      </c>
      <c r="J33" s="9">
        <v>3.6480113889135234E-3</v>
      </c>
      <c r="K33" s="10"/>
      <c r="L33" s="10"/>
      <c r="M33" s="10"/>
      <c r="N33" s="10"/>
      <c r="O33" s="10"/>
      <c r="P33" s="10"/>
      <c r="Q33" s="10"/>
      <c r="R33" s="10"/>
      <c r="S33" s="10"/>
      <c r="T33" s="10"/>
      <c r="U33" s="10"/>
      <c r="V33" s="10"/>
      <c r="W33" s="10"/>
      <c r="X33" s="10"/>
      <c r="Y33" s="10"/>
      <c r="Z33" s="10"/>
      <c r="AA33" s="10"/>
      <c r="AB33" s="10"/>
      <c r="AC33" s="10"/>
    </row>
    <row r="34" spans="1:29" ht="24">
      <c r="A34" s="6" t="s">
        <v>43</v>
      </c>
      <c r="B34" s="7">
        <v>52280.081333900001</v>
      </c>
      <c r="C34" s="8">
        <v>77.150000000000006</v>
      </c>
      <c r="D34" s="8">
        <v>67.22</v>
      </c>
      <c r="E34" s="8">
        <v>165.03</v>
      </c>
      <c r="F34" s="9">
        <v>0.5325092407441071</v>
      </c>
      <c r="G34" s="8">
        <v>61.85</v>
      </c>
      <c r="H34" s="9">
        <v>0.24737267582861769</v>
      </c>
      <c r="I34" s="8">
        <v>78.150000000000006</v>
      </c>
      <c r="J34" s="9">
        <v>-1.2795905310300703E-2</v>
      </c>
      <c r="K34" s="10"/>
      <c r="L34" s="10"/>
      <c r="M34" s="10"/>
      <c r="N34" s="10"/>
      <c r="O34" s="10"/>
      <c r="P34" s="10"/>
      <c r="Q34" s="10"/>
      <c r="R34" s="10"/>
      <c r="S34" s="10"/>
      <c r="T34" s="10"/>
      <c r="U34" s="10"/>
      <c r="V34" s="10"/>
      <c r="W34" s="10"/>
      <c r="X34" s="10"/>
      <c r="Y34" s="10"/>
      <c r="Z34" s="10"/>
      <c r="AA34" s="10"/>
      <c r="AB34" s="10"/>
      <c r="AC34" s="10"/>
    </row>
    <row r="35" spans="1:29" ht="24">
      <c r="A35" s="6" t="s">
        <v>44</v>
      </c>
      <c r="B35" s="7">
        <v>54522.74</v>
      </c>
      <c r="C35" s="8">
        <v>2732</v>
      </c>
      <c r="D35" s="8">
        <v>21.06</v>
      </c>
      <c r="E35" s="8">
        <v>2938.6</v>
      </c>
      <c r="F35" s="9">
        <v>7.0305587694820634E-2</v>
      </c>
      <c r="G35" s="8">
        <v>2146.85</v>
      </c>
      <c r="H35" s="9">
        <v>0.27256212590539636</v>
      </c>
      <c r="I35" s="8">
        <v>2694.25</v>
      </c>
      <c r="J35" s="9">
        <v>1.4011320404565278E-2</v>
      </c>
      <c r="K35" s="10"/>
      <c r="L35" s="10"/>
      <c r="M35" s="10"/>
      <c r="N35" s="10"/>
      <c r="O35" s="10"/>
      <c r="P35" s="10"/>
      <c r="Q35" s="10"/>
      <c r="R35" s="10"/>
      <c r="S35" s="10"/>
      <c r="T35" s="10"/>
      <c r="U35" s="10"/>
      <c r="V35" s="10"/>
      <c r="W35" s="10"/>
      <c r="X35" s="10"/>
      <c r="Y35" s="10"/>
      <c r="Z35" s="10"/>
      <c r="AA35" s="10"/>
      <c r="AB35" s="10"/>
      <c r="AC35" s="10"/>
    </row>
    <row r="36" spans="1:29" ht="24">
      <c r="A36" s="6" t="s">
        <v>45</v>
      </c>
      <c r="B36" s="7">
        <v>44392.394999999997</v>
      </c>
      <c r="C36" s="8">
        <v>53.25</v>
      </c>
      <c r="D36" s="8" t="s">
        <v>16</v>
      </c>
      <c r="E36" s="8">
        <v>135.35</v>
      </c>
      <c r="F36" s="9">
        <v>0.60657554488363497</v>
      </c>
      <c r="G36" s="8">
        <v>40.549999999999997</v>
      </c>
      <c r="H36" s="9">
        <v>0.3131935881627621</v>
      </c>
      <c r="I36" s="8">
        <v>53.75</v>
      </c>
      <c r="J36" s="9">
        <v>-9.3023255813953487E-3</v>
      </c>
      <c r="K36" s="10"/>
      <c r="L36" s="10"/>
      <c r="M36" s="10"/>
      <c r="N36" s="10"/>
      <c r="O36" s="10"/>
      <c r="P36" s="10"/>
      <c r="Q36" s="10"/>
      <c r="R36" s="10"/>
      <c r="S36" s="10"/>
      <c r="T36" s="10"/>
      <c r="U36" s="10"/>
      <c r="V36" s="10"/>
      <c r="W36" s="10"/>
      <c r="X36" s="10"/>
      <c r="Y36" s="10"/>
      <c r="Z36" s="10"/>
      <c r="AA36" s="10"/>
      <c r="AB36" s="10"/>
      <c r="AC36" s="10"/>
    </row>
    <row r="37" spans="1:29" ht="24">
      <c r="A37" s="6" t="s">
        <v>46</v>
      </c>
      <c r="B37" s="7">
        <v>48135.11</v>
      </c>
      <c r="C37" s="8">
        <v>3731.8</v>
      </c>
      <c r="D37" s="8">
        <v>8.76</v>
      </c>
      <c r="E37" s="8">
        <v>5790</v>
      </c>
      <c r="F37" s="9">
        <v>0.35547495682210706</v>
      </c>
      <c r="G37" s="8">
        <v>3314</v>
      </c>
      <c r="H37" s="9">
        <v>0.12607121303560656</v>
      </c>
      <c r="I37" s="8">
        <v>3719.3</v>
      </c>
      <c r="J37" s="9">
        <v>3.3608474712983625E-3</v>
      </c>
      <c r="K37" s="10"/>
      <c r="L37" s="10"/>
      <c r="M37" s="10"/>
      <c r="N37" s="10"/>
      <c r="O37" s="10"/>
      <c r="P37" s="10"/>
      <c r="Q37" s="10"/>
      <c r="R37" s="10"/>
      <c r="S37" s="10"/>
      <c r="T37" s="10"/>
      <c r="U37" s="10"/>
      <c r="V37" s="10"/>
      <c r="W37" s="10"/>
      <c r="X37" s="10"/>
      <c r="Y37" s="10"/>
      <c r="Z37" s="10"/>
      <c r="AA37" s="10"/>
      <c r="AB37" s="10"/>
      <c r="AC37" s="10"/>
    </row>
    <row r="38" spans="1:29" ht="24">
      <c r="A38" s="6" t="s">
        <v>47</v>
      </c>
      <c r="B38" s="7">
        <v>38754.622388999996</v>
      </c>
      <c r="C38" s="8">
        <v>6223</v>
      </c>
      <c r="D38" s="8">
        <v>57.85</v>
      </c>
      <c r="E38" s="8">
        <v>10760</v>
      </c>
      <c r="F38" s="9">
        <v>0.42165427509293679</v>
      </c>
      <c r="G38" s="8">
        <v>5709.05</v>
      </c>
      <c r="H38" s="9">
        <v>9.0023734246503326E-2</v>
      </c>
      <c r="I38" s="8">
        <v>6196.65</v>
      </c>
      <c r="J38" s="9">
        <v>4.2522976124196726E-3</v>
      </c>
      <c r="K38" s="10"/>
      <c r="L38" s="10"/>
      <c r="M38" s="10"/>
      <c r="N38" s="10"/>
      <c r="O38" s="10"/>
      <c r="P38" s="10"/>
      <c r="Q38" s="10"/>
      <c r="R38" s="10"/>
      <c r="S38" s="10"/>
      <c r="T38" s="10"/>
      <c r="U38" s="10"/>
      <c r="V38" s="10"/>
      <c r="W38" s="10"/>
      <c r="X38" s="10"/>
      <c r="Y38" s="10"/>
      <c r="Z38" s="10"/>
      <c r="AA38" s="10"/>
      <c r="AB38" s="10"/>
      <c r="AC38" s="10"/>
    </row>
    <row r="39" spans="1:29" ht="24">
      <c r="A39" s="6" t="s">
        <v>48</v>
      </c>
      <c r="B39" s="7">
        <v>53833.660580600001</v>
      </c>
      <c r="C39" s="8">
        <v>718.45</v>
      </c>
      <c r="D39" s="8">
        <v>13.58</v>
      </c>
      <c r="E39" s="8">
        <v>848</v>
      </c>
      <c r="F39" s="9">
        <v>0.15277122641509427</v>
      </c>
      <c r="G39" s="8">
        <v>607.79999999999995</v>
      </c>
      <c r="H39" s="9">
        <v>0.18205001645278068</v>
      </c>
      <c r="I39" s="8">
        <v>719.05</v>
      </c>
      <c r="J39" s="9">
        <v>-8.3443432306502894E-4</v>
      </c>
      <c r="K39" s="10"/>
      <c r="L39" s="10"/>
      <c r="M39" s="10"/>
      <c r="N39" s="10"/>
      <c r="O39" s="10"/>
      <c r="P39" s="10"/>
      <c r="Q39" s="10"/>
      <c r="R39" s="10"/>
      <c r="S39" s="10"/>
      <c r="T39" s="10"/>
      <c r="U39" s="10"/>
      <c r="V39" s="10"/>
      <c r="W39" s="10"/>
      <c r="X39" s="10"/>
      <c r="Y39" s="10"/>
      <c r="Z39" s="10"/>
      <c r="AA39" s="10"/>
      <c r="AB39" s="10"/>
      <c r="AC39" s="10"/>
    </row>
    <row r="40" spans="1:29" ht="24">
      <c r="A40" s="6" t="s">
        <v>49</v>
      </c>
      <c r="B40" s="7">
        <v>51348.003855299998</v>
      </c>
      <c r="C40" s="8">
        <v>641</v>
      </c>
      <c r="D40" s="8">
        <v>57.32</v>
      </c>
      <c r="E40" s="8">
        <v>918.65</v>
      </c>
      <c r="F40" s="9">
        <v>0.30223697817449519</v>
      </c>
      <c r="G40" s="8">
        <v>557</v>
      </c>
      <c r="H40" s="9">
        <v>0.15080789946140036</v>
      </c>
      <c r="I40" s="8">
        <v>640.65</v>
      </c>
      <c r="J40" s="9">
        <v>5.4632014360418756E-4</v>
      </c>
      <c r="K40" s="10"/>
      <c r="L40" s="10"/>
      <c r="M40" s="10"/>
      <c r="N40" s="10"/>
      <c r="O40" s="10"/>
      <c r="P40" s="10"/>
      <c r="Q40" s="10"/>
      <c r="R40" s="10"/>
      <c r="S40" s="10"/>
      <c r="T40" s="10"/>
      <c r="U40" s="10"/>
      <c r="V40" s="10"/>
      <c r="W40" s="10"/>
      <c r="X40" s="10"/>
      <c r="Y40" s="10"/>
      <c r="Z40" s="10"/>
      <c r="AA40" s="10"/>
      <c r="AB40" s="10"/>
      <c r="AC40" s="10"/>
    </row>
    <row r="41" spans="1:29" ht="24">
      <c r="A41" s="6" t="s">
        <v>50</v>
      </c>
      <c r="B41" s="7">
        <v>38329.828600000001</v>
      </c>
      <c r="C41" s="8">
        <v>237.75</v>
      </c>
      <c r="D41" s="8">
        <v>9.94</v>
      </c>
      <c r="E41" s="8">
        <v>349.55</v>
      </c>
      <c r="F41" s="9">
        <v>0.31983979402088403</v>
      </c>
      <c r="G41" s="8">
        <v>209.55</v>
      </c>
      <c r="H41" s="9">
        <v>0.13457408732999279</v>
      </c>
      <c r="I41" s="8">
        <v>239.25</v>
      </c>
      <c r="J41" s="9">
        <v>-6.269592476489028E-3</v>
      </c>
      <c r="K41" s="10"/>
      <c r="L41" s="10"/>
      <c r="M41" s="10"/>
      <c r="N41" s="10"/>
      <c r="O41" s="10"/>
      <c r="P41" s="10"/>
      <c r="Q41" s="10"/>
      <c r="R41" s="10"/>
      <c r="S41" s="10"/>
      <c r="T41" s="10"/>
      <c r="U41" s="10"/>
      <c r="V41" s="10"/>
      <c r="W41" s="10"/>
      <c r="X41" s="10"/>
      <c r="Y41" s="10"/>
      <c r="Z41" s="10"/>
      <c r="AA41" s="10"/>
      <c r="AB41" s="10"/>
      <c r="AC41" s="10"/>
    </row>
    <row r="42" spans="1:29" ht="24">
      <c r="A42" s="6" t="s">
        <v>51</v>
      </c>
      <c r="B42" s="7">
        <v>44894.62</v>
      </c>
      <c r="C42" s="8">
        <v>40260</v>
      </c>
      <c r="D42" s="8">
        <v>61.16</v>
      </c>
      <c r="E42" s="8">
        <v>54349.1</v>
      </c>
      <c r="F42" s="9">
        <v>0.25923336356995791</v>
      </c>
      <c r="G42" s="8">
        <v>37825</v>
      </c>
      <c r="H42" s="9">
        <v>6.4375413086582942E-2</v>
      </c>
      <c r="I42" s="8">
        <v>40639.050000000003</v>
      </c>
      <c r="J42" s="9">
        <v>-9.327235749851507E-3</v>
      </c>
      <c r="K42" s="10"/>
      <c r="L42" s="10"/>
      <c r="M42" s="10"/>
      <c r="N42" s="10"/>
      <c r="O42" s="10"/>
      <c r="P42" s="10"/>
      <c r="Q42" s="10"/>
      <c r="R42" s="10"/>
      <c r="S42" s="10"/>
      <c r="T42" s="10"/>
      <c r="U42" s="10"/>
      <c r="V42" s="10"/>
      <c r="W42" s="10"/>
      <c r="X42" s="10"/>
      <c r="Y42" s="10"/>
      <c r="Z42" s="10"/>
      <c r="AA42" s="10"/>
      <c r="AB42" s="10"/>
      <c r="AC42" s="10"/>
    </row>
    <row r="43" spans="1:29" ht="24">
      <c r="A43" s="6" t="s">
        <v>52</v>
      </c>
      <c r="B43" s="7">
        <v>45155.216249999998</v>
      </c>
      <c r="C43" s="8">
        <v>13875</v>
      </c>
      <c r="D43" s="8">
        <v>87.99</v>
      </c>
      <c r="E43" s="8">
        <v>16466.400000000001</v>
      </c>
      <c r="F43" s="9">
        <v>0.15737501821891861</v>
      </c>
      <c r="G43" s="8">
        <v>12751</v>
      </c>
      <c r="H43" s="9">
        <v>8.8149949023605997E-2</v>
      </c>
      <c r="I43" s="8">
        <v>13925.15</v>
      </c>
      <c r="J43" s="9">
        <v>-3.6013974714814304E-3</v>
      </c>
      <c r="K43" s="10"/>
      <c r="L43" s="10"/>
      <c r="M43" s="10"/>
      <c r="N43" s="10"/>
      <c r="O43" s="10"/>
      <c r="P43" s="10"/>
      <c r="Q43" s="10"/>
      <c r="R43" s="10"/>
      <c r="S43" s="10"/>
      <c r="T43" s="10"/>
      <c r="U43" s="10"/>
      <c r="V43" s="10"/>
      <c r="W43" s="10"/>
      <c r="X43" s="10"/>
      <c r="Y43" s="10"/>
      <c r="Z43" s="10"/>
      <c r="AA43" s="10"/>
      <c r="AB43" s="10"/>
      <c r="AC43" s="10"/>
    </row>
    <row r="44" spans="1:29" ht="24">
      <c r="A44" s="6" t="s">
        <v>53</v>
      </c>
      <c r="B44" s="7">
        <v>38348.867277899997</v>
      </c>
      <c r="C44" s="8">
        <v>2035.55</v>
      </c>
      <c r="D44" s="8">
        <v>24.59</v>
      </c>
      <c r="E44" s="8">
        <v>3466.4</v>
      </c>
      <c r="F44" s="9">
        <v>0.41277694438033696</v>
      </c>
      <c r="G44" s="8">
        <v>1897.35</v>
      </c>
      <c r="H44" s="9">
        <v>7.2838432550662788E-2</v>
      </c>
      <c r="I44" s="8">
        <v>2013.55</v>
      </c>
      <c r="J44" s="9">
        <v>1.0925976509150505E-2</v>
      </c>
      <c r="K44" s="10"/>
      <c r="L44" s="10"/>
      <c r="M44" s="10"/>
      <c r="N44" s="10"/>
      <c r="O44" s="10"/>
      <c r="P44" s="10"/>
      <c r="Q44" s="10"/>
      <c r="R44" s="10"/>
      <c r="S44" s="10"/>
      <c r="T44" s="10"/>
      <c r="U44" s="10"/>
      <c r="V44" s="10"/>
      <c r="W44" s="10"/>
      <c r="X44" s="10"/>
      <c r="Y44" s="10"/>
      <c r="Z44" s="10"/>
      <c r="AA44" s="10"/>
      <c r="AB44" s="10"/>
      <c r="AC44" s="10"/>
    </row>
    <row r="45" spans="1:29" ht="24">
      <c r="A45" s="6" t="s">
        <v>54</v>
      </c>
      <c r="B45" s="7">
        <v>36419.923268999999</v>
      </c>
      <c r="C45" s="8">
        <v>559.9</v>
      </c>
      <c r="D45" s="8" t="s">
        <v>16</v>
      </c>
      <c r="E45" s="8">
        <v>1147.4000000000001</v>
      </c>
      <c r="F45" s="9">
        <v>0.51202719191214929</v>
      </c>
      <c r="G45" s="8">
        <v>439.6</v>
      </c>
      <c r="H45" s="9">
        <v>0.27365787079162862</v>
      </c>
      <c r="I45" s="8">
        <v>542.25</v>
      </c>
      <c r="J45" s="9">
        <v>3.2549562010142884E-2</v>
      </c>
      <c r="K45" s="10"/>
      <c r="L45" s="10"/>
      <c r="M45" s="10"/>
      <c r="N45" s="10"/>
      <c r="O45" s="10"/>
      <c r="P45" s="10"/>
      <c r="Q45" s="10"/>
      <c r="R45" s="10"/>
      <c r="S45" s="10"/>
      <c r="T45" s="10"/>
      <c r="U45" s="10"/>
      <c r="V45" s="10"/>
      <c r="W45" s="10"/>
      <c r="X45" s="10"/>
      <c r="Y45" s="10"/>
      <c r="Z45" s="10"/>
      <c r="AA45" s="10"/>
      <c r="AB45" s="10"/>
      <c r="AC45" s="10"/>
    </row>
    <row r="46" spans="1:29" ht="48">
      <c r="A46" s="6" t="s">
        <v>55</v>
      </c>
      <c r="B46" s="7">
        <v>43195.870417700004</v>
      </c>
      <c r="C46" s="8">
        <v>2229</v>
      </c>
      <c r="D46" s="8">
        <v>30.72</v>
      </c>
      <c r="E46" s="8">
        <v>2537.4499999999998</v>
      </c>
      <c r="F46" s="9">
        <v>0.12155904549843341</v>
      </c>
      <c r="G46" s="8">
        <v>1690.55</v>
      </c>
      <c r="H46" s="9">
        <v>0.31850581171807996</v>
      </c>
      <c r="I46" s="8">
        <v>2214.25</v>
      </c>
      <c r="J46" s="9">
        <v>6.6613977644800725E-3</v>
      </c>
      <c r="K46" s="10"/>
      <c r="L46" s="10"/>
      <c r="M46" s="10"/>
      <c r="N46" s="10"/>
      <c r="O46" s="10"/>
      <c r="P46" s="10"/>
      <c r="Q46" s="10"/>
      <c r="R46" s="10"/>
      <c r="S46" s="10"/>
      <c r="T46" s="10"/>
      <c r="U46" s="10"/>
      <c r="V46" s="10"/>
      <c r="W46" s="10"/>
      <c r="X46" s="10"/>
      <c r="Y46" s="10"/>
      <c r="Z46" s="10"/>
      <c r="AA46" s="10"/>
      <c r="AB46" s="10"/>
      <c r="AC46" s="10"/>
    </row>
    <row r="47" spans="1:29" ht="24">
      <c r="A47" s="6" t="s">
        <v>56</v>
      </c>
      <c r="B47" s="7">
        <v>43190.429962000002</v>
      </c>
      <c r="C47" s="8">
        <v>146.94999999999999</v>
      </c>
      <c r="D47" s="8">
        <v>227.06</v>
      </c>
      <c r="E47" s="8">
        <v>169.45</v>
      </c>
      <c r="F47" s="9">
        <v>0.13278253172027146</v>
      </c>
      <c r="G47" s="8">
        <v>93.2</v>
      </c>
      <c r="H47" s="9">
        <v>0.57671673819742475</v>
      </c>
      <c r="I47" s="8">
        <v>146.80000000000001</v>
      </c>
      <c r="J47" s="9">
        <v>1.0217983651224609E-3</v>
      </c>
      <c r="K47" s="10"/>
      <c r="L47" s="10"/>
      <c r="M47" s="10"/>
      <c r="N47" s="10"/>
      <c r="O47" s="10"/>
      <c r="P47" s="10"/>
      <c r="Q47" s="10"/>
      <c r="R47" s="10"/>
      <c r="S47" s="10"/>
      <c r="T47" s="10"/>
      <c r="U47" s="10"/>
      <c r="V47" s="10"/>
      <c r="W47" s="10"/>
      <c r="X47" s="10"/>
      <c r="Y47" s="10"/>
      <c r="Z47" s="10"/>
      <c r="AA47" s="10"/>
      <c r="AB47" s="10"/>
      <c r="AC47" s="10"/>
    </row>
    <row r="48" spans="1:29" ht="24">
      <c r="A48" s="6" t="s">
        <v>57</v>
      </c>
      <c r="B48" s="7">
        <v>42774.199159999996</v>
      </c>
      <c r="C48" s="8">
        <v>1065.5</v>
      </c>
      <c r="D48" s="8">
        <v>11.41</v>
      </c>
      <c r="E48" s="8">
        <v>1526.4</v>
      </c>
      <c r="F48" s="9">
        <v>0.30195230607966461</v>
      </c>
      <c r="G48" s="8">
        <v>950.2</v>
      </c>
      <c r="H48" s="9">
        <v>0.12134287518417169</v>
      </c>
      <c r="I48" s="8">
        <v>1063.3</v>
      </c>
      <c r="J48" s="9">
        <v>2.0690303771278523E-3</v>
      </c>
      <c r="K48" s="10"/>
      <c r="L48" s="10"/>
      <c r="M48" s="10"/>
      <c r="N48" s="10"/>
      <c r="O48" s="10"/>
      <c r="P48" s="10"/>
      <c r="Q48" s="10"/>
      <c r="R48" s="10"/>
      <c r="S48" s="10"/>
      <c r="T48" s="10"/>
      <c r="U48" s="10"/>
      <c r="V48" s="10"/>
      <c r="W48" s="10"/>
      <c r="X48" s="10"/>
      <c r="Y48" s="10"/>
      <c r="Z48" s="10"/>
      <c r="AA48" s="10"/>
      <c r="AB48" s="10"/>
      <c r="AC48" s="10"/>
    </row>
    <row r="49" spans="1:29" ht="24">
      <c r="A49" s="6" t="s">
        <v>58</v>
      </c>
      <c r="B49" s="7">
        <v>42833.63</v>
      </c>
      <c r="C49" s="8">
        <v>1625</v>
      </c>
      <c r="D49" s="8">
        <v>78.069999999999993</v>
      </c>
      <c r="E49" s="8">
        <v>1806.45</v>
      </c>
      <c r="F49" s="9">
        <v>0.10044562539787984</v>
      </c>
      <c r="G49" s="8">
        <v>1274.5</v>
      </c>
      <c r="H49" s="9">
        <v>0.27500980776775208</v>
      </c>
      <c r="I49" s="8">
        <v>1644.15</v>
      </c>
      <c r="J49" s="9">
        <v>-1.1647355776541125E-2</v>
      </c>
      <c r="K49" s="10"/>
      <c r="L49" s="10"/>
      <c r="M49" s="10"/>
      <c r="N49" s="10"/>
      <c r="O49" s="10"/>
      <c r="P49" s="10"/>
      <c r="Q49" s="10"/>
      <c r="R49" s="10"/>
      <c r="S49" s="10"/>
      <c r="T49" s="10"/>
      <c r="U49" s="10"/>
      <c r="V49" s="10"/>
      <c r="W49" s="10"/>
      <c r="X49" s="10"/>
      <c r="Y49" s="10"/>
      <c r="Z49" s="10"/>
      <c r="AA49" s="10"/>
      <c r="AB49" s="10"/>
      <c r="AC49" s="10"/>
    </row>
    <row r="50" spans="1:29" ht="24">
      <c r="A50" s="6" t="s">
        <v>59</v>
      </c>
      <c r="B50" s="7">
        <v>45934.43</v>
      </c>
      <c r="C50" s="8">
        <v>2148</v>
      </c>
      <c r="D50" s="8">
        <v>33.200000000000003</v>
      </c>
      <c r="E50" s="8">
        <v>2507.35</v>
      </c>
      <c r="F50" s="9">
        <v>0.14331864318902424</v>
      </c>
      <c r="G50" s="8">
        <v>1690</v>
      </c>
      <c r="H50" s="9">
        <v>0.2710059171597633</v>
      </c>
      <c r="I50" s="8">
        <v>2150.75</v>
      </c>
      <c r="J50" s="9">
        <v>-1.2786237359060793E-3</v>
      </c>
      <c r="K50" s="10"/>
      <c r="L50" s="10"/>
      <c r="M50" s="10"/>
      <c r="N50" s="10"/>
      <c r="O50" s="10"/>
      <c r="P50" s="10"/>
      <c r="Q50" s="10"/>
      <c r="R50" s="10"/>
      <c r="S50" s="10"/>
      <c r="T50" s="10"/>
      <c r="U50" s="10"/>
      <c r="V50" s="10"/>
      <c r="W50" s="10"/>
      <c r="X50" s="10"/>
      <c r="Y50" s="10"/>
      <c r="Z50" s="10"/>
      <c r="AA50" s="10"/>
      <c r="AB50" s="10"/>
      <c r="AC50" s="10"/>
    </row>
    <row r="51" spans="1:29" ht="24">
      <c r="A51" s="6" t="s">
        <v>60</v>
      </c>
      <c r="B51" s="7">
        <v>49475.634740000001</v>
      </c>
      <c r="C51" s="8">
        <v>3262</v>
      </c>
      <c r="D51" s="8">
        <v>48.33</v>
      </c>
      <c r="E51" s="8">
        <v>3698.45</v>
      </c>
      <c r="F51" s="9">
        <v>0.11800889561843471</v>
      </c>
      <c r="G51" s="8">
        <v>2333.5500000000002</v>
      </c>
      <c r="H51" s="9">
        <v>0.39787019776735005</v>
      </c>
      <c r="I51" s="8">
        <v>3292.65</v>
      </c>
      <c r="J51" s="9">
        <v>-9.308611604634592E-3</v>
      </c>
      <c r="K51" s="10"/>
      <c r="L51" s="10"/>
      <c r="M51" s="10"/>
      <c r="N51" s="10"/>
      <c r="O51" s="10"/>
      <c r="P51" s="10"/>
      <c r="Q51" s="10"/>
      <c r="R51" s="10"/>
      <c r="S51" s="10"/>
      <c r="T51" s="10"/>
      <c r="U51" s="10"/>
      <c r="V51" s="10"/>
      <c r="W51" s="10"/>
      <c r="X51" s="10"/>
      <c r="Y51" s="10"/>
      <c r="Z51" s="10"/>
      <c r="AA51" s="10"/>
      <c r="AB51" s="10"/>
      <c r="AC51" s="10"/>
    </row>
    <row r="52" spans="1:29" ht="24">
      <c r="A52" s="6" t="s">
        <v>61</v>
      </c>
      <c r="B52" s="7">
        <v>47610.86</v>
      </c>
      <c r="C52" s="8">
        <v>999.5</v>
      </c>
      <c r="D52" s="8">
        <v>39.03</v>
      </c>
      <c r="E52" s="8">
        <v>1177</v>
      </c>
      <c r="F52" s="9">
        <v>0.15080713678844521</v>
      </c>
      <c r="G52" s="8">
        <v>513</v>
      </c>
      <c r="H52" s="9">
        <v>0.94834307992202727</v>
      </c>
      <c r="I52" s="8">
        <v>1005.2</v>
      </c>
      <c r="J52" s="9">
        <v>-5.6705133306805067E-3</v>
      </c>
      <c r="K52" s="10"/>
      <c r="L52" s="10"/>
      <c r="M52" s="10"/>
      <c r="N52" s="10"/>
      <c r="O52" s="10"/>
      <c r="P52" s="10"/>
      <c r="Q52" s="10"/>
      <c r="R52" s="10"/>
      <c r="S52" s="10"/>
      <c r="T52" s="10"/>
      <c r="U52" s="10"/>
      <c r="V52" s="10"/>
      <c r="W52" s="10"/>
      <c r="X52" s="10"/>
      <c r="Y52" s="10"/>
      <c r="Z52" s="10"/>
      <c r="AA52" s="10"/>
      <c r="AB52" s="10"/>
      <c r="AC52" s="10"/>
    </row>
    <row r="53" spans="1:29" ht="24">
      <c r="A53" s="6" t="s">
        <v>62</v>
      </c>
      <c r="B53" s="7">
        <v>42896.593967499997</v>
      </c>
      <c r="C53" s="8">
        <v>1205.75</v>
      </c>
      <c r="D53" s="8">
        <v>117.93</v>
      </c>
      <c r="E53" s="8">
        <v>1571</v>
      </c>
      <c r="F53" s="9">
        <v>0.23249522597071928</v>
      </c>
      <c r="G53" s="8">
        <v>983.7</v>
      </c>
      <c r="H53" s="9">
        <v>0.22572938904137435</v>
      </c>
      <c r="I53" s="8">
        <v>1208.55</v>
      </c>
      <c r="J53" s="9">
        <v>-2.3168259484505852E-3</v>
      </c>
      <c r="K53" s="10"/>
      <c r="L53" s="10"/>
      <c r="M53" s="10"/>
      <c r="N53" s="10"/>
      <c r="O53" s="10"/>
      <c r="P53" s="10"/>
      <c r="Q53" s="10"/>
      <c r="R53" s="10"/>
      <c r="S53" s="10"/>
      <c r="T53" s="10"/>
      <c r="U53" s="10"/>
      <c r="V53" s="10"/>
      <c r="W53" s="10"/>
      <c r="X53" s="10"/>
      <c r="Y53" s="10"/>
      <c r="Z53" s="10"/>
      <c r="AA53" s="10"/>
      <c r="AB53" s="10"/>
      <c r="AC53" s="10"/>
    </row>
    <row r="54" spans="1:29" ht="24">
      <c r="A54" s="6" t="s">
        <v>63</v>
      </c>
      <c r="B54" s="7">
        <v>24962.916217499998</v>
      </c>
      <c r="C54" s="8">
        <v>426</v>
      </c>
      <c r="D54" s="8">
        <v>69.239999999999995</v>
      </c>
      <c r="E54" s="8">
        <v>795</v>
      </c>
      <c r="F54" s="9">
        <v>0.46415094339622642</v>
      </c>
      <c r="G54" s="8">
        <v>397.35</v>
      </c>
      <c r="H54" s="9">
        <v>7.210268025670058E-2</v>
      </c>
      <c r="I54" s="8">
        <v>428.65</v>
      </c>
      <c r="J54" s="9">
        <v>-6.1821999300127779E-3</v>
      </c>
      <c r="K54" s="10"/>
      <c r="L54" s="10"/>
      <c r="M54" s="10"/>
      <c r="N54" s="10"/>
      <c r="O54" s="10"/>
      <c r="P54" s="10"/>
      <c r="Q54" s="10"/>
      <c r="R54" s="10"/>
      <c r="S54" s="10"/>
      <c r="T54" s="10"/>
      <c r="U54" s="10"/>
      <c r="V54" s="10"/>
      <c r="W54" s="10"/>
      <c r="X54" s="10"/>
      <c r="Y54" s="10"/>
      <c r="Z54" s="10"/>
      <c r="AA54" s="10"/>
      <c r="AB54" s="10"/>
      <c r="AC54" s="10"/>
    </row>
    <row r="55" spans="1:29" ht="24">
      <c r="A55" s="6" t="s">
        <v>64</v>
      </c>
      <c r="B55" s="7">
        <v>41248.67</v>
      </c>
      <c r="C55" s="8">
        <v>2046.5</v>
      </c>
      <c r="D55" s="8">
        <v>96.08</v>
      </c>
      <c r="E55" s="8">
        <v>2654.8</v>
      </c>
      <c r="F55" s="9">
        <v>0.22913213801416307</v>
      </c>
      <c r="G55" s="8">
        <v>1581.55</v>
      </c>
      <c r="H55" s="9">
        <v>0.2939837501185546</v>
      </c>
      <c r="I55" s="8">
        <v>2063.75</v>
      </c>
      <c r="J55" s="9">
        <v>-8.3585705632949724E-3</v>
      </c>
      <c r="K55" s="10"/>
      <c r="L55" s="10"/>
      <c r="M55" s="10"/>
      <c r="N55" s="10"/>
      <c r="O55" s="10"/>
      <c r="P55" s="10"/>
      <c r="Q55" s="10"/>
      <c r="R55" s="10"/>
      <c r="S55" s="10"/>
      <c r="T55" s="10"/>
      <c r="U55" s="10"/>
      <c r="V55" s="10"/>
      <c r="W55" s="10"/>
      <c r="X55" s="10"/>
      <c r="Y55" s="10"/>
      <c r="Z55" s="10"/>
      <c r="AA55" s="10"/>
      <c r="AB55" s="10"/>
      <c r="AC55" s="10"/>
    </row>
    <row r="56" spans="1:29" ht="24">
      <c r="A56" s="6" t="s">
        <v>65</v>
      </c>
      <c r="B56" s="7">
        <v>39945.402229899999</v>
      </c>
      <c r="C56" s="8">
        <v>2662</v>
      </c>
      <c r="D56" s="8">
        <v>35.5</v>
      </c>
      <c r="E56" s="8">
        <v>3025</v>
      </c>
      <c r="F56" s="9">
        <v>0.12</v>
      </c>
      <c r="G56" s="8">
        <v>2043.85</v>
      </c>
      <c r="H56" s="9">
        <v>0.30244391711720531</v>
      </c>
      <c r="I56" s="8">
        <v>2677.05</v>
      </c>
      <c r="J56" s="9">
        <v>-5.621859883080324E-3</v>
      </c>
      <c r="K56" s="10"/>
      <c r="L56" s="10"/>
      <c r="M56" s="10"/>
      <c r="N56" s="10"/>
      <c r="O56" s="10"/>
      <c r="P56" s="10"/>
      <c r="Q56" s="10"/>
      <c r="R56" s="10"/>
      <c r="S56" s="10"/>
      <c r="T56" s="10"/>
      <c r="U56" s="10"/>
      <c r="V56" s="10"/>
      <c r="W56" s="10"/>
      <c r="X56" s="10"/>
      <c r="Y56" s="10"/>
      <c r="Z56" s="10"/>
      <c r="AA56" s="10"/>
      <c r="AB56" s="10"/>
      <c r="AC56" s="10"/>
    </row>
    <row r="57" spans="1:29" ht="24">
      <c r="A57" s="6" t="s">
        <v>66</v>
      </c>
      <c r="B57" s="7">
        <v>25505.685924699999</v>
      </c>
      <c r="C57" s="8">
        <v>435.3</v>
      </c>
      <c r="D57" s="8">
        <v>12.08</v>
      </c>
      <c r="E57" s="8">
        <v>727.95</v>
      </c>
      <c r="F57" s="9">
        <v>0.40201936946218836</v>
      </c>
      <c r="G57" s="8">
        <v>429.2</v>
      </c>
      <c r="H57" s="9">
        <v>1.4212488350419439E-2</v>
      </c>
      <c r="I57" s="8">
        <v>446.35</v>
      </c>
      <c r="J57" s="9">
        <v>-2.4756357118852941E-2</v>
      </c>
      <c r="K57" s="10"/>
      <c r="L57" s="10"/>
      <c r="M57" s="10"/>
      <c r="N57" s="10"/>
      <c r="O57" s="10"/>
      <c r="P57" s="10"/>
      <c r="Q57" s="10"/>
      <c r="R57" s="10"/>
      <c r="S57" s="10"/>
      <c r="T57" s="10"/>
      <c r="U57" s="10"/>
      <c r="V57" s="10"/>
      <c r="W57" s="10"/>
      <c r="X57" s="10"/>
      <c r="Y57" s="10"/>
      <c r="Z57" s="10"/>
      <c r="AA57" s="10"/>
      <c r="AB57" s="10"/>
      <c r="AC57" s="10"/>
    </row>
    <row r="58" spans="1:29" ht="24">
      <c r="A58" s="6" t="s">
        <v>67</v>
      </c>
      <c r="B58" s="7">
        <v>35109.687833000004</v>
      </c>
      <c r="C58" s="8">
        <v>39710</v>
      </c>
      <c r="D58" s="8">
        <v>91.84</v>
      </c>
      <c r="E58" s="8">
        <v>46397.7</v>
      </c>
      <c r="F58" s="9">
        <v>0.14413861031904593</v>
      </c>
      <c r="G58" s="8">
        <v>30185.35</v>
      </c>
      <c r="H58" s="9">
        <v>0.31553882926651511</v>
      </c>
      <c r="I58" s="8">
        <v>39677.1</v>
      </c>
      <c r="J58" s="9">
        <v>8.2919366586775383E-4</v>
      </c>
      <c r="K58" s="10"/>
      <c r="L58" s="10"/>
      <c r="M58" s="10"/>
      <c r="N58" s="10"/>
      <c r="O58" s="10"/>
      <c r="P58" s="10"/>
      <c r="Q58" s="10"/>
      <c r="R58" s="10"/>
      <c r="S58" s="10"/>
      <c r="T58" s="10"/>
      <c r="U58" s="10"/>
      <c r="V58" s="10"/>
      <c r="W58" s="10"/>
      <c r="X58" s="10"/>
      <c r="Y58" s="10"/>
      <c r="Z58" s="10"/>
      <c r="AA58" s="10"/>
      <c r="AB58" s="10"/>
      <c r="AC58" s="10"/>
    </row>
    <row r="59" spans="1:29" ht="24">
      <c r="A59" s="6" t="s">
        <v>68</v>
      </c>
      <c r="B59" s="7">
        <v>38048.54</v>
      </c>
      <c r="C59" s="8">
        <v>89700</v>
      </c>
      <c r="D59" s="8">
        <v>66.97</v>
      </c>
      <c r="E59" s="8">
        <v>95954.35</v>
      </c>
      <c r="F59" s="9">
        <v>6.5180473839904135E-2</v>
      </c>
      <c r="G59" s="8">
        <v>62944.5</v>
      </c>
      <c r="H59" s="9">
        <v>0.42506493815980745</v>
      </c>
      <c r="I59" s="8">
        <v>89498.35</v>
      </c>
      <c r="J59" s="9">
        <v>2.2531141635571401E-3</v>
      </c>
      <c r="K59" s="10"/>
      <c r="L59" s="10"/>
      <c r="M59" s="10"/>
      <c r="N59" s="10"/>
      <c r="O59" s="10"/>
      <c r="P59" s="10"/>
      <c r="Q59" s="10"/>
      <c r="R59" s="10"/>
      <c r="S59" s="10"/>
      <c r="T59" s="10"/>
      <c r="U59" s="10"/>
      <c r="V59" s="10"/>
      <c r="W59" s="10"/>
      <c r="X59" s="10"/>
      <c r="Y59" s="10"/>
      <c r="Z59" s="10"/>
      <c r="AA59" s="10"/>
      <c r="AB59" s="10"/>
      <c r="AC59" s="10"/>
    </row>
    <row r="60" spans="1:29" ht="48">
      <c r="A60" s="6" t="s">
        <v>69</v>
      </c>
      <c r="B60" s="7">
        <v>30664.627499999999</v>
      </c>
      <c r="C60" s="8">
        <v>2793.5</v>
      </c>
      <c r="D60" s="8">
        <v>28.23</v>
      </c>
      <c r="E60" s="8">
        <v>4172.95</v>
      </c>
      <c r="F60" s="9">
        <v>0.33056950119220213</v>
      </c>
      <c r="G60" s="8">
        <v>2105.15</v>
      </c>
      <c r="H60" s="9">
        <v>0.32698382538061416</v>
      </c>
      <c r="I60" s="8">
        <v>2841.6</v>
      </c>
      <c r="J60" s="9">
        <v>-1.6927083333333301E-2</v>
      </c>
      <c r="K60" s="10"/>
      <c r="L60" s="10"/>
      <c r="M60" s="10"/>
      <c r="N60" s="10"/>
      <c r="O60" s="10"/>
      <c r="P60" s="10"/>
      <c r="Q60" s="10"/>
      <c r="R60" s="10"/>
      <c r="S60" s="10"/>
      <c r="T60" s="10"/>
      <c r="U60" s="10"/>
      <c r="V60" s="10"/>
      <c r="W60" s="10"/>
      <c r="X60" s="10"/>
      <c r="Y60" s="10"/>
      <c r="Z60" s="10"/>
      <c r="AA60" s="10"/>
      <c r="AB60" s="10"/>
      <c r="AC60" s="10"/>
    </row>
    <row r="61" spans="1:29" ht="24">
      <c r="A61" s="6" t="s">
        <v>70</v>
      </c>
      <c r="B61" s="7">
        <v>31008.532894799999</v>
      </c>
      <c r="C61" s="8">
        <v>450.2</v>
      </c>
      <c r="D61" s="8">
        <v>22.9</v>
      </c>
      <c r="E61" s="8">
        <v>721.8</v>
      </c>
      <c r="F61" s="9">
        <v>0.37628151842615681</v>
      </c>
      <c r="G61" s="8">
        <v>403.55</v>
      </c>
      <c r="H61" s="9">
        <v>0.11559905835708084</v>
      </c>
      <c r="I61" s="8">
        <v>466.8</v>
      </c>
      <c r="J61" s="9">
        <v>-3.5561268209083167E-2</v>
      </c>
      <c r="K61" s="10"/>
      <c r="L61" s="10"/>
      <c r="M61" s="10"/>
      <c r="N61" s="10"/>
      <c r="O61" s="10"/>
      <c r="P61" s="10"/>
      <c r="Q61" s="10"/>
      <c r="R61" s="10"/>
      <c r="S61" s="10"/>
      <c r="T61" s="10"/>
      <c r="U61" s="10"/>
      <c r="V61" s="10"/>
      <c r="W61" s="10"/>
      <c r="X61" s="10"/>
      <c r="Y61" s="10"/>
      <c r="Z61" s="10"/>
      <c r="AA61" s="10"/>
      <c r="AB61" s="10"/>
      <c r="AC61" s="10"/>
    </row>
    <row r="62" spans="1:29" ht="24">
      <c r="A62" s="6" t="s">
        <v>71</v>
      </c>
      <c r="B62" s="7">
        <v>27569.412263900002</v>
      </c>
      <c r="C62" s="8">
        <v>799.4</v>
      </c>
      <c r="D62" s="8">
        <v>88.04</v>
      </c>
      <c r="E62" s="8">
        <v>1065</v>
      </c>
      <c r="F62" s="9">
        <v>0.24938967136150236</v>
      </c>
      <c r="G62" s="8">
        <v>627.79999999999995</v>
      </c>
      <c r="H62" s="9">
        <v>0.27333545715195928</v>
      </c>
      <c r="I62" s="8">
        <v>796.25</v>
      </c>
      <c r="J62" s="9">
        <v>3.9560439560439274E-3</v>
      </c>
      <c r="K62" s="10"/>
      <c r="L62" s="10"/>
      <c r="M62" s="10"/>
      <c r="N62" s="10"/>
      <c r="O62" s="10"/>
      <c r="P62" s="10"/>
      <c r="Q62" s="10"/>
      <c r="R62" s="10"/>
      <c r="S62" s="10"/>
      <c r="T62" s="10"/>
      <c r="U62" s="10"/>
      <c r="V62" s="10"/>
      <c r="W62" s="10"/>
      <c r="X62" s="10"/>
      <c r="Y62" s="10"/>
      <c r="Z62" s="10"/>
      <c r="AA62" s="10"/>
      <c r="AB62" s="10"/>
      <c r="AC62" s="10"/>
    </row>
    <row r="63" spans="1:29" ht="48">
      <c r="A63" s="6" t="s">
        <v>72</v>
      </c>
      <c r="B63" s="7">
        <v>25664.11</v>
      </c>
      <c r="C63" s="8">
        <v>872</v>
      </c>
      <c r="D63" s="8">
        <v>13.43</v>
      </c>
      <c r="E63" s="8">
        <v>1094</v>
      </c>
      <c r="F63" s="9">
        <v>0.20292504570383912</v>
      </c>
      <c r="G63" s="8">
        <v>729.55</v>
      </c>
      <c r="H63" s="9">
        <v>0.19525735042149278</v>
      </c>
      <c r="I63" s="8">
        <v>881.85</v>
      </c>
      <c r="J63" s="9">
        <v>-1.116970006236891E-2</v>
      </c>
      <c r="K63" s="10"/>
      <c r="L63" s="10"/>
      <c r="M63" s="10"/>
      <c r="N63" s="10"/>
      <c r="O63" s="10"/>
      <c r="P63" s="10"/>
      <c r="Q63" s="10"/>
      <c r="R63" s="10"/>
      <c r="S63" s="10"/>
      <c r="T63" s="10"/>
      <c r="U63" s="10"/>
      <c r="V63" s="10"/>
      <c r="W63" s="10"/>
      <c r="X63" s="10"/>
      <c r="Y63" s="10"/>
      <c r="Z63" s="10"/>
      <c r="AA63" s="10"/>
      <c r="AB63" s="10"/>
      <c r="AC63" s="10"/>
    </row>
    <row r="64" spans="1:29" ht="24">
      <c r="A64" s="6" t="s">
        <v>73</v>
      </c>
      <c r="B64" s="7">
        <v>20673.263394400001</v>
      </c>
      <c r="C64" s="8"/>
      <c r="D64" s="8" t="s">
        <v>16</v>
      </c>
      <c r="E64" s="8">
        <v>1052.05</v>
      </c>
      <c r="F64" s="9" t="e">
        <v>#REF!</v>
      </c>
      <c r="G64" s="8">
        <v>356.2</v>
      </c>
      <c r="H64" s="9" t="e">
        <v>#REF!</v>
      </c>
      <c r="I64" s="8">
        <v>465.85</v>
      </c>
      <c r="J64" s="9"/>
      <c r="K64" s="10"/>
      <c r="L64" s="10"/>
      <c r="M64" s="10"/>
      <c r="N64" s="10"/>
      <c r="O64" s="10"/>
      <c r="P64" s="10"/>
      <c r="Q64" s="10"/>
      <c r="R64" s="10"/>
      <c r="S64" s="10"/>
      <c r="T64" s="10"/>
      <c r="U64" s="10"/>
      <c r="V64" s="10"/>
      <c r="W64" s="10"/>
      <c r="X64" s="10"/>
      <c r="Y64" s="10"/>
      <c r="Z64" s="10"/>
      <c r="AA64" s="10"/>
      <c r="AB64" s="10"/>
      <c r="AC64" s="10"/>
    </row>
    <row r="65" spans="1:29" ht="24">
      <c r="A65" s="6" t="s">
        <v>74</v>
      </c>
      <c r="B65" s="7">
        <v>29162.03</v>
      </c>
      <c r="C65" s="8">
        <v>416.85</v>
      </c>
      <c r="D65" s="8">
        <v>17.03</v>
      </c>
      <c r="E65" s="8">
        <v>466.65</v>
      </c>
      <c r="F65" s="9">
        <v>0.10671809707489543</v>
      </c>
      <c r="G65" s="8">
        <v>322.10000000000002</v>
      </c>
      <c r="H65" s="9">
        <v>0.29416330332194968</v>
      </c>
      <c r="I65" s="8">
        <v>418.6</v>
      </c>
      <c r="J65" s="9">
        <v>-4.180602006688963E-3</v>
      </c>
      <c r="K65" s="10"/>
      <c r="L65" s="10"/>
      <c r="M65" s="10"/>
      <c r="N65" s="10"/>
      <c r="O65" s="10"/>
      <c r="P65" s="10"/>
      <c r="Q65" s="10"/>
      <c r="R65" s="10"/>
      <c r="S65" s="10"/>
      <c r="T65" s="10"/>
      <c r="U65" s="10"/>
      <c r="V65" s="10"/>
      <c r="W65" s="10"/>
      <c r="X65" s="10"/>
      <c r="Y65" s="10"/>
      <c r="Z65" s="10"/>
      <c r="AA65" s="10"/>
      <c r="AB65" s="10"/>
      <c r="AC65" s="10"/>
    </row>
    <row r="66" spans="1:29" ht="24">
      <c r="A66" s="6" t="s">
        <v>75</v>
      </c>
      <c r="B66" s="7">
        <v>19213.870294600001</v>
      </c>
      <c r="C66" s="8">
        <v>357.4</v>
      </c>
      <c r="D66" s="8">
        <v>22.19</v>
      </c>
      <c r="E66" s="8">
        <v>626.29999999999995</v>
      </c>
      <c r="F66" s="9">
        <v>0.42934695832668052</v>
      </c>
      <c r="G66" s="8">
        <v>354</v>
      </c>
      <c r="H66" s="9">
        <v>9.6045197740112359E-3</v>
      </c>
      <c r="I66" s="8">
        <v>360.4</v>
      </c>
      <c r="J66" s="9">
        <v>-8.3240843507214213E-3</v>
      </c>
      <c r="K66" s="10"/>
      <c r="L66" s="10"/>
      <c r="M66" s="10"/>
      <c r="N66" s="10"/>
      <c r="O66" s="10"/>
      <c r="P66" s="10"/>
      <c r="Q66" s="10"/>
      <c r="R66" s="10"/>
      <c r="S66" s="10"/>
      <c r="T66" s="10"/>
      <c r="U66" s="10"/>
      <c r="V66" s="10"/>
      <c r="W66" s="10"/>
      <c r="X66" s="10"/>
      <c r="Y66" s="10"/>
      <c r="Z66" s="10"/>
      <c r="AA66" s="10"/>
      <c r="AB66" s="10"/>
      <c r="AC66" s="10"/>
    </row>
    <row r="67" spans="1:29" ht="24">
      <c r="A67" s="6" t="s">
        <v>76</v>
      </c>
      <c r="B67" s="7">
        <v>26525.721744999999</v>
      </c>
      <c r="C67" s="8">
        <v>1944.05</v>
      </c>
      <c r="D67" s="8">
        <v>28.86</v>
      </c>
      <c r="E67" s="8">
        <v>2690.05</v>
      </c>
      <c r="F67" s="9">
        <v>0.27731826545974986</v>
      </c>
      <c r="G67" s="8">
        <v>1681.15</v>
      </c>
      <c r="H67" s="9">
        <v>0.15638104868691066</v>
      </c>
      <c r="I67" s="8">
        <v>1941.8</v>
      </c>
      <c r="J67" s="9">
        <v>1.1587187145947059E-3</v>
      </c>
      <c r="K67" s="10"/>
      <c r="L67" s="10"/>
      <c r="M67" s="10"/>
      <c r="N67" s="10"/>
      <c r="O67" s="10"/>
      <c r="P67" s="10"/>
      <c r="Q67" s="10"/>
      <c r="R67" s="10"/>
      <c r="S67" s="10"/>
      <c r="T67" s="10"/>
      <c r="U67" s="10"/>
      <c r="V67" s="10"/>
      <c r="W67" s="10"/>
      <c r="X67" s="10"/>
      <c r="Y67" s="10"/>
      <c r="Z67" s="10"/>
      <c r="AA67" s="10"/>
      <c r="AB67" s="10"/>
      <c r="AC67" s="10"/>
    </row>
    <row r="68" spans="1:29" ht="24">
      <c r="A68" s="6" t="s">
        <v>77</v>
      </c>
      <c r="B68" s="7">
        <v>22202.959999999999</v>
      </c>
      <c r="C68" s="8">
        <v>892.35</v>
      </c>
      <c r="D68" s="8">
        <v>114.44</v>
      </c>
      <c r="E68" s="8">
        <v>1369.7</v>
      </c>
      <c r="F68" s="9">
        <v>0.34850697232970723</v>
      </c>
      <c r="G68" s="8">
        <v>872</v>
      </c>
      <c r="H68" s="9">
        <v>2.333715596330278E-2</v>
      </c>
      <c r="I68" s="8">
        <v>898.2</v>
      </c>
      <c r="J68" s="9">
        <v>-6.5130260521042331E-3</v>
      </c>
      <c r="K68" s="10"/>
      <c r="L68" s="10"/>
      <c r="M68" s="10"/>
      <c r="N68" s="10"/>
      <c r="O68" s="10"/>
      <c r="P68" s="10"/>
      <c r="Q68" s="10"/>
      <c r="R68" s="10"/>
      <c r="S68" s="10"/>
      <c r="T68" s="10"/>
      <c r="U68" s="10"/>
      <c r="V68" s="10"/>
      <c r="W68" s="10"/>
      <c r="X68" s="10"/>
      <c r="Y68" s="10"/>
      <c r="Z68" s="10"/>
      <c r="AA68" s="10"/>
      <c r="AB68" s="10"/>
      <c r="AC68" s="10"/>
    </row>
    <row r="69" spans="1:29" ht="24">
      <c r="A69" s="6" t="s">
        <v>78</v>
      </c>
      <c r="B69" s="7">
        <v>30617.09</v>
      </c>
      <c r="C69" s="8">
        <v>4009</v>
      </c>
      <c r="D69" s="8">
        <v>37.590000000000003</v>
      </c>
      <c r="E69" s="8">
        <v>4954</v>
      </c>
      <c r="F69" s="9">
        <v>0.19075494549858701</v>
      </c>
      <c r="G69" s="8">
        <v>3092.05</v>
      </c>
      <c r="H69" s="9">
        <v>0.29655083197231602</v>
      </c>
      <c r="I69" s="8">
        <v>3978.2</v>
      </c>
      <c r="J69" s="9">
        <v>7.7421949625459214E-3</v>
      </c>
      <c r="K69" s="10"/>
      <c r="L69" s="10"/>
      <c r="M69" s="10"/>
      <c r="N69" s="10"/>
      <c r="O69" s="10"/>
      <c r="P69" s="10"/>
      <c r="Q69" s="10"/>
      <c r="R69" s="10"/>
      <c r="S69" s="10"/>
      <c r="T69" s="10"/>
      <c r="U69" s="10"/>
      <c r="V69" s="10"/>
      <c r="W69" s="10"/>
      <c r="X69" s="10"/>
      <c r="Y69" s="10"/>
      <c r="Z69" s="10"/>
      <c r="AA69" s="10"/>
      <c r="AB69" s="10"/>
      <c r="AC69" s="10"/>
    </row>
    <row r="70" spans="1:29" ht="24">
      <c r="A70" s="6" t="s">
        <v>79</v>
      </c>
      <c r="B70" s="7">
        <v>25229.93</v>
      </c>
      <c r="C70" s="8">
        <v>22300</v>
      </c>
      <c r="D70" s="8">
        <v>68.239999999999995</v>
      </c>
      <c r="E70" s="8">
        <v>26943</v>
      </c>
      <c r="F70" s="9">
        <v>0.17232676390899307</v>
      </c>
      <c r="G70" s="8">
        <v>17273</v>
      </c>
      <c r="H70" s="9">
        <v>0.2910322468592601</v>
      </c>
      <c r="I70" s="8">
        <v>22335.4</v>
      </c>
      <c r="J70" s="9">
        <v>-1.5849279618901588E-3</v>
      </c>
      <c r="K70" s="10"/>
      <c r="L70" s="10"/>
      <c r="M70" s="10"/>
      <c r="N70" s="10"/>
      <c r="O70" s="10"/>
      <c r="P70" s="10"/>
      <c r="Q70" s="10"/>
      <c r="R70" s="10"/>
      <c r="S70" s="10"/>
      <c r="T70" s="10"/>
      <c r="U70" s="10"/>
      <c r="V70" s="10"/>
      <c r="W70" s="10"/>
      <c r="X70" s="10"/>
      <c r="Y70" s="10"/>
      <c r="Z70" s="10"/>
      <c r="AA70" s="10"/>
      <c r="AB70" s="10"/>
      <c r="AC70" s="10"/>
    </row>
    <row r="71" spans="1:29" ht="24">
      <c r="A71" s="6" t="s">
        <v>80</v>
      </c>
      <c r="B71" s="7">
        <v>22090.03</v>
      </c>
      <c r="C71" s="8">
        <v>872.85</v>
      </c>
      <c r="D71" s="8">
        <v>42.96</v>
      </c>
      <c r="E71" s="8">
        <v>1095</v>
      </c>
      <c r="F71" s="9">
        <v>0.20287671232876711</v>
      </c>
      <c r="G71" s="8">
        <v>830</v>
      </c>
      <c r="H71" s="9">
        <v>5.1626506024096415E-2</v>
      </c>
      <c r="I71" s="8">
        <v>868.6</v>
      </c>
      <c r="J71" s="9">
        <v>4.8929311535804744E-3</v>
      </c>
      <c r="K71" s="10"/>
      <c r="L71" s="10"/>
      <c r="M71" s="10"/>
      <c r="N71" s="10"/>
      <c r="O71" s="10"/>
      <c r="P71" s="10"/>
      <c r="Q71" s="10"/>
      <c r="R71" s="10"/>
      <c r="S71" s="10"/>
      <c r="T71" s="10"/>
      <c r="U71" s="10"/>
      <c r="V71" s="10"/>
      <c r="W71" s="10"/>
      <c r="X71" s="10"/>
      <c r="Y71" s="10"/>
      <c r="Z71" s="10"/>
      <c r="AA71" s="10"/>
      <c r="AB71" s="10"/>
      <c r="AC71" s="10"/>
    </row>
    <row r="72" spans="1:29" ht="24">
      <c r="A72" s="6" t="s">
        <v>81</v>
      </c>
      <c r="B72" s="7">
        <v>20286.8999472</v>
      </c>
      <c r="C72" s="8">
        <v>1580</v>
      </c>
      <c r="D72" s="8">
        <v>65.53</v>
      </c>
      <c r="E72" s="8">
        <v>2122</v>
      </c>
      <c r="F72" s="9">
        <v>0.25541941564561732</v>
      </c>
      <c r="G72" s="8">
        <v>1551.1</v>
      </c>
      <c r="H72" s="9">
        <v>1.8631938624202239E-2</v>
      </c>
      <c r="I72" s="8">
        <v>1636.6</v>
      </c>
      <c r="J72" s="9">
        <v>-3.4583893437614512E-2</v>
      </c>
      <c r="K72" s="10"/>
      <c r="L72" s="10"/>
      <c r="M72" s="10"/>
      <c r="N72" s="10"/>
      <c r="O72" s="10"/>
      <c r="P72" s="10"/>
      <c r="Q72" s="10"/>
      <c r="R72" s="10"/>
      <c r="S72" s="10"/>
      <c r="T72" s="10"/>
      <c r="U72" s="10"/>
      <c r="V72" s="10"/>
      <c r="W72" s="10"/>
      <c r="X72" s="10"/>
      <c r="Y72" s="10"/>
      <c r="Z72" s="10"/>
      <c r="AA72" s="10"/>
      <c r="AB72" s="10"/>
      <c r="AC72" s="10"/>
    </row>
    <row r="73" spans="1:29" ht="24">
      <c r="A73" s="6" t="s">
        <v>82</v>
      </c>
      <c r="B73" s="7">
        <v>23631.8479052</v>
      </c>
      <c r="C73" s="8">
        <v>3868.05</v>
      </c>
      <c r="D73" s="8">
        <v>32.39</v>
      </c>
      <c r="E73" s="8">
        <v>5862.1</v>
      </c>
      <c r="F73" s="9">
        <v>0.34015966974292489</v>
      </c>
      <c r="G73" s="8">
        <v>3210</v>
      </c>
      <c r="H73" s="9">
        <v>0.20500000000000004</v>
      </c>
      <c r="I73" s="8">
        <v>3902.65</v>
      </c>
      <c r="J73" s="9">
        <v>-8.8657706942718174E-3</v>
      </c>
      <c r="K73" s="10"/>
      <c r="L73" s="10"/>
      <c r="M73" s="10"/>
      <c r="N73" s="10"/>
      <c r="O73" s="10"/>
      <c r="P73" s="10"/>
      <c r="Q73" s="10"/>
      <c r="R73" s="10"/>
      <c r="S73" s="10"/>
      <c r="T73" s="10"/>
      <c r="U73" s="10"/>
      <c r="V73" s="10"/>
      <c r="W73" s="10"/>
      <c r="X73" s="10"/>
      <c r="Y73" s="10"/>
      <c r="Z73" s="10"/>
      <c r="AA73" s="10"/>
      <c r="AB73" s="10"/>
      <c r="AC73" s="10"/>
    </row>
    <row r="74" spans="1:29" ht="24">
      <c r="A74" s="6" t="s">
        <v>83</v>
      </c>
      <c r="B74" s="7">
        <v>31477.05</v>
      </c>
      <c r="C74" s="8">
        <v>1136</v>
      </c>
      <c r="D74" s="8">
        <v>54.9</v>
      </c>
      <c r="E74" s="8">
        <v>1193.8499999999999</v>
      </c>
      <c r="F74" s="9">
        <v>4.8456673786489018E-2</v>
      </c>
      <c r="G74" s="8">
        <v>771</v>
      </c>
      <c r="H74" s="9">
        <v>0.47341115434500647</v>
      </c>
      <c r="I74" s="8">
        <v>1127.95</v>
      </c>
      <c r="J74" s="9">
        <v>7.1368411720377266E-3</v>
      </c>
      <c r="K74" s="10"/>
      <c r="L74" s="10"/>
      <c r="M74" s="10"/>
      <c r="N74" s="10"/>
      <c r="O74" s="10"/>
      <c r="P74" s="10"/>
      <c r="Q74" s="10"/>
      <c r="R74" s="10"/>
      <c r="S74" s="10"/>
      <c r="T74" s="10"/>
      <c r="U74" s="10"/>
      <c r="V74" s="10"/>
      <c r="W74" s="10"/>
      <c r="X74" s="10"/>
      <c r="Y74" s="10"/>
      <c r="Z74" s="10"/>
      <c r="AA74" s="10"/>
      <c r="AB74" s="10"/>
      <c r="AC74" s="10"/>
    </row>
    <row r="75" spans="1:29" ht="24">
      <c r="A75" s="6" t="s">
        <v>84</v>
      </c>
      <c r="B75" s="7">
        <v>21451.604477600002</v>
      </c>
      <c r="C75" s="8">
        <v>337.35</v>
      </c>
      <c r="D75" s="8">
        <v>36.770000000000003</v>
      </c>
      <c r="E75" s="8">
        <v>451.95</v>
      </c>
      <c r="F75" s="9">
        <v>0.25356787255227342</v>
      </c>
      <c r="G75" s="8">
        <v>312</v>
      </c>
      <c r="H75" s="9">
        <v>8.1250000000000072E-2</v>
      </c>
      <c r="I75" s="8">
        <v>338</v>
      </c>
      <c r="J75" s="9">
        <v>-1.9230769230768557E-3</v>
      </c>
      <c r="K75" s="10"/>
      <c r="L75" s="10"/>
      <c r="M75" s="10"/>
      <c r="N75" s="10"/>
      <c r="O75" s="10"/>
      <c r="P75" s="10"/>
      <c r="Q75" s="10"/>
      <c r="R75" s="10"/>
      <c r="S75" s="10"/>
      <c r="T75" s="10"/>
      <c r="U75" s="10"/>
      <c r="V75" s="10"/>
      <c r="W75" s="10"/>
      <c r="X75" s="10"/>
      <c r="Y75" s="10"/>
      <c r="Z75" s="10"/>
      <c r="AA75" s="10"/>
      <c r="AB75" s="10"/>
      <c r="AC75" s="10"/>
    </row>
    <row r="76" spans="1:29" ht="24">
      <c r="A76" s="6" t="s">
        <v>85</v>
      </c>
      <c r="B76" s="7">
        <v>31369.919999999998</v>
      </c>
      <c r="C76" s="8">
        <v>2461</v>
      </c>
      <c r="D76" s="8">
        <v>36.119999999999997</v>
      </c>
      <c r="E76" s="8">
        <v>2607.65</v>
      </c>
      <c r="F76" s="9">
        <v>5.623837554886587E-2</v>
      </c>
      <c r="G76" s="8">
        <v>1666.25</v>
      </c>
      <c r="H76" s="9">
        <v>0.47696924231057763</v>
      </c>
      <c r="I76" s="8">
        <v>2452.6999999999998</v>
      </c>
      <c r="J76" s="9">
        <v>3.3840257675215812E-3</v>
      </c>
      <c r="K76" s="10"/>
      <c r="L76" s="10"/>
      <c r="M76" s="10"/>
      <c r="N76" s="10"/>
      <c r="O76" s="10"/>
      <c r="P76" s="10"/>
      <c r="Q76" s="10"/>
      <c r="R76" s="10"/>
      <c r="S76" s="10"/>
      <c r="T76" s="10"/>
      <c r="U76" s="10"/>
      <c r="V76" s="10"/>
      <c r="W76" s="10"/>
      <c r="X76" s="10"/>
      <c r="Y76" s="10"/>
      <c r="Z76" s="10"/>
      <c r="AA76" s="10"/>
      <c r="AB76" s="10"/>
      <c r="AC76" s="10"/>
    </row>
    <row r="77" spans="1:29" ht="24">
      <c r="A77" s="6" t="s">
        <v>86</v>
      </c>
      <c r="B77" s="7">
        <v>21050.022291099998</v>
      </c>
      <c r="C77" s="8">
        <v>4669.05</v>
      </c>
      <c r="D77" s="8">
        <v>29.86</v>
      </c>
      <c r="E77" s="8">
        <v>5667.75</v>
      </c>
      <c r="F77" s="9">
        <v>0.17620748974460762</v>
      </c>
      <c r="G77" s="8">
        <v>4218.05</v>
      </c>
      <c r="H77" s="9">
        <v>0.10692144474342409</v>
      </c>
      <c r="I77" s="8">
        <v>4647.55</v>
      </c>
      <c r="J77" s="9">
        <v>4.6260933179847448E-3</v>
      </c>
      <c r="K77" s="10"/>
      <c r="L77" s="10"/>
      <c r="M77" s="10"/>
      <c r="N77" s="10"/>
      <c r="O77" s="10"/>
      <c r="P77" s="10"/>
      <c r="Q77" s="10"/>
      <c r="R77" s="10"/>
      <c r="S77" s="10"/>
      <c r="T77" s="10"/>
      <c r="U77" s="10"/>
      <c r="V77" s="10"/>
      <c r="W77" s="10"/>
      <c r="X77" s="10"/>
      <c r="Y77" s="10"/>
      <c r="Z77" s="10"/>
      <c r="AA77" s="10"/>
      <c r="AB77" s="10"/>
      <c r="AC77" s="10"/>
    </row>
    <row r="78" spans="1:29" ht="48">
      <c r="A78" s="6" t="s">
        <v>87</v>
      </c>
      <c r="B78" s="7">
        <v>24637.83</v>
      </c>
      <c r="C78" s="8">
        <v>493.2</v>
      </c>
      <c r="D78" s="8">
        <v>48.9</v>
      </c>
      <c r="E78" s="8">
        <v>540.79999999999995</v>
      </c>
      <c r="F78" s="9">
        <v>8.8017751479289891E-2</v>
      </c>
      <c r="G78" s="8">
        <v>351.5</v>
      </c>
      <c r="H78" s="9">
        <v>0.40312944523470834</v>
      </c>
      <c r="I78" s="8">
        <v>487.95</v>
      </c>
      <c r="J78" s="9">
        <v>1.0759299108515218E-2</v>
      </c>
      <c r="K78" s="10"/>
      <c r="L78" s="10"/>
      <c r="M78" s="10"/>
      <c r="N78" s="10"/>
      <c r="O78" s="10"/>
      <c r="P78" s="10"/>
      <c r="Q78" s="10"/>
      <c r="R78" s="10"/>
      <c r="S78" s="10"/>
      <c r="T78" s="10"/>
      <c r="U78" s="10"/>
      <c r="V78" s="10"/>
      <c r="W78" s="10"/>
      <c r="X78" s="10"/>
      <c r="Y78" s="10"/>
      <c r="Z78" s="10"/>
      <c r="AA78" s="10"/>
      <c r="AB78" s="10"/>
      <c r="AC78" s="10"/>
    </row>
    <row r="79" spans="1:29" ht="24">
      <c r="A79" s="6" t="s">
        <v>88</v>
      </c>
      <c r="B79" s="7">
        <v>21650.114525000001</v>
      </c>
      <c r="C79" s="8">
        <v>3635</v>
      </c>
      <c r="D79" s="8">
        <v>93.72</v>
      </c>
      <c r="E79" s="8">
        <v>5444.1</v>
      </c>
      <c r="F79" s="9">
        <v>0.33230469682775854</v>
      </c>
      <c r="G79" s="8">
        <v>3180.55</v>
      </c>
      <c r="H79" s="9">
        <v>0.14288409237396041</v>
      </c>
      <c r="I79" s="8">
        <v>3651.05</v>
      </c>
      <c r="J79" s="9">
        <v>-4.3959956724778301E-3</v>
      </c>
      <c r="K79" s="10"/>
      <c r="L79" s="10"/>
      <c r="M79" s="10"/>
      <c r="N79" s="10"/>
      <c r="O79" s="10"/>
      <c r="P79" s="10"/>
      <c r="Q79" s="10"/>
      <c r="R79" s="10"/>
      <c r="S79" s="10"/>
      <c r="T79" s="10"/>
      <c r="U79" s="10"/>
      <c r="V79" s="10"/>
      <c r="W79" s="10"/>
      <c r="X79" s="10"/>
      <c r="Y79" s="10"/>
      <c r="Z79" s="10"/>
      <c r="AA79" s="10"/>
      <c r="AB79" s="10"/>
      <c r="AC79" s="10"/>
    </row>
    <row r="80" spans="1:29" ht="24">
      <c r="A80" s="6" t="s">
        <v>89</v>
      </c>
      <c r="B80" s="7">
        <v>24851.46731</v>
      </c>
      <c r="C80" s="8">
        <v>975.8</v>
      </c>
      <c r="D80" s="8">
        <v>12.65</v>
      </c>
      <c r="E80" s="8">
        <v>1214.6500000000001</v>
      </c>
      <c r="F80" s="9">
        <v>0.1966410076976908</v>
      </c>
      <c r="G80" s="8">
        <v>773.9</v>
      </c>
      <c r="H80" s="9">
        <v>0.2608864194340354</v>
      </c>
      <c r="I80" s="8">
        <v>972.55</v>
      </c>
      <c r="J80" s="9">
        <v>3.3417305022878001E-3</v>
      </c>
      <c r="K80" s="10"/>
      <c r="L80" s="10"/>
      <c r="M80" s="10"/>
      <c r="N80" s="10"/>
      <c r="O80" s="10"/>
      <c r="P80" s="10"/>
      <c r="Q80" s="10"/>
      <c r="R80" s="10"/>
      <c r="S80" s="10"/>
      <c r="T80" s="10"/>
      <c r="U80" s="10"/>
      <c r="V80" s="10"/>
      <c r="W80" s="10"/>
      <c r="X80" s="10"/>
      <c r="Y80" s="10"/>
      <c r="Z80" s="10"/>
      <c r="AA80" s="10"/>
      <c r="AB80" s="10"/>
      <c r="AC80" s="10"/>
    </row>
    <row r="81" spans="1:29" ht="24">
      <c r="A81" s="6" t="s">
        <v>90</v>
      </c>
      <c r="B81" s="7">
        <v>20604.2</v>
      </c>
      <c r="C81" s="8">
        <v>2000</v>
      </c>
      <c r="D81" s="8">
        <v>51.19</v>
      </c>
      <c r="E81" s="8">
        <v>2377</v>
      </c>
      <c r="F81" s="9">
        <v>0.15860328144720234</v>
      </c>
      <c r="G81" s="8">
        <v>1674.2</v>
      </c>
      <c r="H81" s="9">
        <v>0.19460040616413807</v>
      </c>
      <c r="I81" s="8">
        <v>2014.85</v>
      </c>
      <c r="J81" s="9">
        <v>-7.3702757029058784E-3</v>
      </c>
      <c r="K81" s="10"/>
      <c r="L81" s="10"/>
      <c r="M81" s="10"/>
      <c r="N81" s="10"/>
      <c r="O81" s="10"/>
      <c r="P81" s="10"/>
      <c r="Q81" s="10"/>
      <c r="R81" s="10"/>
      <c r="S81" s="10"/>
      <c r="T81" s="10"/>
      <c r="U81" s="10"/>
      <c r="V81" s="10"/>
      <c r="W81" s="10"/>
      <c r="X81" s="10"/>
      <c r="Y81" s="10"/>
      <c r="Z81" s="10"/>
      <c r="AA81" s="10"/>
      <c r="AB81" s="10"/>
      <c r="AC81" s="10"/>
    </row>
    <row r="82" spans="1:29" ht="24">
      <c r="A82" s="6" t="s">
        <v>91</v>
      </c>
      <c r="B82" s="7">
        <v>18318.373366600001</v>
      </c>
      <c r="C82" s="8">
        <v>1441.55</v>
      </c>
      <c r="D82" s="8">
        <v>70.52</v>
      </c>
      <c r="E82" s="8">
        <v>1917</v>
      </c>
      <c r="F82" s="9">
        <v>0.24801773604590507</v>
      </c>
      <c r="G82" s="8">
        <v>1365.1</v>
      </c>
      <c r="H82" s="9">
        <v>5.6003223207091092E-2</v>
      </c>
      <c r="I82" s="8">
        <v>1480.7</v>
      </c>
      <c r="J82" s="9">
        <v>-2.6440197204025184E-2</v>
      </c>
      <c r="K82" s="10"/>
      <c r="L82" s="10"/>
      <c r="M82" s="10"/>
      <c r="N82" s="10"/>
      <c r="O82" s="10"/>
      <c r="P82" s="10"/>
      <c r="Q82" s="10"/>
      <c r="R82" s="10"/>
      <c r="S82" s="10"/>
      <c r="T82" s="10"/>
      <c r="U82" s="10"/>
      <c r="V82" s="10"/>
      <c r="W82" s="10"/>
      <c r="X82" s="10"/>
      <c r="Y82" s="10"/>
      <c r="Z82" s="10"/>
      <c r="AA82" s="10"/>
      <c r="AB82" s="10"/>
      <c r="AC82" s="10"/>
    </row>
    <row r="83" spans="1:29" ht="24">
      <c r="A83" s="6" t="s">
        <v>92</v>
      </c>
      <c r="B83" s="7">
        <v>37544.886315800002</v>
      </c>
      <c r="C83" s="8">
        <v>60.2</v>
      </c>
      <c r="D83" s="8"/>
      <c r="E83" s="8">
        <v>64.3</v>
      </c>
      <c r="F83" s="9">
        <v>6.3763608087091667E-2</v>
      </c>
      <c r="G83" s="8" t="s">
        <v>93</v>
      </c>
      <c r="H83" s="9" t="e">
        <v>#VALUE!</v>
      </c>
      <c r="I83" s="8">
        <v>59.6</v>
      </c>
      <c r="J83" s="9">
        <v>1.0067114093959755E-2</v>
      </c>
      <c r="K83" s="10"/>
      <c r="L83" s="10"/>
      <c r="M83" s="10"/>
      <c r="N83" s="10"/>
      <c r="O83" s="10"/>
      <c r="P83" s="10"/>
      <c r="Q83" s="10"/>
      <c r="R83" s="10"/>
      <c r="S83" s="10"/>
      <c r="T83" s="10"/>
      <c r="U83" s="10"/>
      <c r="V83" s="10"/>
      <c r="W83" s="10"/>
      <c r="X83" s="10"/>
      <c r="Y83" s="10"/>
      <c r="Z83" s="10"/>
      <c r="AA83" s="10"/>
      <c r="AB83" s="10"/>
      <c r="AC83" s="10"/>
    </row>
    <row r="84" spans="1:29" ht="48">
      <c r="A84" s="6" t="s">
        <v>94</v>
      </c>
      <c r="B84" s="7">
        <v>19679.439999999999</v>
      </c>
      <c r="C84" s="8">
        <v>1398.5</v>
      </c>
      <c r="D84" s="8">
        <v>42.23</v>
      </c>
      <c r="E84" s="8">
        <v>1736.15</v>
      </c>
      <c r="F84" s="9">
        <v>0.19448204360222335</v>
      </c>
      <c r="G84" s="8">
        <v>1047.2</v>
      </c>
      <c r="H84" s="9">
        <v>0.33546600458365161</v>
      </c>
      <c r="I84" s="8">
        <v>1401.15</v>
      </c>
      <c r="J84" s="9">
        <v>-1.891303572065868E-3</v>
      </c>
      <c r="K84" s="10"/>
      <c r="L84" s="10"/>
      <c r="M84" s="10"/>
      <c r="N84" s="10"/>
      <c r="O84" s="10"/>
      <c r="P84" s="10"/>
      <c r="Q84" s="10"/>
      <c r="R84" s="10"/>
      <c r="S84" s="10"/>
      <c r="T84" s="10"/>
      <c r="U84" s="10"/>
      <c r="V84" s="10"/>
      <c r="W84" s="10"/>
      <c r="X84" s="10"/>
      <c r="Y84" s="10"/>
      <c r="Z84" s="10"/>
      <c r="AA84" s="10"/>
      <c r="AB84" s="10"/>
      <c r="AC84" s="10"/>
    </row>
    <row r="85" spans="1:29" ht="24">
      <c r="A85" s="6" t="s">
        <v>95</v>
      </c>
      <c r="B85" s="7">
        <v>19278.55</v>
      </c>
      <c r="C85" s="8">
        <v>4224.8999999999996</v>
      </c>
      <c r="D85" s="8">
        <v>31.52</v>
      </c>
      <c r="E85" s="8">
        <v>4946.1000000000004</v>
      </c>
      <c r="F85" s="9">
        <v>0.14581185176199443</v>
      </c>
      <c r="G85" s="8">
        <v>4056</v>
      </c>
      <c r="H85" s="9">
        <v>4.164201183431944E-2</v>
      </c>
      <c r="I85" s="8">
        <v>4254</v>
      </c>
      <c r="J85" s="9">
        <v>-6.8406205923837241E-3</v>
      </c>
      <c r="K85" s="10"/>
      <c r="L85" s="10"/>
      <c r="M85" s="10"/>
      <c r="N85" s="10"/>
      <c r="O85" s="10"/>
      <c r="P85" s="10"/>
      <c r="Q85" s="10"/>
      <c r="R85" s="10"/>
      <c r="S85" s="10"/>
      <c r="T85" s="10"/>
      <c r="U85" s="10"/>
      <c r="V85" s="10"/>
      <c r="W85" s="10"/>
      <c r="X85" s="10"/>
      <c r="Y85" s="10"/>
      <c r="Z85" s="10"/>
      <c r="AA85" s="10"/>
      <c r="AB85" s="10"/>
      <c r="AC85" s="10"/>
    </row>
    <row r="86" spans="1:29" ht="24">
      <c r="A86" s="6" t="s">
        <v>96</v>
      </c>
      <c r="B86" s="7">
        <v>16896.242249999999</v>
      </c>
      <c r="C86" s="8">
        <v>33.75</v>
      </c>
      <c r="D86" s="8">
        <v>30.44</v>
      </c>
      <c r="E86" s="8">
        <v>70.900000000000006</v>
      </c>
      <c r="F86" s="9">
        <v>0.52397743300423139</v>
      </c>
      <c r="G86" s="8">
        <v>30.45</v>
      </c>
      <c r="H86" s="9">
        <v>0.10837438423645322</v>
      </c>
      <c r="I86" s="8">
        <v>33.65</v>
      </c>
      <c r="J86" s="9">
        <v>2.9717682020802801E-3</v>
      </c>
      <c r="K86" s="10"/>
      <c r="L86" s="10"/>
      <c r="M86" s="10"/>
      <c r="N86" s="10"/>
      <c r="O86" s="10"/>
      <c r="P86" s="10"/>
      <c r="Q86" s="10"/>
      <c r="R86" s="10"/>
      <c r="S86" s="10"/>
      <c r="T86" s="10"/>
      <c r="U86" s="10"/>
      <c r="V86" s="10"/>
      <c r="W86" s="10"/>
      <c r="X86" s="10"/>
      <c r="Y86" s="10"/>
      <c r="Z86" s="10"/>
      <c r="AA86" s="10"/>
      <c r="AB86" s="10"/>
      <c r="AC86" s="10"/>
    </row>
    <row r="87" spans="1:29" ht="24">
      <c r="A87" s="6" t="s">
        <v>97</v>
      </c>
      <c r="B87" s="7">
        <v>20217.231452</v>
      </c>
      <c r="C87" s="8">
        <v>4080.6</v>
      </c>
      <c r="D87" s="8">
        <v>73.239999999999995</v>
      </c>
      <c r="E87" s="8">
        <v>4847.3500000000004</v>
      </c>
      <c r="F87" s="9">
        <v>0.15817921132165005</v>
      </c>
      <c r="G87" s="8">
        <v>3361.45</v>
      </c>
      <c r="H87" s="9">
        <v>0.2139404126195541</v>
      </c>
      <c r="I87" s="8">
        <v>4127.1000000000004</v>
      </c>
      <c r="J87" s="9">
        <v>-1.1266991349858363E-2</v>
      </c>
      <c r="K87" s="10"/>
      <c r="L87" s="10"/>
      <c r="M87" s="10"/>
      <c r="N87" s="10"/>
      <c r="O87" s="10"/>
      <c r="P87" s="10"/>
      <c r="Q87" s="10"/>
      <c r="R87" s="10"/>
      <c r="S87" s="10"/>
      <c r="T87" s="10"/>
      <c r="U87" s="10"/>
      <c r="V87" s="10"/>
      <c r="W87" s="10"/>
      <c r="X87" s="10"/>
      <c r="Y87" s="10"/>
      <c r="Z87" s="10"/>
      <c r="AA87" s="10"/>
      <c r="AB87" s="10"/>
      <c r="AC87" s="10"/>
    </row>
    <row r="88" spans="1:29" ht="48">
      <c r="A88" s="6" t="s">
        <v>98</v>
      </c>
      <c r="B88" s="7">
        <v>22159.265982299999</v>
      </c>
      <c r="C88" s="8">
        <v>402.9</v>
      </c>
      <c r="D88" s="8">
        <v>6.85</v>
      </c>
      <c r="E88" s="8">
        <v>443.5</v>
      </c>
      <c r="F88" s="9">
        <v>9.1544532130777956E-2</v>
      </c>
      <c r="G88" s="8">
        <v>291.75</v>
      </c>
      <c r="H88" s="9">
        <v>0.38097686375321327</v>
      </c>
      <c r="I88" s="8">
        <v>400.2</v>
      </c>
      <c r="J88" s="9">
        <v>6.7466266866566434E-3</v>
      </c>
      <c r="K88" s="10"/>
      <c r="L88" s="10"/>
      <c r="M88" s="10"/>
      <c r="N88" s="10"/>
      <c r="O88" s="10"/>
      <c r="P88" s="10"/>
      <c r="Q88" s="10"/>
      <c r="R88" s="10"/>
      <c r="S88" s="10"/>
      <c r="T88" s="10"/>
      <c r="U88" s="10"/>
      <c r="V88" s="10"/>
      <c r="W88" s="10"/>
      <c r="X88" s="10"/>
      <c r="Y88" s="10"/>
      <c r="Z88" s="10"/>
      <c r="AA88" s="10"/>
      <c r="AB88" s="10"/>
      <c r="AC88" s="10"/>
    </row>
    <row r="89" spans="1:29" ht="24">
      <c r="A89" s="6" t="s">
        <v>99</v>
      </c>
      <c r="B89" s="7">
        <v>17986.005351399999</v>
      </c>
      <c r="C89" s="8">
        <v>2174.0500000000002</v>
      </c>
      <c r="D89" s="8">
        <v>72.77</v>
      </c>
      <c r="E89" s="8">
        <v>3769.95</v>
      </c>
      <c r="F89" s="9">
        <v>0.42332126420774802</v>
      </c>
      <c r="G89" s="8">
        <v>1805.55</v>
      </c>
      <c r="H89" s="9">
        <v>0.20409293567057143</v>
      </c>
      <c r="I89" s="8">
        <v>2171.85</v>
      </c>
      <c r="J89" s="9">
        <v>1.0129613002740857E-3</v>
      </c>
      <c r="K89" s="10"/>
      <c r="L89" s="10"/>
      <c r="M89" s="10"/>
      <c r="N89" s="10"/>
      <c r="O89" s="10"/>
      <c r="P89" s="10"/>
      <c r="Q89" s="10"/>
      <c r="R89" s="10"/>
      <c r="S89" s="10"/>
      <c r="T89" s="10"/>
      <c r="U89" s="10"/>
      <c r="V89" s="10"/>
      <c r="W89" s="10"/>
      <c r="X89" s="10"/>
      <c r="Y89" s="10"/>
      <c r="Z89" s="10"/>
      <c r="AA89" s="10"/>
      <c r="AB89" s="10"/>
      <c r="AC89" s="10"/>
    </row>
    <row r="90" spans="1:29" ht="24">
      <c r="A90" s="6" t="s">
        <v>100</v>
      </c>
      <c r="B90" s="7">
        <v>12685.7721399</v>
      </c>
      <c r="C90" s="8">
        <v>141.55000000000001</v>
      </c>
      <c r="D90" s="8">
        <v>41.14</v>
      </c>
      <c r="E90" s="8">
        <v>271.95</v>
      </c>
      <c r="F90" s="9">
        <v>0.47949990807133658</v>
      </c>
      <c r="G90" s="8">
        <v>129.25</v>
      </c>
      <c r="H90" s="9">
        <v>9.5164410058027171E-2</v>
      </c>
      <c r="I90" s="8">
        <v>141.4</v>
      </c>
      <c r="J90" s="9">
        <v>1.0608203677511009E-3</v>
      </c>
      <c r="K90" s="10"/>
      <c r="L90" s="10"/>
      <c r="M90" s="10"/>
      <c r="N90" s="10"/>
      <c r="O90" s="10"/>
      <c r="P90" s="10"/>
      <c r="Q90" s="10"/>
      <c r="R90" s="10"/>
      <c r="S90" s="10"/>
      <c r="T90" s="10"/>
      <c r="U90" s="10"/>
      <c r="V90" s="10"/>
      <c r="W90" s="10"/>
      <c r="X90" s="10"/>
      <c r="Y90" s="10"/>
      <c r="Z90" s="10"/>
      <c r="AA90" s="10"/>
      <c r="AB90" s="10"/>
      <c r="AC90" s="10"/>
    </row>
    <row r="91" spans="1:29" ht="24">
      <c r="A91" s="6" t="s">
        <v>101</v>
      </c>
      <c r="B91" s="7">
        <v>15538.83</v>
      </c>
      <c r="C91" s="8">
        <v>1463.5</v>
      </c>
      <c r="D91" s="8">
        <v>61.9</v>
      </c>
      <c r="E91" s="8">
        <v>2624</v>
      </c>
      <c r="F91" s="9">
        <v>0.44226371951219512</v>
      </c>
      <c r="G91" s="8">
        <v>1410.1</v>
      </c>
      <c r="H91" s="9">
        <v>3.7869654634423155E-2</v>
      </c>
      <c r="I91" s="8">
        <v>1471.05</v>
      </c>
      <c r="J91" s="9">
        <v>-5.1323884300329388E-3</v>
      </c>
      <c r="K91" s="10"/>
      <c r="L91" s="10"/>
      <c r="M91" s="10"/>
      <c r="N91" s="10"/>
      <c r="O91" s="10"/>
      <c r="P91" s="10"/>
      <c r="Q91" s="10"/>
      <c r="R91" s="10"/>
      <c r="S91" s="10"/>
      <c r="T91" s="10"/>
      <c r="U91" s="10"/>
      <c r="V91" s="10"/>
      <c r="W91" s="10"/>
      <c r="X91" s="10"/>
      <c r="Y91" s="10"/>
      <c r="Z91" s="10"/>
      <c r="AA91" s="10"/>
      <c r="AB91" s="10"/>
      <c r="AC91" s="10"/>
    </row>
    <row r="92" spans="1:29" ht="24">
      <c r="A92" s="6" t="s">
        <v>102</v>
      </c>
      <c r="B92" s="7">
        <v>17277.2</v>
      </c>
      <c r="C92" s="8">
        <v>5630</v>
      </c>
      <c r="D92" s="8">
        <v>32.19</v>
      </c>
      <c r="E92" s="8">
        <v>7328.75</v>
      </c>
      <c r="F92" s="9">
        <v>0.23179259764625618</v>
      </c>
      <c r="G92" s="8">
        <v>3457.1</v>
      </c>
      <c r="H92" s="9">
        <v>0.62853258511469157</v>
      </c>
      <c r="I92" s="8">
        <v>5672.25</v>
      </c>
      <c r="J92" s="9">
        <v>-7.4485433469963416E-3</v>
      </c>
      <c r="K92" s="10"/>
      <c r="L92" s="10"/>
      <c r="M92" s="10"/>
      <c r="N92" s="10"/>
      <c r="O92" s="10"/>
      <c r="P92" s="10"/>
      <c r="Q92" s="10"/>
      <c r="R92" s="10"/>
      <c r="S92" s="10"/>
      <c r="T92" s="10"/>
      <c r="U92" s="10"/>
      <c r="V92" s="10"/>
      <c r="W92" s="10"/>
      <c r="X92" s="10"/>
      <c r="Y92" s="10"/>
      <c r="Z92" s="10"/>
      <c r="AA92" s="10"/>
      <c r="AB92" s="10"/>
      <c r="AC92" s="10"/>
    </row>
    <row r="93" spans="1:29" ht="24">
      <c r="A93" s="6" t="s">
        <v>103</v>
      </c>
      <c r="B93" s="7">
        <v>10913.18</v>
      </c>
      <c r="C93" s="8">
        <v>555</v>
      </c>
      <c r="D93" s="8">
        <v>42.84</v>
      </c>
      <c r="E93" s="8">
        <v>822.8</v>
      </c>
      <c r="F93" s="9">
        <v>0.3254739912493923</v>
      </c>
      <c r="G93" s="8">
        <v>540</v>
      </c>
      <c r="H93" s="9">
        <v>2.7777777777777776E-2</v>
      </c>
      <c r="I93" s="8">
        <v>557.4</v>
      </c>
      <c r="J93" s="9">
        <v>-4.3057050592034043E-3</v>
      </c>
      <c r="K93" s="10"/>
      <c r="L93" s="10"/>
      <c r="M93" s="10"/>
      <c r="N93" s="10"/>
      <c r="O93" s="10"/>
      <c r="P93" s="10"/>
      <c r="Q93" s="10"/>
      <c r="R93" s="10"/>
      <c r="S93" s="10"/>
      <c r="T93" s="10"/>
      <c r="U93" s="10"/>
      <c r="V93" s="10"/>
      <c r="W93" s="10"/>
      <c r="X93" s="10"/>
      <c r="Y93" s="10"/>
      <c r="Z93" s="10"/>
      <c r="AA93" s="10"/>
      <c r="AB93" s="10"/>
      <c r="AC93" s="10"/>
    </row>
    <row r="94" spans="1:29" ht="24">
      <c r="A94" s="6" t="s">
        <v>104</v>
      </c>
      <c r="B94" s="7">
        <v>13659</v>
      </c>
      <c r="C94" s="8">
        <v>1024</v>
      </c>
      <c r="D94" s="8">
        <v>55.83</v>
      </c>
      <c r="E94" s="8">
        <v>1511</v>
      </c>
      <c r="F94" s="9">
        <v>0.32230311052283256</v>
      </c>
      <c r="G94" s="8">
        <v>871.55</v>
      </c>
      <c r="H94" s="9">
        <v>0.17491824909643744</v>
      </c>
      <c r="I94" s="8">
        <v>1035.55</v>
      </c>
      <c r="J94" s="9">
        <v>-1.1153493312732321E-2</v>
      </c>
      <c r="K94" s="10"/>
      <c r="L94" s="10"/>
      <c r="M94" s="10"/>
      <c r="N94" s="10"/>
      <c r="O94" s="10"/>
      <c r="P94" s="10"/>
      <c r="Q94" s="10"/>
      <c r="R94" s="10"/>
      <c r="S94" s="10"/>
      <c r="T94" s="10"/>
      <c r="U94" s="10"/>
      <c r="V94" s="10"/>
      <c r="W94" s="10"/>
      <c r="X94" s="10"/>
      <c r="Y94" s="10"/>
      <c r="Z94" s="10"/>
      <c r="AA94" s="10"/>
      <c r="AB94" s="10"/>
      <c r="AC94" s="10"/>
    </row>
    <row r="95" spans="1:29" ht="24">
      <c r="A95" s="6" t="s">
        <v>105</v>
      </c>
      <c r="B95" s="7">
        <v>9951.4177428999992</v>
      </c>
      <c r="C95" s="8">
        <v>731.9</v>
      </c>
      <c r="D95" s="8">
        <v>19.489999999999998</v>
      </c>
      <c r="E95" s="8">
        <v>2094.4</v>
      </c>
      <c r="F95" s="9">
        <v>0.65054430863254387</v>
      </c>
      <c r="G95" s="8">
        <v>584.79999999999995</v>
      </c>
      <c r="H95" s="9">
        <v>0.25153898768809857</v>
      </c>
      <c r="I95" s="8">
        <v>724.3</v>
      </c>
      <c r="J95" s="9">
        <v>1.0492889686593985E-2</v>
      </c>
      <c r="K95" s="10"/>
      <c r="L95" s="10"/>
      <c r="M95" s="10"/>
      <c r="N95" s="10"/>
      <c r="O95" s="10"/>
      <c r="P95" s="10"/>
      <c r="Q95" s="10"/>
      <c r="R95" s="10"/>
      <c r="S95" s="10"/>
      <c r="T95" s="10"/>
      <c r="U95" s="10"/>
      <c r="V95" s="10"/>
      <c r="W95" s="10"/>
      <c r="X95" s="10"/>
      <c r="Y95" s="10"/>
      <c r="Z95" s="10"/>
      <c r="AA95" s="10"/>
      <c r="AB95" s="10"/>
      <c r="AC95" s="10"/>
    </row>
    <row r="96" spans="1:29" ht="24">
      <c r="A96" s="6" t="s">
        <v>106</v>
      </c>
      <c r="B96" s="7">
        <v>18827.951669900001</v>
      </c>
      <c r="C96" s="8">
        <v>696.3</v>
      </c>
      <c r="D96" s="8">
        <v>59.82</v>
      </c>
      <c r="E96" s="8">
        <v>764.25</v>
      </c>
      <c r="F96" s="9">
        <v>8.8910696761530975E-2</v>
      </c>
      <c r="G96" s="8">
        <v>440</v>
      </c>
      <c r="H96" s="9">
        <v>0.58249999999999991</v>
      </c>
      <c r="I96" s="8">
        <v>692.45</v>
      </c>
      <c r="J96" s="9">
        <v>5.5599682287528467E-3</v>
      </c>
      <c r="K96" s="10"/>
      <c r="L96" s="10"/>
      <c r="M96" s="10"/>
      <c r="N96" s="10"/>
      <c r="O96" s="10"/>
      <c r="P96" s="10"/>
      <c r="Q96" s="10"/>
      <c r="R96" s="10"/>
      <c r="S96" s="10"/>
      <c r="T96" s="10"/>
      <c r="U96" s="10"/>
      <c r="V96" s="10"/>
      <c r="W96" s="10"/>
      <c r="X96" s="10"/>
      <c r="Y96" s="10"/>
      <c r="Z96" s="10"/>
      <c r="AA96" s="10"/>
      <c r="AB96" s="10"/>
      <c r="AC96" s="10"/>
    </row>
    <row r="97" spans="1:29" ht="24">
      <c r="A97" s="6" t="s">
        <v>107</v>
      </c>
      <c r="B97" s="7">
        <v>12260.1</v>
      </c>
      <c r="C97" s="8">
        <v>1260</v>
      </c>
      <c r="D97" s="8">
        <v>57.79</v>
      </c>
      <c r="E97" s="8">
        <v>2027</v>
      </c>
      <c r="F97" s="9">
        <v>0.37839171188949183</v>
      </c>
      <c r="G97" s="8">
        <v>1204.1500000000001</v>
      </c>
      <c r="H97" s="9">
        <v>4.6381264792592206E-2</v>
      </c>
      <c r="I97" s="8">
        <v>1251.3</v>
      </c>
      <c r="J97" s="9">
        <v>6.9527691201151168E-3</v>
      </c>
      <c r="K97" s="10"/>
      <c r="L97" s="10"/>
      <c r="M97" s="10"/>
      <c r="N97" s="10"/>
      <c r="O97" s="10"/>
      <c r="P97" s="10"/>
      <c r="Q97" s="10"/>
      <c r="R97" s="10"/>
      <c r="S97" s="10"/>
      <c r="T97" s="10"/>
      <c r="U97" s="10"/>
      <c r="V97" s="10"/>
      <c r="W97" s="10"/>
      <c r="X97" s="10"/>
      <c r="Y97" s="10"/>
      <c r="Z97" s="10"/>
      <c r="AA97" s="10"/>
      <c r="AB97" s="10"/>
      <c r="AC97" s="10"/>
    </row>
    <row r="98" spans="1:29" ht="48">
      <c r="A98" s="6" t="s">
        <v>108</v>
      </c>
      <c r="B98" s="7">
        <v>13709.808000000001</v>
      </c>
      <c r="C98" s="8">
        <v>4477</v>
      </c>
      <c r="D98" s="8">
        <v>56.62</v>
      </c>
      <c r="E98" s="8">
        <v>6898.75</v>
      </c>
      <c r="F98" s="9">
        <v>0.35104185540858851</v>
      </c>
      <c r="G98" s="8">
        <v>3676</v>
      </c>
      <c r="H98" s="9">
        <v>0.21789989118607181</v>
      </c>
      <c r="I98" s="8">
        <v>4446.55</v>
      </c>
      <c r="J98" s="9">
        <v>6.8480057572724512E-3</v>
      </c>
      <c r="K98" s="10"/>
      <c r="L98" s="10"/>
      <c r="M98" s="10"/>
      <c r="N98" s="10"/>
      <c r="O98" s="10"/>
      <c r="P98" s="10"/>
      <c r="Q98" s="10"/>
      <c r="R98" s="10"/>
      <c r="S98" s="10"/>
      <c r="T98" s="10"/>
      <c r="U98" s="10"/>
      <c r="V98" s="10"/>
      <c r="W98" s="10"/>
      <c r="X98" s="10"/>
      <c r="Y98" s="10"/>
      <c r="Z98" s="10"/>
      <c r="AA98" s="10"/>
      <c r="AB98" s="10"/>
      <c r="AC98" s="10"/>
    </row>
    <row r="99" spans="1:29" ht="24">
      <c r="A99" s="6" t="s">
        <v>109</v>
      </c>
      <c r="B99" s="7">
        <v>12642.153432900001</v>
      </c>
      <c r="C99" s="8">
        <v>885.05</v>
      </c>
      <c r="D99" s="8">
        <v>59.08</v>
      </c>
      <c r="E99" s="8">
        <v>1359.85</v>
      </c>
      <c r="F99" s="9">
        <v>0.34915615692907304</v>
      </c>
      <c r="G99" s="8">
        <v>785.55</v>
      </c>
      <c r="H99" s="9">
        <v>0.12666284768633443</v>
      </c>
      <c r="I99" s="8">
        <v>884.65</v>
      </c>
      <c r="J99" s="9">
        <v>4.5215621997397534E-4</v>
      </c>
      <c r="K99" s="10"/>
      <c r="L99" s="10"/>
      <c r="M99" s="10"/>
      <c r="N99" s="10"/>
      <c r="O99" s="10"/>
      <c r="P99" s="10"/>
      <c r="Q99" s="10"/>
      <c r="R99" s="10"/>
      <c r="S99" s="10"/>
      <c r="T99" s="10"/>
      <c r="U99" s="10"/>
      <c r="V99" s="10"/>
      <c r="W99" s="10"/>
      <c r="X99" s="10"/>
      <c r="Y99" s="10"/>
      <c r="Z99" s="10"/>
      <c r="AA99" s="10"/>
      <c r="AB99" s="10"/>
      <c r="AC99" s="10"/>
    </row>
    <row r="100" spans="1:29" ht="24">
      <c r="A100" s="6" t="s">
        <v>110</v>
      </c>
      <c r="B100" s="7">
        <v>11261.44</v>
      </c>
      <c r="C100" s="8">
        <v>1077.9000000000001</v>
      </c>
      <c r="D100" s="8">
        <v>37.61</v>
      </c>
      <c r="E100" s="8">
        <v>1654</v>
      </c>
      <c r="F100" s="9">
        <v>0.34830713422007248</v>
      </c>
      <c r="G100" s="8">
        <v>1015</v>
      </c>
      <c r="H100" s="9">
        <v>6.1970443349753782E-2</v>
      </c>
      <c r="I100" s="8">
        <v>1078.6500000000001</v>
      </c>
      <c r="J100" s="9">
        <v>-6.9531358642747876E-4</v>
      </c>
      <c r="K100" s="10"/>
      <c r="L100" s="10"/>
      <c r="M100" s="10"/>
      <c r="N100" s="10"/>
      <c r="O100" s="10"/>
      <c r="P100" s="10"/>
      <c r="Q100" s="10"/>
      <c r="R100" s="10"/>
      <c r="S100" s="10"/>
      <c r="T100" s="10"/>
      <c r="U100" s="10"/>
      <c r="V100" s="10"/>
      <c r="W100" s="10"/>
      <c r="X100" s="10"/>
      <c r="Y100" s="10"/>
      <c r="Z100" s="10"/>
      <c r="AA100" s="10"/>
      <c r="AB100" s="10"/>
      <c r="AC100" s="10"/>
    </row>
    <row r="101" spans="1:29" ht="24">
      <c r="A101" s="6" t="s">
        <v>111</v>
      </c>
      <c r="B101" s="7">
        <v>15554.990685799999</v>
      </c>
      <c r="C101" s="8">
        <v>182.85</v>
      </c>
      <c r="D101" s="8">
        <v>3.39</v>
      </c>
      <c r="E101" s="8">
        <v>194.2</v>
      </c>
      <c r="F101" s="9">
        <v>5.8444902162718818E-2</v>
      </c>
      <c r="G101" s="8">
        <v>130.25</v>
      </c>
      <c r="H101" s="9">
        <v>0.40383877159309017</v>
      </c>
      <c r="I101" s="8">
        <v>182.65</v>
      </c>
      <c r="J101" s="9">
        <v>1.0949904188337729E-3</v>
      </c>
      <c r="K101" s="10"/>
      <c r="L101" s="10"/>
      <c r="M101" s="10"/>
      <c r="N101" s="10"/>
      <c r="O101" s="10"/>
      <c r="P101" s="10"/>
      <c r="Q101" s="10"/>
      <c r="R101" s="10"/>
      <c r="S101" s="10"/>
      <c r="T101" s="10"/>
      <c r="U101" s="10"/>
      <c r="V101" s="10"/>
      <c r="W101" s="10"/>
      <c r="X101" s="10"/>
      <c r="Y101" s="10"/>
      <c r="Z101" s="10"/>
      <c r="AA101" s="10"/>
      <c r="AB101" s="10"/>
      <c r="AC101" s="10"/>
    </row>
    <row r="102" spans="1:29" ht="24">
      <c r="A102" s="6" t="s">
        <v>112</v>
      </c>
      <c r="B102" s="7">
        <v>11658.528174999999</v>
      </c>
      <c r="C102" s="8">
        <v>523.9</v>
      </c>
      <c r="D102" s="8">
        <v>31.54</v>
      </c>
      <c r="E102" s="8">
        <v>749</v>
      </c>
      <c r="F102" s="9">
        <v>0.30053404539385853</v>
      </c>
      <c r="G102" s="8">
        <v>484.7</v>
      </c>
      <c r="H102" s="9">
        <v>8.0874767897668634E-2</v>
      </c>
      <c r="I102" s="8">
        <v>517.65</v>
      </c>
      <c r="J102" s="9">
        <v>1.2073795035255483E-2</v>
      </c>
      <c r="K102" s="10"/>
      <c r="L102" s="10"/>
      <c r="M102" s="10"/>
      <c r="N102" s="10"/>
      <c r="O102" s="10"/>
      <c r="P102" s="10"/>
      <c r="Q102" s="10"/>
      <c r="R102" s="10"/>
      <c r="S102" s="10"/>
      <c r="T102" s="10"/>
      <c r="U102" s="10"/>
      <c r="V102" s="10"/>
      <c r="W102" s="10"/>
      <c r="X102" s="10"/>
      <c r="Y102" s="10"/>
      <c r="Z102" s="10"/>
      <c r="AA102" s="10"/>
      <c r="AB102" s="10"/>
      <c r="AC102" s="10"/>
    </row>
    <row r="103" spans="1:29" ht="24">
      <c r="A103" s="6" t="s">
        <v>113</v>
      </c>
      <c r="B103" s="7">
        <v>10943.5753</v>
      </c>
      <c r="C103" s="8">
        <v>789.5</v>
      </c>
      <c r="D103" s="8">
        <v>35.54</v>
      </c>
      <c r="E103" s="8">
        <v>1049.9000000000001</v>
      </c>
      <c r="F103" s="9">
        <v>0.24802362129726646</v>
      </c>
      <c r="G103" s="8">
        <v>744.7</v>
      </c>
      <c r="H103" s="9">
        <v>6.0158453068349604E-2</v>
      </c>
      <c r="I103" s="8">
        <v>794.05</v>
      </c>
      <c r="J103" s="9">
        <v>-5.7301177507713052E-3</v>
      </c>
      <c r="K103" s="10"/>
      <c r="L103" s="10"/>
      <c r="M103" s="10"/>
      <c r="N103" s="10"/>
      <c r="O103" s="10"/>
      <c r="P103" s="10"/>
      <c r="Q103" s="10"/>
      <c r="R103" s="10"/>
      <c r="S103" s="10"/>
      <c r="T103" s="10"/>
      <c r="U103" s="10"/>
      <c r="V103" s="10"/>
      <c r="W103" s="10"/>
      <c r="X103" s="10"/>
      <c r="Y103" s="10"/>
      <c r="Z103" s="10"/>
      <c r="AA103" s="10"/>
      <c r="AB103" s="10"/>
      <c r="AC103" s="10"/>
    </row>
    <row r="104" spans="1:29" ht="24">
      <c r="A104" s="6" t="s">
        <v>114</v>
      </c>
      <c r="B104" s="7">
        <v>11180.947152799999</v>
      </c>
      <c r="C104" s="8">
        <v>2274</v>
      </c>
      <c r="D104" s="8">
        <v>38.869999999999997</v>
      </c>
      <c r="E104" s="8">
        <v>2971.5</v>
      </c>
      <c r="F104" s="9">
        <v>0.23472993437657749</v>
      </c>
      <c r="G104" s="8">
        <v>2037.15</v>
      </c>
      <c r="H104" s="9">
        <v>0.11626537073853173</v>
      </c>
      <c r="I104" s="8">
        <v>2235.75</v>
      </c>
      <c r="J104" s="9">
        <v>1.7108352901710835E-2</v>
      </c>
      <c r="K104" s="10"/>
      <c r="L104" s="10"/>
      <c r="M104" s="10"/>
      <c r="N104" s="10"/>
      <c r="O104" s="10"/>
      <c r="P104" s="10"/>
      <c r="Q104" s="10"/>
      <c r="R104" s="10"/>
      <c r="S104" s="10"/>
      <c r="T104" s="10"/>
      <c r="U104" s="10"/>
      <c r="V104" s="10"/>
      <c r="W104" s="10"/>
      <c r="X104" s="10"/>
      <c r="Y104" s="10"/>
      <c r="Z104" s="10"/>
      <c r="AA104" s="10"/>
      <c r="AB104" s="10"/>
      <c r="AC104" s="10"/>
    </row>
    <row r="105" spans="1:29" ht="24">
      <c r="A105" s="6" t="s">
        <v>115</v>
      </c>
      <c r="B105" s="7">
        <v>14279.03184</v>
      </c>
      <c r="C105" s="8">
        <v>1068</v>
      </c>
      <c r="D105" s="8" t="s">
        <v>16</v>
      </c>
      <c r="E105" s="8">
        <v>1215.4000000000001</v>
      </c>
      <c r="F105" s="9">
        <v>0.12127694586144486</v>
      </c>
      <c r="G105" s="8">
        <v>731.35</v>
      </c>
      <c r="H105" s="9">
        <v>0.4603131195733916</v>
      </c>
      <c r="I105" s="8">
        <v>1066.2</v>
      </c>
      <c r="J105" s="9">
        <v>1.6882386043893776E-3</v>
      </c>
      <c r="K105" s="10"/>
      <c r="L105" s="10"/>
      <c r="M105" s="10"/>
      <c r="N105" s="10"/>
      <c r="O105" s="10"/>
      <c r="P105" s="10"/>
      <c r="Q105" s="10"/>
      <c r="R105" s="10"/>
      <c r="S105" s="10"/>
      <c r="T105" s="10"/>
      <c r="U105" s="10"/>
      <c r="V105" s="10"/>
      <c r="W105" s="10"/>
      <c r="X105" s="10"/>
      <c r="Y105" s="10"/>
      <c r="Z105" s="10"/>
      <c r="AA105" s="10"/>
      <c r="AB105" s="10"/>
      <c r="AC105" s="10"/>
    </row>
    <row r="106" spans="1:29" ht="24">
      <c r="A106" s="6" t="s">
        <v>116</v>
      </c>
      <c r="B106" s="7">
        <v>12966.0743501</v>
      </c>
      <c r="C106" s="8">
        <v>1436.05</v>
      </c>
      <c r="D106" s="8">
        <v>30.59</v>
      </c>
      <c r="E106" s="8">
        <v>1662.45</v>
      </c>
      <c r="F106" s="9">
        <v>0.13618454690366633</v>
      </c>
      <c r="G106" s="8">
        <v>905.2</v>
      </c>
      <c r="H106" s="9">
        <v>0.58644498453380456</v>
      </c>
      <c r="I106" s="8">
        <v>1435.2</v>
      </c>
      <c r="J106" s="9">
        <v>5.922519509475397E-4</v>
      </c>
      <c r="K106" s="10"/>
      <c r="L106" s="10"/>
      <c r="M106" s="10"/>
      <c r="N106" s="10"/>
      <c r="O106" s="10"/>
      <c r="P106" s="10"/>
      <c r="Q106" s="10"/>
      <c r="R106" s="10"/>
      <c r="S106" s="10"/>
      <c r="T106" s="10"/>
      <c r="U106" s="10"/>
      <c r="V106" s="10"/>
      <c r="W106" s="10"/>
      <c r="X106" s="10"/>
      <c r="Y106" s="10"/>
      <c r="Z106" s="10"/>
      <c r="AA106" s="10"/>
      <c r="AB106" s="10"/>
      <c r="AC106" s="10"/>
    </row>
    <row r="107" spans="1:29" ht="24">
      <c r="A107" s="6" t="s">
        <v>117</v>
      </c>
      <c r="B107" s="7">
        <v>8341.1378050999992</v>
      </c>
      <c r="C107" s="8">
        <v>2358</v>
      </c>
      <c r="D107" s="8">
        <v>25.47</v>
      </c>
      <c r="E107" s="8">
        <v>3447.55</v>
      </c>
      <c r="F107" s="9">
        <v>0.31603602558338534</v>
      </c>
      <c r="G107" s="8">
        <v>2310.1</v>
      </c>
      <c r="H107" s="9">
        <v>2.0735033115449587E-2</v>
      </c>
      <c r="I107" s="8">
        <v>2340.5</v>
      </c>
      <c r="J107" s="9">
        <v>7.4770348216193121E-3</v>
      </c>
      <c r="K107" s="10"/>
      <c r="L107" s="10"/>
      <c r="M107" s="10"/>
      <c r="N107" s="10"/>
      <c r="O107" s="10"/>
      <c r="P107" s="10"/>
      <c r="Q107" s="10"/>
      <c r="R107" s="10"/>
      <c r="S107" s="10"/>
      <c r="T107" s="10"/>
      <c r="U107" s="10"/>
      <c r="V107" s="10"/>
      <c r="W107" s="10"/>
      <c r="X107" s="10"/>
      <c r="Y107" s="10"/>
      <c r="Z107" s="10"/>
      <c r="AA107" s="10"/>
      <c r="AB107" s="10"/>
      <c r="AC107" s="10"/>
    </row>
    <row r="108" spans="1:29" ht="24">
      <c r="A108" s="6" t="s">
        <v>118</v>
      </c>
      <c r="B108" s="7">
        <v>8026.4791851</v>
      </c>
      <c r="C108" s="8">
        <v>293.10000000000002</v>
      </c>
      <c r="D108" s="8"/>
      <c r="E108" s="8">
        <v>579.95000000000005</v>
      </c>
      <c r="F108" s="9">
        <v>0.49461160444865937</v>
      </c>
      <c r="G108" s="8">
        <v>262.3</v>
      </c>
      <c r="H108" s="9">
        <v>0.1174227983225315</v>
      </c>
      <c r="I108" s="8">
        <v>289.10000000000002</v>
      </c>
      <c r="J108" s="9">
        <v>1.3836042891732963E-2</v>
      </c>
      <c r="K108" s="10"/>
      <c r="L108" s="10"/>
      <c r="M108" s="10"/>
      <c r="N108" s="10"/>
      <c r="O108" s="10"/>
      <c r="P108" s="10"/>
      <c r="Q108" s="10"/>
      <c r="R108" s="10"/>
      <c r="S108" s="10"/>
      <c r="T108" s="10"/>
      <c r="U108" s="10"/>
      <c r="V108" s="10"/>
      <c r="W108" s="10"/>
      <c r="X108" s="10"/>
      <c r="Y108" s="10"/>
      <c r="Z108" s="10"/>
      <c r="AA108" s="10"/>
      <c r="AB108" s="10"/>
      <c r="AC108" s="10"/>
    </row>
    <row r="109" spans="1:29" ht="24">
      <c r="A109" s="6" t="s">
        <v>119</v>
      </c>
      <c r="B109" s="7">
        <v>8293.1763761999991</v>
      </c>
      <c r="C109" s="8">
        <v>2562.6999999999998</v>
      </c>
      <c r="D109" s="8">
        <v>20.059999999999999</v>
      </c>
      <c r="E109" s="8">
        <v>3841.85</v>
      </c>
      <c r="F109" s="9">
        <v>0.33295157280997439</v>
      </c>
      <c r="G109" s="8">
        <v>2530</v>
      </c>
      <c r="H109" s="9">
        <v>1.2924901185770679E-2</v>
      </c>
      <c r="I109" s="8">
        <v>2557.4</v>
      </c>
      <c r="J109" s="9">
        <v>2.0724172988190064E-3</v>
      </c>
      <c r="K109" s="10"/>
      <c r="L109" s="10"/>
      <c r="M109" s="10"/>
      <c r="N109" s="10"/>
      <c r="O109" s="10"/>
      <c r="P109" s="10"/>
      <c r="Q109" s="10"/>
      <c r="R109" s="10"/>
      <c r="S109" s="10"/>
      <c r="T109" s="10"/>
      <c r="U109" s="10"/>
      <c r="V109" s="10"/>
      <c r="W109" s="10"/>
      <c r="X109" s="10"/>
      <c r="Y109" s="10"/>
      <c r="Z109" s="10"/>
      <c r="AA109" s="10"/>
      <c r="AB109" s="10"/>
      <c r="AC109" s="10"/>
    </row>
    <row r="110" spans="1:29" ht="24">
      <c r="A110" s="6" t="s">
        <v>120</v>
      </c>
      <c r="B110" s="7">
        <v>7486.1504299999997</v>
      </c>
      <c r="C110" s="8">
        <v>629</v>
      </c>
      <c r="D110" s="8">
        <v>188.97</v>
      </c>
      <c r="E110" s="8">
        <v>1343</v>
      </c>
      <c r="F110" s="9">
        <v>0.53164556962025311</v>
      </c>
      <c r="G110" s="8">
        <v>570</v>
      </c>
      <c r="H110" s="9">
        <v>0.10350877192982456</v>
      </c>
      <c r="I110" s="8">
        <v>625.54999999999995</v>
      </c>
      <c r="J110" s="9">
        <v>5.515146670929655E-3</v>
      </c>
      <c r="K110" s="10"/>
      <c r="L110" s="10"/>
      <c r="M110" s="10"/>
      <c r="N110" s="10"/>
      <c r="O110" s="10"/>
      <c r="P110" s="10"/>
      <c r="Q110" s="10"/>
      <c r="R110" s="10"/>
      <c r="S110" s="10"/>
      <c r="T110" s="10"/>
      <c r="U110" s="10"/>
      <c r="V110" s="10"/>
      <c r="W110" s="10"/>
      <c r="X110" s="10"/>
      <c r="Y110" s="10"/>
      <c r="Z110" s="10"/>
      <c r="AA110" s="10"/>
      <c r="AB110" s="10"/>
      <c r="AC110" s="10"/>
    </row>
    <row r="111" spans="1:29" ht="24">
      <c r="A111" s="6" t="s">
        <v>121</v>
      </c>
      <c r="B111" s="7">
        <v>10644.74</v>
      </c>
      <c r="C111" s="8">
        <v>173</v>
      </c>
      <c r="D111" s="8">
        <v>15.85</v>
      </c>
      <c r="E111" s="8">
        <v>204.5</v>
      </c>
      <c r="F111" s="9">
        <v>0.15403422982885084</v>
      </c>
      <c r="G111" s="8">
        <v>128</v>
      </c>
      <c r="H111" s="9">
        <v>0.3515625</v>
      </c>
      <c r="I111" s="8">
        <v>170.9</v>
      </c>
      <c r="J111" s="9">
        <v>1.2287887653598561E-2</v>
      </c>
      <c r="K111" s="10"/>
      <c r="L111" s="10"/>
      <c r="M111" s="10"/>
      <c r="N111" s="10"/>
      <c r="O111" s="10"/>
      <c r="P111" s="10"/>
      <c r="Q111" s="10"/>
      <c r="R111" s="10"/>
      <c r="S111" s="10"/>
      <c r="T111" s="10"/>
      <c r="U111" s="10"/>
      <c r="V111" s="10"/>
      <c r="W111" s="10"/>
      <c r="X111" s="10"/>
      <c r="Y111" s="10"/>
      <c r="Z111" s="10"/>
      <c r="AA111" s="10"/>
      <c r="AB111" s="10"/>
      <c r="AC111" s="10"/>
    </row>
    <row r="112" spans="1:29" ht="24">
      <c r="A112" s="6" t="s">
        <v>122</v>
      </c>
      <c r="B112" s="7">
        <v>5686.2430000000004</v>
      </c>
      <c r="C112" s="8">
        <v>499.35</v>
      </c>
      <c r="D112" s="8">
        <v>39.43</v>
      </c>
      <c r="E112" s="8">
        <v>833</v>
      </c>
      <c r="F112" s="9">
        <v>0.40054021608643453</v>
      </c>
      <c r="G112" s="8">
        <v>468</v>
      </c>
      <c r="H112" s="9">
        <v>6.6987179487179541E-2</v>
      </c>
      <c r="I112" s="8">
        <v>494.9</v>
      </c>
      <c r="J112" s="9">
        <v>8.9917154980805134E-3</v>
      </c>
      <c r="K112" s="10"/>
      <c r="L112" s="10"/>
      <c r="M112" s="10"/>
      <c r="N112" s="10"/>
      <c r="O112" s="10"/>
      <c r="P112" s="10"/>
      <c r="Q112" s="10"/>
      <c r="R112" s="10"/>
      <c r="S112" s="10"/>
      <c r="T112" s="10"/>
      <c r="U112" s="10"/>
      <c r="V112" s="10"/>
      <c r="W112" s="10"/>
      <c r="X112" s="10"/>
      <c r="Y112" s="10"/>
      <c r="Z112" s="10"/>
      <c r="AA112" s="10"/>
      <c r="AB112" s="10"/>
      <c r="AC112" s="10"/>
    </row>
    <row r="113" spans="1:29" ht="24">
      <c r="A113" s="6" t="s">
        <v>123</v>
      </c>
      <c r="B113" s="7">
        <v>10284.2865</v>
      </c>
      <c r="C113" s="8">
        <v>807.2</v>
      </c>
      <c r="D113" s="8">
        <v>21.59</v>
      </c>
      <c r="E113" s="8">
        <v>1096.05</v>
      </c>
      <c r="F113" s="9">
        <v>0.26353724738834899</v>
      </c>
      <c r="G113" s="8">
        <v>595</v>
      </c>
      <c r="H113" s="9">
        <v>0.35663865546218493</v>
      </c>
      <c r="I113" s="8">
        <v>812.9</v>
      </c>
      <c r="J113" s="9">
        <v>-7.011932587033992E-3</v>
      </c>
      <c r="K113" s="10"/>
      <c r="L113" s="10"/>
      <c r="M113" s="10"/>
      <c r="N113" s="10"/>
      <c r="O113" s="10"/>
      <c r="P113" s="10"/>
      <c r="Q113" s="10"/>
      <c r="R113" s="10"/>
      <c r="S113" s="10"/>
      <c r="T113" s="10"/>
      <c r="U113" s="10"/>
      <c r="V113" s="10"/>
      <c r="W113" s="10"/>
      <c r="X113" s="10"/>
      <c r="Y113" s="10"/>
      <c r="Z113" s="10"/>
      <c r="AA113" s="10"/>
      <c r="AB113" s="10"/>
      <c r="AC113" s="10"/>
    </row>
    <row r="114" spans="1:29" ht="24">
      <c r="A114" s="6" t="s">
        <v>124</v>
      </c>
      <c r="B114" s="7">
        <v>9847.3348600000008</v>
      </c>
      <c r="C114" s="8">
        <v>576.5</v>
      </c>
      <c r="D114" s="8">
        <v>17.05</v>
      </c>
      <c r="E114" s="8">
        <v>668.15</v>
      </c>
      <c r="F114" s="9">
        <v>0.13716979720122724</v>
      </c>
      <c r="G114" s="8">
        <v>438.05</v>
      </c>
      <c r="H114" s="9">
        <v>0.31605981052391274</v>
      </c>
      <c r="I114" s="8">
        <v>590.95000000000005</v>
      </c>
      <c r="J114" s="9">
        <v>-2.445215331246306E-2</v>
      </c>
      <c r="K114" s="10"/>
      <c r="L114" s="10"/>
      <c r="M114" s="10"/>
      <c r="N114" s="10"/>
      <c r="O114" s="10"/>
      <c r="P114" s="10"/>
      <c r="Q114" s="10"/>
      <c r="R114" s="10"/>
      <c r="S114" s="10"/>
      <c r="T114" s="10"/>
      <c r="U114" s="10"/>
      <c r="V114" s="10"/>
      <c r="W114" s="10"/>
      <c r="X114" s="10"/>
      <c r="Y114" s="10"/>
      <c r="Z114" s="10"/>
      <c r="AA114" s="10"/>
      <c r="AB114" s="10"/>
      <c r="AC114" s="10"/>
    </row>
    <row r="115" spans="1:29" ht="24">
      <c r="A115" s="6" t="s">
        <v>125</v>
      </c>
      <c r="B115" s="7">
        <v>7415.8287656000002</v>
      </c>
      <c r="C115" s="8">
        <v>1190.8</v>
      </c>
      <c r="D115" s="8">
        <v>32.119999999999997</v>
      </c>
      <c r="E115" s="8">
        <v>1919</v>
      </c>
      <c r="F115" s="9">
        <v>0.37946847316310583</v>
      </c>
      <c r="G115" s="8">
        <v>1052.5999999999999</v>
      </c>
      <c r="H115" s="9">
        <v>0.13129393881816459</v>
      </c>
      <c r="I115" s="8">
        <v>1197.5999999999999</v>
      </c>
      <c r="J115" s="9">
        <v>-5.6780227120908112E-3</v>
      </c>
      <c r="K115" s="10"/>
      <c r="L115" s="10"/>
      <c r="M115" s="10"/>
      <c r="N115" s="10"/>
      <c r="O115" s="10"/>
      <c r="P115" s="10"/>
      <c r="Q115" s="10"/>
      <c r="R115" s="10"/>
      <c r="S115" s="10"/>
      <c r="T115" s="10"/>
      <c r="U115" s="10"/>
      <c r="V115" s="10"/>
      <c r="W115" s="10"/>
      <c r="X115" s="10"/>
      <c r="Y115" s="10"/>
      <c r="Z115" s="10"/>
      <c r="AA115" s="10"/>
      <c r="AB115" s="10"/>
      <c r="AC115" s="10"/>
    </row>
    <row r="116" spans="1:29" ht="24">
      <c r="A116" s="6" t="s">
        <v>126</v>
      </c>
      <c r="B116" s="7">
        <v>7672.4308320999999</v>
      </c>
      <c r="C116" s="8">
        <v>289.39999999999998</v>
      </c>
      <c r="D116" s="8">
        <v>36.409999999999997</v>
      </c>
      <c r="E116" s="8">
        <v>501.6</v>
      </c>
      <c r="F116" s="9">
        <v>0.4230462519936205</v>
      </c>
      <c r="G116" s="8">
        <v>274.35000000000002</v>
      </c>
      <c r="H116" s="9">
        <v>5.485693457262604E-2</v>
      </c>
      <c r="I116" s="8">
        <v>289.25</v>
      </c>
      <c r="J116" s="9">
        <v>5.185825410543726E-4</v>
      </c>
      <c r="K116" s="10"/>
      <c r="L116" s="10"/>
      <c r="M116" s="10"/>
      <c r="N116" s="10"/>
      <c r="O116" s="10"/>
      <c r="P116" s="10"/>
      <c r="Q116" s="10"/>
      <c r="R116" s="10"/>
      <c r="S116" s="10"/>
      <c r="T116" s="10"/>
      <c r="U116" s="10"/>
      <c r="V116" s="10"/>
      <c r="W116" s="10"/>
      <c r="X116" s="10"/>
      <c r="Y116" s="10"/>
      <c r="Z116" s="10"/>
      <c r="AA116" s="10"/>
      <c r="AB116" s="10"/>
      <c r="AC116" s="10"/>
    </row>
    <row r="117" spans="1:29" ht="24">
      <c r="A117" s="6" t="s">
        <v>127</v>
      </c>
      <c r="B117" s="7">
        <v>10126.79307</v>
      </c>
      <c r="C117" s="8">
        <v>73.599999999999994</v>
      </c>
      <c r="D117" s="8">
        <v>36.15</v>
      </c>
      <c r="E117" s="8">
        <v>101.35</v>
      </c>
      <c r="F117" s="9">
        <v>0.27380365071534291</v>
      </c>
      <c r="G117" s="8">
        <v>51.55</v>
      </c>
      <c r="H117" s="9">
        <v>0.42774005819592625</v>
      </c>
      <c r="I117" s="8">
        <v>72.400000000000006</v>
      </c>
      <c r="J117" s="9">
        <v>1.6574585635358959E-2</v>
      </c>
      <c r="K117" s="10"/>
      <c r="L117" s="10"/>
      <c r="M117" s="10"/>
      <c r="N117" s="10"/>
      <c r="O117" s="10"/>
      <c r="P117" s="10"/>
      <c r="Q117" s="10"/>
      <c r="R117" s="10"/>
      <c r="S117" s="10"/>
      <c r="T117" s="10"/>
      <c r="U117" s="10"/>
      <c r="V117" s="10"/>
      <c r="W117" s="10"/>
      <c r="X117" s="10"/>
      <c r="Y117" s="10"/>
      <c r="Z117" s="10"/>
      <c r="AA117" s="10"/>
      <c r="AB117" s="10"/>
      <c r="AC117" s="10"/>
    </row>
    <row r="118" spans="1:29" ht="24">
      <c r="A118" s="6" t="s">
        <v>128</v>
      </c>
      <c r="B118" s="7">
        <v>8445.0059999999994</v>
      </c>
      <c r="C118" s="8">
        <v>853.05</v>
      </c>
      <c r="D118" s="8">
        <v>15.67</v>
      </c>
      <c r="E118" s="8">
        <v>925</v>
      </c>
      <c r="F118" s="9">
        <v>7.7783783783783839E-2</v>
      </c>
      <c r="G118" s="8">
        <v>666.35</v>
      </c>
      <c r="H118" s="9">
        <v>0.28018308696630889</v>
      </c>
      <c r="I118" s="8">
        <v>862.5</v>
      </c>
      <c r="J118" s="9">
        <v>-1.0956521739130488E-2</v>
      </c>
      <c r="K118" s="10"/>
      <c r="L118" s="10"/>
      <c r="M118" s="10"/>
      <c r="N118" s="10"/>
      <c r="O118" s="10"/>
      <c r="P118" s="10"/>
      <c r="Q118" s="10"/>
      <c r="R118" s="10"/>
      <c r="S118" s="10"/>
      <c r="T118" s="10"/>
      <c r="U118" s="10"/>
      <c r="V118" s="10"/>
      <c r="W118" s="10"/>
      <c r="X118" s="10"/>
      <c r="Y118" s="10"/>
      <c r="Z118" s="10"/>
      <c r="AA118" s="10"/>
      <c r="AB118" s="10"/>
      <c r="AC118" s="10"/>
    </row>
    <row r="119" spans="1:29" ht="48">
      <c r="A119" s="6" t="s">
        <v>129</v>
      </c>
      <c r="B119" s="7">
        <v>10287.9254057</v>
      </c>
      <c r="C119" s="8">
        <v>121.55</v>
      </c>
      <c r="D119" s="8">
        <v>8.6999999999999993</v>
      </c>
      <c r="E119" s="8">
        <v>173.75</v>
      </c>
      <c r="F119" s="9">
        <v>0.30043165467625899</v>
      </c>
      <c r="G119" s="8">
        <v>81.5</v>
      </c>
      <c r="H119" s="9">
        <v>0.49141104294478521</v>
      </c>
      <c r="I119" s="8">
        <v>120.15</v>
      </c>
      <c r="J119" s="9">
        <v>1.1652101539741918E-2</v>
      </c>
      <c r="K119" s="10"/>
      <c r="L119" s="10"/>
      <c r="M119" s="10"/>
      <c r="N119" s="10"/>
      <c r="O119" s="10"/>
      <c r="P119" s="10"/>
      <c r="Q119" s="10"/>
      <c r="R119" s="10"/>
      <c r="S119" s="10"/>
      <c r="T119" s="10"/>
      <c r="U119" s="10"/>
      <c r="V119" s="10"/>
      <c r="W119" s="10"/>
      <c r="X119" s="10"/>
      <c r="Y119" s="10"/>
      <c r="Z119" s="10"/>
      <c r="AA119" s="10"/>
      <c r="AB119" s="10"/>
      <c r="AC119" s="10"/>
    </row>
    <row r="120" spans="1:29" ht="24">
      <c r="A120" s="6" t="s">
        <v>130</v>
      </c>
      <c r="B120" s="7">
        <v>6297.527</v>
      </c>
      <c r="C120" s="8">
        <v>1870</v>
      </c>
      <c r="D120" s="8">
        <v>49.07</v>
      </c>
      <c r="E120" s="8">
        <v>4023.65</v>
      </c>
      <c r="F120" s="9">
        <v>0.53524784710399764</v>
      </c>
      <c r="G120" s="8">
        <v>1844.15</v>
      </c>
      <c r="H120" s="9">
        <v>1.4017297942141316E-2</v>
      </c>
      <c r="I120" s="8">
        <v>1876</v>
      </c>
      <c r="J120" s="9">
        <v>-3.1982942430703624E-3</v>
      </c>
      <c r="K120" s="10"/>
      <c r="L120" s="10"/>
      <c r="M120" s="10"/>
      <c r="N120" s="10"/>
      <c r="O120" s="10"/>
      <c r="P120" s="10"/>
      <c r="Q120" s="10"/>
      <c r="R120" s="10"/>
      <c r="S120" s="10"/>
      <c r="T120" s="10"/>
      <c r="U120" s="10"/>
      <c r="V120" s="10"/>
      <c r="W120" s="10"/>
      <c r="X120" s="10"/>
      <c r="Y120" s="10"/>
      <c r="Z120" s="10"/>
      <c r="AA120" s="10"/>
      <c r="AB120" s="10"/>
      <c r="AC120" s="10"/>
    </row>
    <row r="121" spans="1:29" ht="24">
      <c r="A121" s="6" t="s">
        <v>131</v>
      </c>
      <c r="B121" s="7">
        <v>8584.6690550000003</v>
      </c>
      <c r="C121" s="8">
        <v>891.5</v>
      </c>
      <c r="D121" s="8">
        <v>61.12</v>
      </c>
      <c r="E121" s="8">
        <v>1044.4000000000001</v>
      </c>
      <c r="F121" s="9">
        <v>0.14639984680199164</v>
      </c>
      <c r="G121" s="8">
        <v>652.29999999999995</v>
      </c>
      <c r="H121" s="9">
        <v>0.36670243752874454</v>
      </c>
      <c r="I121" s="8">
        <v>897.9</v>
      </c>
      <c r="J121" s="9">
        <v>-7.1277425103017898E-3</v>
      </c>
      <c r="K121" s="10"/>
      <c r="L121" s="10"/>
      <c r="M121" s="10"/>
      <c r="N121" s="10"/>
      <c r="O121" s="10"/>
      <c r="P121" s="10"/>
      <c r="Q121" s="10"/>
      <c r="R121" s="10"/>
      <c r="S121" s="10"/>
      <c r="T121" s="10"/>
      <c r="U121" s="10"/>
      <c r="V121" s="10"/>
      <c r="W121" s="10"/>
      <c r="X121" s="10"/>
      <c r="Y121" s="10"/>
      <c r="Z121" s="10"/>
      <c r="AA121" s="10"/>
      <c r="AB121" s="10"/>
      <c r="AC121" s="10"/>
    </row>
    <row r="122" spans="1:29" ht="48">
      <c r="A122" s="6" t="s">
        <v>132</v>
      </c>
      <c r="B122" s="7">
        <v>4868.9705459999996</v>
      </c>
      <c r="C122" s="8">
        <v>1555</v>
      </c>
      <c r="D122" s="8">
        <v>7.36</v>
      </c>
      <c r="E122" s="8">
        <v>2870</v>
      </c>
      <c r="F122" s="9">
        <v>0.45818815331010454</v>
      </c>
      <c r="G122" s="8">
        <v>1463.3</v>
      </c>
      <c r="H122" s="9">
        <v>6.2666575548417994E-2</v>
      </c>
      <c r="I122" s="8">
        <v>1559.1</v>
      </c>
      <c r="J122" s="9">
        <v>-2.6297222756718037E-3</v>
      </c>
      <c r="K122" s="10"/>
      <c r="L122" s="10"/>
      <c r="M122" s="10"/>
      <c r="N122" s="10"/>
      <c r="O122" s="10"/>
      <c r="P122" s="10"/>
      <c r="Q122" s="10"/>
      <c r="R122" s="10"/>
      <c r="S122" s="10"/>
      <c r="T122" s="10"/>
      <c r="U122" s="10"/>
      <c r="V122" s="10"/>
      <c r="W122" s="10"/>
      <c r="X122" s="10"/>
      <c r="Y122" s="10"/>
      <c r="Z122" s="10"/>
      <c r="AA122" s="10"/>
      <c r="AB122" s="10"/>
      <c r="AC122" s="10"/>
    </row>
    <row r="123" spans="1:29" ht="24">
      <c r="A123" s="6" t="s">
        <v>133</v>
      </c>
      <c r="B123" s="7">
        <v>8104.1629999999996</v>
      </c>
      <c r="C123" s="8">
        <v>582</v>
      </c>
      <c r="D123" s="8">
        <v>19.25</v>
      </c>
      <c r="E123" s="8">
        <v>694.5</v>
      </c>
      <c r="F123" s="9">
        <v>0.16198704103671707</v>
      </c>
      <c r="G123" s="8">
        <v>457.58</v>
      </c>
      <c r="H123" s="9">
        <v>0.2719087372699856</v>
      </c>
      <c r="I123" s="8">
        <v>574.4</v>
      </c>
      <c r="J123" s="9">
        <v>1.3231197771587783E-2</v>
      </c>
      <c r="K123" s="10"/>
      <c r="L123" s="10"/>
      <c r="M123" s="10"/>
      <c r="N123" s="10"/>
      <c r="O123" s="10"/>
      <c r="P123" s="10"/>
      <c r="Q123" s="10"/>
      <c r="R123" s="10"/>
      <c r="S123" s="10"/>
      <c r="T123" s="10"/>
      <c r="U123" s="10"/>
      <c r="V123" s="10"/>
      <c r="W123" s="10"/>
      <c r="X123" s="10"/>
      <c r="Y123" s="10"/>
      <c r="Z123" s="10"/>
      <c r="AA123" s="10"/>
      <c r="AB123" s="10"/>
      <c r="AC123" s="10"/>
    </row>
    <row r="124" spans="1:29" ht="24">
      <c r="A124" s="6" t="s">
        <v>134</v>
      </c>
      <c r="B124" s="7">
        <v>8815.8228534999998</v>
      </c>
      <c r="C124" s="8">
        <v>3515.05</v>
      </c>
      <c r="D124" s="8">
        <v>95.35</v>
      </c>
      <c r="E124" s="8">
        <v>3619.7</v>
      </c>
      <c r="F124" s="9">
        <v>2.8911235737768225E-2</v>
      </c>
      <c r="G124" s="8">
        <v>2437.75</v>
      </c>
      <c r="H124" s="9">
        <v>0.44192390524048825</v>
      </c>
      <c r="I124" s="8">
        <v>3443.4</v>
      </c>
      <c r="J124" s="9">
        <v>2.0807922402276847E-2</v>
      </c>
      <c r="K124" s="10"/>
      <c r="L124" s="10"/>
      <c r="M124" s="10"/>
      <c r="N124" s="10"/>
      <c r="O124" s="10"/>
      <c r="P124" s="10"/>
      <c r="Q124" s="10"/>
      <c r="R124" s="10"/>
      <c r="S124" s="10"/>
      <c r="T124" s="10"/>
      <c r="U124" s="10"/>
      <c r="V124" s="10"/>
      <c r="W124" s="10"/>
      <c r="X124" s="10"/>
      <c r="Y124" s="10"/>
      <c r="Z124" s="10"/>
      <c r="AA124" s="10"/>
      <c r="AB124" s="10"/>
      <c r="AC124" s="10"/>
    </row>
    <row r="125" spans="1:29" ht="24">
      <c r="A125" s="6" t="s">
        <v>135</v>
      </c>
      <c r="B125" s="7">
        <v>7452.9863359999999</v>
      </c>
      <c r="C125" s="8">
        <v>367.25</v>
      </c>
      <c r="D125" s="8">
        <v>49.25</v>
      </c>
      <c r="E125" s="8">
        <v>617.4</v>
      </c>
      <c r="F125" s="9">
        <v>0.40516682863621639</v>
      </c>
      <c r="G125" s="8">
        <v>305.25</v>
      </c>
      <c r="H125" s="9">
        <v>0.2031122031122031</v>
      </c>
      <c r="I125" s="8">
        <v>368.4</v>
      </c>
      <c r="J125" s="9">
        <v>-3.121606948968451E-3</v>
      </c>
      <c r="K125" s="10"/>
      <c r="L125" s="10"/>
      <c r="M125" s="10"/>
      <c r="N125" s="10"/>
      <c r="O125" s="10"/>
      <c r="P125" s="10"/>
      <c r="Q125" s="10"/>
      <c r="R125" s="10"/>
      <c r="S125" s="10"/>
      <c r="T125" s="10"/>
      <c r="U125" s="10"/>
      <c r="V125" s="10"/>
      <c r="W125" s="10"/>
      <c r="X125" s="10"/>
      <c r="Y125" s="10"/>
      <c r="Z125" s="10"/>
      <c r="AA125" s="10"/>
      <c r="AB125" s="10"/>
      <c r="AC125" s="10"/>
    </row>
    <row r="126" spans="1:29" ht="24">
      <c r="A126" s="6" t="s">
        <v>136</v>
      </c>
      <c r="B126" s="7">
        <v>6488.7224500000002</v>
      </c>
      <c r="C126" s="8">
        <v>353</v>
      </c>
      <c r="D126" s="8">
        <v>35.19</v>
      </c>
      <c r="E126" s="8">
        <v>461.5</v>
      </c>
      <c r="F126" s="9">
        <v>0.23510292524377033</v>
      </c>
      <c r="G126" s="8">
        <v>289.05</v>
      </c>
      <c r="H126" s="9">
        <v>0.22124199965403904</v>
      </c>
      <c r="I126" s="8">
        <v>355.1</v>
      </c>
      <c r="J126" s="9">
        <v>-5.9138270909603564E-3</v>
      </c>
      <c r="K126" s="10"/>
      <c r="L126" s="10"/>
      <c r="M126" s="10"/>
      <c r="N126" s="10"/>
      <c r="O126" s="10"/>
      <c r="P126" s="10"/>
      <c r="Q126" s="10"/>
      <c r="R126" s="10"/>
      <c r="S126" s="10"/>
      <c r="T126" s="10"/>
      <c r="U126" s="10"/>
      <c r="V126" s="10"/>
      <c r="W126" s="10"/>
      <c r="X126" s="10"/>
      <c r="Y126" s="10"/>
      <c r="Z126" s="10"/>
      <c r="AA126" s="10"/>
      <c r="AB126" s="10"/>
      <c r="AC126" s="10"/>
    </row>
    <row r="127" spans="1:29" ht="24">
      <c r="A127" s="6" t="s">
        <v>137</v>
      </c>
      <c r="B127" s="7">
        <v>7451.4657292000002</v>
      </c>
      <c r="C127" s="8">
        <v>873.25</v>
      </c>
      <c r="D127" s="8">
        <v>20.88</v>
      </c>
      <c r="E127" s="8">
        <v>958</v>
      </c>
      <c r="F127" s="9">
        <v>8.8465553235908143E-2</v>
      </c>
      <c r="G127" s="8">
        <v>642</v>
      </c>
      <c r="H127" s="9">
        <v>0.36020249221183803</v>
      </c>
      <c r="I127" s="8">
        <v>861.2</v>
      </c>
      <c r="J127" s="9">
        <v>1.3992104040873147E-2</v>
      </c>
      <c r="K127" s="10"/>
      <c r="L127" s="10"/>
      <c r="M127" s="10"/>
      <c r="N127" s="10"/>
      <c r="O127" s="10"/>
      <c r="P127" s="10"/>
      <c r="Q127" s="10"/>
      <c r="R127" s="10"/>
      <c r="S127" s="10"/>
      <c r="T127" s="10"/>
      <c r="U127" s="10"/>
      <c r="V127" s="10"/>
      <c r="W127" s="10"/>
      <c r="X127" s="10"/>
      <c r="Y127" s="10"/>
      <c r="Z127" s="10"/>
      <c r="AA127" s="10"/>
      <c r="AB127" s="10"/>
      <c r="AC127" s="10"/>
    </row>
    <row r="128" spans="1:29" ht="24">
      <c r="A128" s="6" t="s">
        <v>138</v>
      </c>
      <c r="B128" s="7">
        <v>7705.4309999999996</v>
      </c>
      <c r="C128" s="8">
        <v>318.60000000000002</v>
      </c>
      <c r="D128" s="8">
        <v>16.36</v>
      </c>
      <c r="E128" s="8">
        <v>381.25</v>
      </c>
      <c r="F128" s="9">
        <v>0.16432786885245895</v>
      </c>
      <c r="G128" s="8">
        <v>227</v>
      </c>
      <c r="H128" s="9">
        <v>0.40352422907489</v>
      </c>
      <c r="I128" s="8">
        <v>318.14999999999998</v>
      </c>
      <c r="J128" s="9">
        <v>1.4144271570015574E-3</v>
      </c>
      <c r="K128" s="10"/>
      <c r="L128" s="10"/>
      <c r="M128" s="10"/>
      <c r="N128" s="10"/>
      <c r="O128" s="10"/>
      <c r="P128" s="10"/>
      <c r="Q128" s="10"/>
      <c r="R128" s="10"/>
      <c r="S128" s="10"/>
      <c r="T128" s="10"/>
      <c r="U128" s="10"/>
      <c r="V128" s="10"/>
      <c r="W128" s="10"/>
      <c r="X128" s="10"/>
      <c r="Y128" s="10"/>
      <c r="Z128" s="10"/>
      <c r="AA128" s="10"/>
      <c r="AB128" s="10"/>
      <c r="AC128" s="10"/>
    </row>
    <row r="129" spans="1:29" ht="24">
      <c r="A129" s="6" t="s">
        <v>139</v>
      </c>
      <c r="B129" s="7">
        <v>6985.5829999999996</v>
      </c>
      <c r="C129" s="8">
        <v>1795</v>
      </c>
      <c r="D129" s="8">
        <v>49.5</v>
      </c>
      <c r="E129" s="8">
        <v>2249</v>
      </c>
      <c r="F129" s="9">
        <v>0.20186749666518453</v>
      </c>
      <c r="G129" s="8">
        <v>1444.5</v>
      </c>
      <c r="H129" s="9">
        <v>0.24264451367255105</v>
      </c>
      <c r="I129" s="8">
        <v>1807.4</v>
      </c>
      <c r="J129" s="9">
        <v>-6.8606838552617523E-3</v>
      </c>
      <c r="K129" s="10"/>
      <c r="L129" s="10"/>
      <c r="M129" s="10"/>
      <c r="N129" s="10"/>
      <c r="O129" s="10"/>
      <c r="P129" s="10"/>
      <c r="Q129" s="10"/>
      <c r="R129" s="10"/>
      <c r="S129" s="10"/>
      <c r="T129" s="10"/>
      <c r="U129" s="10"/>
      <c r="V129" s="10"/>
      <c r="W129" s="10"/>
      <c r="X129" s="10"/>
      <c r="Y129" s="10"/>
      <c r="Z129" s="10"/>
      <c r="AA129" s="10"/>
      <c r="AB129" s="10"/>
      <c r="AC129" s="10"/>
    </row>
    <row r="130" spans="1:29" ht="24">
      <c r="A130" s="6" t="s">
        <v>140</v>
      </c>
      <c r="B130" s="7">
        <v>4785.1628070999996</v>
      </c>
      <c r="C130" s="8">
        <v>211.35</v>
      </c>
      <c r="D130" s="8">
        <v>13.73</v>
      </c>
      <c r="E130" s="8">
        <v>496.1</v>
      </c>
      <c r="F130" s="9">
        <v>0.57397702076194312</v>
      </c>
      <c r="G130" s="8">
        <v>202</v>
      </c>
      <c r="H130" s="9">
        <v>4.6287128712871259E-2</v>
      </c>
      <c r="I130" s="8">
        <v>212.4</v>
      </c>
      <c r="J130" s="9">
        <v>-4.9435028248588104E-3</v>
      </c>
      <c r="K130" s="10"/>
      <c r="L130" s="10"/>
      <c r="M130" s="10"/>
      <c r="N130" s="10"/>
      <c r="O130" s="10"/>
      <c r="P130" s="10"/>
      <c r="Q130" s="10"/>
      <c r="R130" s="10"/>
      <c r="S130" s="10"/>
      <c r="T130" s="10"/>
      <c r="U130" s="10"/>
      <c r="V130" s="10"/>
      <c r="W130" s="10"/>
      <c r="X130" s="10"/>
      <c r="Y130" s="10"/>
      <c r="Z130" s="10"/>
      <c r="AA130" s="10"/>
      <c r="AB130" s="10"/>
      <c r="AC130" s="10"/>
    </row>
    <row r="131" spans="1:29" ht="24">
      <c r="A131" s="6" t="s">
        <v>141</v>
      </c>
      <c r="B131" s="7">
        <v>5153.9576635000003</v>
      </c>
      <c r="C131" s="8">
        <v>1714.7</v>
      </c>
      <c r="D131" s="8">
        <v>17.12</v>
      </c>
      <c r="E131" s="8">
        <v>3410.85</v>
      </c>
      <c r="F131" s="9">
        <v>0.49728073647331306</v>
      </c>
      <c r="G131" s="8">
        <v>1492</v>
      </c>
      <c r="H131" s="9">
        <v>0.14926273458445044</v>
      </c>
      <c r="I131" s="8">
        <v>1693.7</v>
      </c>
      <c r="J131" s="9">
        <v>1.2398890004132962E-2</v>
      </c>
      <c r="K131" s="10"/>
      <c r="L131" s="10"/>
      <c r="M131" s="10"/>
      <c r="N131" s="10"/>
      <c r="O131" s="10"/>
      <c r="P131" s="10"/>
      <c r="Q131" s="10"/>
      <c r="R131" s="10"/>
      <c r="S131" s="10"/>
      <c r="T131" s="10"/>
      <c r="U131" s="10"/>
      <c r="V131" s="10"/>
      <c r="W131" s="10"/>
      <c r="X131" s="10"/>
      <c r="Y131" s="10"/>
      <c r="Z131" s="10"/>
      <c r="AA131" s="10"/>
      <c r="AB131" s="10"/>
      <c r="AC131" s="10"/>
    </row>
    <row r="132" spans="1:29" ht="24">
      <c r="A132" s="6" t="s">
        <v>142</v>
      </c>
      <c r="B132" s="7">
        <v>6152.5851505999999</v>
      </c>
      <c r="C132" s="8">
        <v>3024.95</v>
      </c>
      <c r="D132" s="8">
        <v>37.14</v>
      </c>
      <c r="E132" s="8">
        <v>3754.85</v>
      </c>
      <c r="F132" s="9">
        <v>0.19438859075595566</v>
      </c>
      <c r="G132" s="8">
        <v>2619.8000000000002</v>
      </c>
      <c r="H132" s="9">
        <v>0.15464920986334821</v>
      </c>
      <c r="I132" s="8">
        <v>3026.7</v>
      </c>
      <c r="J132" s="9">
        <v>-5.7818746489576107E-4</v>
      </c>
      <c r="K132" s="10"/>
      <c r="L132" s="10"/>
      <c r="M132" s="10"/>
      <c r="N132" s="10"/>
      <c r="O132" s="10"/>
      <c r="P132" s="10"/>
      <c r="Q132" s="10"/>
      <c r="R132" s="10"/>
      <c r="S132" s="10"/>
      <c r="T132" s="10"/>
      <c r="U132" s="10"/>
      <c r="V132" s="10"/>
      <c r="W132" s="10"/>
      <c r="X132" s="10"/>
      <c r="Y132" s="10"/>
      <c r="Z132" s="10"/>
      <c r="AA132" s="10"/>
      <c r="AB132" s="10"/>
      <c r="AC132" s="10"/>
    </row>
    <row r="133" spans="1:29" ht="24">
      <c r="A133" s="6" t="s">
        <v>143</v>
      </c>
      <c r="B133" s="7">
        <v>7046.8192293000002</v>
      </c>
      <c r="C133" s="8">
        <v>1567.45</v>
      </c>
      <c r="D133" s="8">
        <v>53.87</v>
      </c>
      <c r="E133" s="8">
        <v>2110</v>
      </c>
      <c r="F133" s="9">
        <v>0.25713270142180095</v>
      </c>
      <c r="G133" s="8">
        <v>1256.67</v>
      </c>
      <c r="H133" s="9">
        <v>0.24730438380800046</v>
      </c>
      <c r="I133" s="8">
        <v>1576.95</v>
      </c>
      <c r="J133" s="9">
        <v>-6.0242873902152886E-3</v>
      </c>
      <c r="K133" s="10"/>
      <c r="L133" s="10"/>
      <c r="M133" s="10"/>
      <c r="N133" s="10"/>
      <c r="O133" s="10"/>
      <c r="P133" s="10"/>
      <c r="Q133" s="10"/>
      <c r="R133" s="10"/>
      <c r="S133" s="10"/>
      <c r="T133" s="10"/>
      <c r="U133" s="10"/>
      <c r="V133" s="10"/>
      <c r="W133" s="10"/>
      <c r="X133" s="10"/>
      <c r="Y133" s="10"/>
      <c r="Z133" s="10"/>
      <c r="AA133" s="10"/>
      <c r="AB133" s="10"/>
      <c r="AC133" s="10"/>
    </row>
    <row r="134" spans="1:29" ht="24">
      <c r="A134" s="6" t="s">
        <v>144</v>
      </c>
      <c r="B134" s="7">
        <v>6810.5862900000002</v>
      </c>
      <c r="C134" s="8">
        <v>171</v>
      </c>
      <c r="D134" s="8" t="s">
        <v>16</v>
      </c>
      <c r="E134" s="8">
        <v>279.7</v>
      </c>
      <c r="F134" s="9">
        <v>0.38863067572398996</v>
      </c>
      <c r="G134" s="8">
        <v>128.6</v>
      </c>
      <c r="H134" s="9">
        <v>0.32970451010886476</v>
      </c>
      <c r="I134" s="8">
        <v>170.15</v>
      </c>
      <c r="J134" s="9">
        <v>4.9955921245959109E-3</v>
      </c>
      <c r="K134" s="10"/>
      <c r="L134" s="10"/>
      <c r="M134" s="10"/>
      <c r="N134" s="10"/>
      <c r="O134" s="10"/>
      <c r="P134" s="10"/>
      <c r="Q134" s="10"/>
      <c r="R134" s="10"/>
      <c r="S134" s="10"/>
      <c r="T134" s="10"/>
      <c r="U134" s="10"/>
      <c r="V134" s="10"/>
      <c r="W134" s="10"/>
      <c r="X134" s="10"/>
      <c r="Y134" s="10"/>
      <c r="Z134" s="10"/>
      <c r="AA134" s="10"/>
      <c r="AB134" s="10"/>
      <c r="AC134" s="10"/>
    </row>
    <row r="135" spans="1:29" ht="24">
      <c r="A135" s="6" t="s">
        <v>145</v>
      </c>
      <c r="B135" s="7">
        <v>5679.5794913999998</v>
      </c>
      <c r="C135" s="8">
        <v>267.2</v>
      </c>
      <c r="D135" s="8">
        <v>53.9</v>
      </c>
      <c r="E135" s="8">
        <v>372.2</v>
      </c>
      <c r="F135" s="9">
        <v>0.28210639441160668</v>
      </c>
      <c r="G135" s="8">
        <v>244</v>
      </c>
      <c r="H135" s="9">
        <v>9.508196721311471E-2</v>
      </c>
      <c r="I135" s="8">
        <v>268.39999999999998</v>
      </c>
      <c r="J135" s="9">
        <v>-4.4709388971683637E-3</v>
      </c>
      <c r="K135" s="10"/>
      <c r="L135" s="10"/>
      <c r="M135" s="10"/>
      <c r="N135" s="10"/>
      <c r="O135" s="10"/>
      <c r="P135" s="10"/>
      <c r="Q135" s="10"/>
      <c r="R135" s="10"/>
      <c r="S135" s="10"/>
      <c r="T135" s="10"/>
      <c r="U135" s="10"/>
      <c r="V135" s="10"/>
      <c r="W135" s="10"/>
      <c r="X135" s="10"/>
      <c r="Y135" s="10"/>
      <c r="Z135" s="10"/>
      <c r="AA135" s="10"/>
      <c r="AB135" s="10"/>
      <c r="AC135" s="10"/>
    </row>
    <row r="136" spans="1:29" ht="24">
      <c r="A136" s="6" t="s">
        <v>146</v>
      </c>
      <c r="B136" s="7">
        <v>5305.4035807999999</v>
      </c>
      <c r="C136" s="8">
        <v>389.4</v>
      </c>
      <c r="D136" s="8">
        <v>21.44</v>
      </c>
      <c r="E136" s="8">
        <v>638.79999999999995</v>
      </c>
      <c r="F136" s="9">
        <v>0.39041953663118345</v>
      </c>
      <c r="G136" s="8">
        <v>364.1</v>
      </c>
      <c r="H136" s="9">
        <v>6.9486404833836724E-2</v>
      </c>
      <c r="I136" s="8">
        <v>388.7</v>
      </c>
      <c r="J136" s="9">
        <v>1.8008747105736781E-3</v>
      </c>
      <c r="K136" s="10"/>
      <c r="L136" s="10"/>
      <c r="M136" s="10"/>
      <c r="N136" s="10"/>
      <c r="O136" s="10"/>
      <c r="P136" s="10"/>
      <c r="Q136" s="10"/>
      <c r="R136" s="10"/>
      <c r="S136" s="10"/>
      <c r="T136" s="10"/>
      <c r="U136" s="10"/>
      <c r="V136" s="10"/>
      <c r="W136" s="10"/>
      <c r="X136" s="10"/>
      <c r="Y136" s="10"/>
      <c r="Z136" s="10"/>
      <c r="AA136" s="10"/>
      <c r="AB136" s="10"/>
      <c r="AC136" s="10"/>
    </row>
    <row r="137" spans="1:29" ht="24">
      <c r="A137" s="6" t="s">
        <v>147</v>
      </c>
      <c r="B137" s="7">
        <v>6919.97</v>
      </c>
      <c r="C137" s="8">
        <v>5294</v>
      </c>
      <c r="D137" s="8">
        <v>37</v>
      </c>
      <c r="E137" s="8">
        <v>6067.95</v>
      </c>
      <c r="F137" s="9">
        <v>0.1275471946868382</v>
      </c>
      <c r="G137" s="8">
        <v>3518.6</v>
      </c>
      <c r="H137" s="9">
        <v>0.50457568351048721</v>
      </c>
      <c r="I137" s="8">
        <v>5320</v>
      </c>
      <c r="J137" s="9">
        <v>-4.887218045112782E-3</v>
      </c>
      <c r="K137" s="10"/>
      <c r="L137" s="10"/>
      <c r="M137" s="10"/>
      <c r="N137" s="10"/>
      <c r="O137" s="10"/>
      <c r="P137" s="10"/>
      <c r="Q137" s="10"/>
      <c r="R137" s="10"/>
      <c r="S137" s="10"/>
      <c r="T137" s="10"/>
      <c r="U137" s="10"/>
      <c r="V137" s="10"/>
      <c r="W137" s="10"/>
      <c r="X137" s="10"/>
      <c r="Y137" s="10"/>
      <c r="Z137" s="10"/>
      <c r="AA137" s="10"/>
      <c r="AB137" s="10"/>
      <c r="AC137" s="10"/>
    </row>
    <row r="138" spans="1:29" ht="48">
      <c r="A138" s="6" t="s">
        <v>148</v>
      </c>
      <c r="B138" s="7">
        <v>7324.3414709999997</v>
      </c>
      <c r="C138" s="8">
        <v>3465.1</v>
      </c>
      <c r="D138" s="8">
        <v>35.75</v>
      </c>
      <c r="E138" s="8">
        <v>3709.95</v>
      </c>
      <c r="F138" s="9">
        <v>6.5998194045741837E-2</v>
      </c>
      <c r="G138" s="8">
        <v>1845</v>
      </c>
      <c r="H138" s="9">
        <v>0.87810298102981021</v>
      </c>
      <c r="I138" s="8">
        <v>3461.8</v>
      </c>
      <c r="J138" s="9">
        <v>9.5326130914545235E-4</v>
      </c>
      <c r="K138" s="10"/>
      <c r="L138" s="10"/>
      <c r="M138" s="10"/>
      <c r="N138" s="10"/>
      <c r="O138" s="10"/>
      <c r="P138" s="10"/>
      <c r="Q138" s="10"/>
      <c r="R138" s="10"/>
      <c r="S138" s="10"/>
      <c r="T138" s="10"/>
      <c r="U138" s="10"/>
      <c r="V138" s="10"/>
      <c r="W138" s="10"/>
      <c r="X138" s="10"/>
      <c r="Y138" s="10"/>
      <c r="Z138" s="10"/>
      <c r="AA138" s="10"/>
      <c r="AB138" s="10"/>
      <c r="AC138" s="10"/>
    </row>
    <row r="139" spans="1:29" ht="24">
      <c r="A139" s="6" t="s">
        <v>149</v>
      </c>
      <c r="B139" s="7">
        <v>3941.6660000000002</v>
      </c>
      <c r="C139" s="8">
        <v>9517.9</v>
      </c>
      <c r="D139" s="8">
        <v>23.12</v>
      </c>
      <c r="E139" s="8">
        <v>14362.9</v>
      </c>
      <c r="F139" s="9">
        <v>0.33732741995001009</v>
      </c>
      <c r="G139" s="8">
        <v>9301</v>
      </c>
      <c r="H139" s="9">
        <v>2.3320073110418196E-2</v>
      </c>
      <c r="I139" s="8">
        <v>9497.7000000000007</v>
      </c>
      <c r="J139" s="9">
        <v>2.12683070638143E-3</v>
      </c>
      <c r="K139" s="10"/>
      <c r="L139" s="10"/>
      <c r="M139" s="10"/>
      <c r="N139" s="10"/>
      <c r="O139" s="10"/>
      <c r="P139" s="10"/>
      <c r="Q139" s="10"/>
      <c r="R139" s="10"/>
      <c r="S139" s="10"/>
      <c r="T139" s="10"/>
      <c r="U139" s="10"/>
      <c r="V139" s="10"/>
      <c r="W139" s="10"/>
      <c r="X139" s="10"/>
      <c r="Y139" s="10"/>
      <c r="Z139" s="10"/>
      <c r="AA139" s="10"/>
      <c r="AB139" s="10"/>
      <c r="AC139" s="10"/>
    </row>
    <row r="140" spans="1:29" ht="24">
      <c r="A140" s="6" t="s">
        <v>150</v>
      </c>
      <c r="B140" s="7">
        <v>4230.8670000000002</v>
      </c>
      <c r="C140" s="8">
        <v>186.9</v>
      </c>
      <c r="D140" s="8">
        <v>23.18</v>
      </c>
      <c r="E140" s="8">
        <v>242</v>
      </c>
      <c r="F140" s="9">
        <v>0.22768595041322312</v>
      </c>
      <c r="G140" s="8">
        <v>164</v>
      </c>
      <c r="H140" s="9">
        <v>0.13963414634146346</v>
      </c>
      <c r="I140" s="8">
        <v>186.85</v>
      </c>
      <c r="J140" s="9">
        <v>2.6759432700032847E-4</v>
      </c>
      <c r="K140" s="10"/>
      <c r="L140" s="10"/>
      <c r="M140" s="10"/>
      <c r="N140" s="10"/>
      <c r="O140" s="10"/>
      <c r="P140" s="10"/>
      <c r="Q140" s="10"/>
      <c r="R140" s="10"/>
      <c r="S140" s="10"/>
      <c r="T140" s="10"/>
      <c r="U140" s="10"/>
      <c r="V140" s="10"/>
      <c r="W140" s="10"/>
      <c r="X140" s="10"/>
      <c r="Y140" s="10"/>
      <c r="Z140" s="10"/>
      <c r="AA140" s="10"/>
      <c r="AB140" s="10"/>
      <c r="AC140" s="10"/>
    </row>
    <row r="141" spans="1:29" ht="24">
      <c r="A141" s="6" t="s">
        <v>151</v>
      </c>
      <c r="B141" s="7">
        <v>3279.7330000000002</v>
      </c>
      <c r="C141" s="8">
        <v>1669.3</v>
      </c>
      <c r="D141" s="8">
        <v>33.56</v>
      </c>
      <c r="E141" s="8">
        <v>2285.65</v>
      </c>
      <c r="F141" s="9">
        <v>0.2696607092074465</v>
      </c>
      <c r="G141" s="8">
        <v>1276.1500000000001</v>
      </c>
      <c r="H141" s="9">
        <v>0.30807506954511604</v>
      </c>
      <c r="I141" s="8">
        <v>1635.25</v>
      </c>
      <c r="J141" s="9">
        <v>2.0822504204250088E-2</v>
      </c>
      <c r="K141" s="10"/>
      <c r="L141" s="10"/>
      <c r="M141" s="10"/>
      <c r="N141" s="10"/>
      <c r="O141" s="10"/>
      <c r="P141" s="10"/>
      <c r="Q141" s="10"/>
      <c r="R141" s="10"/>
      <c r="S141" s="10"/>
      <c r="T141" s="10"/>
      <c r="U141" s="10"/>
      <c r="V141" s="10"/>
      <c r="W141" s="10"/>
      <c r="X141" s="10"/>
      <c r="Y141" s="10"/>
      <c r="Z141" s="10"/>
      <c r="AA141" s="10"/>
      <c r="AB141" s="10"/>
      <c r="AC141" s="10"/>
    </row>
    <row r="142" spans="1:29" ht="24">
      <c r="A142" s="6" t="s">
        <v>152</v>
      </c>
      <c r="B142" s="7">
        <v>4148.4799999999996</v>
      </c>
      <c r="C142" s="8">
        <v>448</v>
      </c>
      <c r="D142" s="8">
        <v>22.17</v>
      </c>
      <c r="E142" s="8">
        <v>537.4</v>
      </c>
      <c r="F142" s="9">
        <v>0.16635653144771118</v>
      </c>
      <c r="G142" s="8">
        <v>378.4</v>
      </c>
      <c r="H142" s="9">
        <v>0.18393234672304448</v>
      </c>
      <c r="I142" s="8">
        <v>445.5</v>
      </c>
      <c r="J142" s="9">
        <v>5.6116722783389446E-3</v>
      </c>
      <c r="K142" s="10"/>
      <c r="L142" s="10"/>
      <c r="M142" s="10"/>
      <c r="N142" s="10"/>
      <c r="O142" s="10"/>
      <c r="P142" s="10"/>
      <c r="Q142" s="10"/>
      <c r="R142" s="10"/>
      <c r="S142" s="10"/>
      <c r="T142" s="10"/>
      <c r="U142" s="10"/>
      <c r="V142" s="10"/>
      <c r="W142" s="10"/>
      <c r="X142" s="10"/>
      <c r="Y142" s="10"/>
      <c r="Z142" s="10"/>
      <c r="AA142" s="10"/>
      <c r="AB142" s="10"/>
      <c r="AC142" s="10"/>
    </row>
    <row r="143" spans="1:29" ht="24">
      <c r="A143" s="6" t="s">
        <v>153</v>
      </c>
      <c r="B143" s="7">
        <v>6367.8328517999998</v>
      </c>
      <c r="C143" s="8">
        <v>1227.0999999999999</v>
      </c>
      <c r="D143" s="8">
        <v>59.65</v>
      </c>
      <c r="E143" s="8">
        <v>1480</v>
      </c>
      <c r="F143" s="9">
        <v>0.17087837837837844</v>
      </c>
      <c r="G143" s="8">
        <v>575</v>
      </c>
      <c r="H143" s="9">
        <v>1.1340869565217391</v>
      </c>
      <c r="I143" s="8">
        <v>1161.25</v>
      </c>
      <c r="J143" s="9">
        <v>5.6706135629709289E-2</v>
      </c>
      <c r="K143" s="10"/>
      <c r="L143" s="10"/>
      <c r="M143" s="10"/>
      <c r="N143" s="10"/>
      <c r="O143" s="10"/>
      <c r="P143" s="10"/>
      <c r="Q143" s="10"/>
      <c r="R143" s="10"/>
      <c r="S143" s="10"/>
      <c r="T143" s="10"/>
      <c r="U143" s="10"/>
      <c r="V143" s="10"/>
      <c r="W143" s="10"/>
      <c r="X143" s="10"/>
      <c r="Y143" s="10"/>
      <c r="Z143" s="10"/>
      <c r="AA143" s="10"/>
      <c r="AB143" s="10"/>
      <c r="AC143" s="10"/>
    </row>
    <row r="144" spans="1:29" ht="24">
      <c r="A144" s="6" t="s">
        <v>154</v>
      </c>
      <c r="B144" s="7">
        <v>3024.4291291</v>
      </c>
      <c r="C144" s="8">
        <v>571.79999999999995</v>
      </c>
      <c r="D144" s="8">
        <v>35.81</v>
      </c>
      <c r="E144" s="8">
        <v>1087</v>
      </c>
      <c r="F144" s="9">
        <v>0.47396504139834411</v>
      </c>
      <c r="G144" s="8">
        <v>562.1</v>
      </c>
      <c r="H144" s="9">
        <v>1.725671588685275E-2</v>
      </c>
      <c r="I144" s="8">
        <v>574.70000000000005</v>
      </c>
      <c r="J144" s="9">
        <v>-5.0461110144424757E-3</v>
      </c>
      <c r="K144" s="10"/>
      <c r="L144" s="10"/>
      <c r="M144" s="10"/>
      <c r="N144" s="10"/>
      <c r="O144" s="10"/>
      <c r="P144" s="10"/>
      <c r="Q144" s="10"/>
      <c r="R144" s="10"/>
      <c r="S144" s="10"/>
      <c r="T144" s="10"/>
      <c r="U144" s="10"/>
      <c r="V144" s="10"/>
      <c r="W144" s="10"/>
      <c r="X144" s="10"/>
      <c r="Y144" s="10"/>
      <c r="Z144" s="10"/>
      <c r="AA144" s="10"/>
      <c r="AB144" s="10"/>
      <c r="AC144" s="10"/>
    </row>
    <row r="145" spans="1:29" ht="24">
      <c r="A145" s="6" t="s">
        <v>155</v>
      </c>
      <c r="B145" s="7">
        <v>3099.3320457</v>
      </c>
      <c r="C145" s="8">
        <v>1242.8</v>
      </c>
      <c r="D145" s="8">
        <v>68.510000000000005</v>
      </c>
      <c r="E145" s="8">
        <v>1842.2</v>
      </c>
      <c r="F145" s="9">
        <v>0.32537183801975905</v>
      </c>
      <c r="G145" s="8">
        <v>1201.25</v>
      </c>
      <c r="H145" s="9">
        <v>3.4588969823100897E-2</v>
      </c>
      <c r="I145" s="8">
        <v>1229.5</v>
      </c>
      <c r="J145" s="9">
        <v>1.0817405449369625E-2</v>
      </c>
      <c r="K145" s="10"/>
      <c r="L145" s="10"/>
      <c r="M145" s="10"/>
      <c r="N145" s="10"/>
      <c r="O145" s="10"/>
      <c r="P145" s="10"/>
      <c r="Q145" s="10"/>
      <c r="R145" s="10"/>
      <c r="S145" s="10"/>
      <c r="T145" s="10"/>
      <c r="U145" s="10"/>
      <c r="V145" s="10"/>
      <c r="W145" s="10"/>
      <c r="X145" s="10"/>
      <c r="Y145" s="10"/>
      <c r="Z145" s="10"/>
      <c r="AA145" s="10"/>
      <c r="AB145" s="10"/>
      <c r="AC145" s="10"/>
    </row>
    <row r="146" spans="1:29" ht="24">
      <c r="A146" s="6" t="s">
        <v>156</v>
      </c>
      <c r="B146" s="7">
        <v>3345.7206686999998</v>
      </c>
      <c r="C146" s="8">
        <v>717.5</v>
      </c>
      <c r="D146" s="8">
        <v>15.26</v>
      </c>
      <c r="E146" s="8">
        <v>815</v>
      </c>
      <c r="F146" s="9">
        <v>0.1196319018404908</v>
      </c>
      <c r="G146" s="8">
        <v>630.65</v>
      </c>
      <c r="H146" s="9">
        <v>0.13771505589471184</v>
      </c>
      <c r="I146" s="8">
        <v>724.95</v>
      </c>
      <c r="J146" s="9">
        <v>-1.0276570797986131E-2</v>
      </c>
      <c r="K146" s="10"/>
      <c r="L146" s="10"/>
      <c r="M146" s="10"/>
      <c r="N146" s="10"/>
      <c r="O146" s="10"/>
      <c r="P146" s="10"/>
      <c r="Q146" s="10"/>
      <c r="R146" s="10"/>
      <c r="S146" s="10"/>
      <c r="T146" s="10"/>
      <c r="U146" s="10"/>
      <c r="V146" s="10"/>
      <c r="W146" s="10"/>
      <c r="X146" s="10"/>
      <c r="Y146" s="10"/>
      <c r="Z146" s="10"/>
      <c r="AA146" s="10"/>
      <c r="AB146" s="10"/>
      <c r="AC146" s="10"/>
    </row>
    <row r="147" spans="1:29" ht="24">
      <c r="A147" s="6" t="s">
        <v>157</v>
      </c>
      <c r="B147" s="7">
        <v>3094.0985949999999</v>
      </c>
      <c r="C147" s="8">
        <v>276.7</v>
      </c>
      <c r="D147" s="8">
        <v>32.26</v>
      </c>
      <c r="E147" s="8">
        <v>354.9</v>
      </c>
      <c r="F147" s="9">
        <v>0.22034375880529725</v>
      </c>
      <c r="G147" s="8">
        <v>258.39999999999998</v>
      </c>
      <c r="H147" s="9">
        <v>7.0820433436532562E-2</v>
      </c>
      <c r="I147" s="8">
        <v>278.89999999999998</v>
      </c>
      <c r="J147" s="9">
        <v>-7.8881319469343448E-3</v>
      </c>
      <c r="K147" s="10"/>
      <c r="L147" s="10"/>
      <c r="M147" s="10"/>
      <c r="N147" s="10"/>
      <c r="O147" s="10"/>
      <c r="P147" s="10"/>
      <c r="Q147" s="10"/>
      <c r="R147" s="10"/>
      <c r="S147" s="10"/>
      <c r="T147" s="10"/>
      <c r="U147" s="10"/>
      <c r="V147" s="10"/>
      <c r="W147" s="10"/>
      <c r="X147" s="10"/>
      <c r="Y147" s="10"/>
      <c r="Z147" s="10"/>
      <c r="AA147" s="10"/>
      <c r="AB147" s="10"/>
      <c r="AC147" s="10"/>
    </row>
    <row r="148" spans="1:29" ht="24">
      <c r="A148" s="6" t="s">
        <v>158</v>
      </c>
      <c r="B148" s="7">
        <v>2618.5195810999999</v>
      </c>
      <c r="C148" s="8">
        <v>393.65</v>
      </c>
      <c r="D148" s="8">
        <v>19.149999999999999</v>
      </c>
      <c r="E148" s="8">
        <v>666</v>
      </c>
      <c r="F148" s="9">
        <v>0.40893393393393396</v>
      </c>
      <c r="G148" s="8">
        <v>372.4</v>
      </c>
      <c r="H148" s="9">
        <v>5.7062298603651994E-2</v>
      </c>
      <c r="I148" s="8">
        <v>394.45</v>
      </c>
      <c r="J148" s="9">
        <v>-2.028140448726103E-3</v>
      </c>
      <c r="K148" s="10"/>
      <c r="L148" s="10"/>
      <c r="M148" s="10"/>
      <c r="N148" s="10"/>
      <c r="O148" s="10"/>
      <c r="P148" s="10"/>
      <c r="Q148" s="10"/>
      <c r="R148" s="10"/>
      <c r="S148" s="10"/>
      <c r="T148" s="10"/>
      <c r="U148" s="10"/>
      <c r="V148" s="10"/>
      <c r="W148" s="10"/>
      <c r="X148" s="10"/>
      <c r="Y148" s="10"/>
      <c r="Z148" s="10"/>
      <c r="AA148" s="10"/>
      <c r="AB148" s="10"/>
      <c r="AC148" s="10"/>
    </row>
    <row r="149" spans="1:29" ht="24">
      <c r="A149" s="6" t="s">
        <v>159</v>
      </c>
      <c r="B149" s="7">
        <v>2664.2049999999999</v>
      </c>
      <c r="C149" s="8">
        <v>382.15</v>
      </c>
      <c r="D149" s="8">
        <v>17.489999999999998</v>
      </c>
      <c r="E149" s="8">
        <v>671</v>
      </c>
      <c r="F149" s="9">
        <v>0.43047690014903134</v>
      </c>
      <c r="G149" s="8">
        <v>320.85000000000002</v>
      </c>
      <c r="H149" s="9">
        <v>0.19105501012934378</v>
      </c>
      <c r="I149" s="8">
        <v>362.3</v>
      </c>
      <c r="J149" s="9">
        <v>5.4788849020148953E-2</v>
      </c>
      <c r="K149" s="10"/>
      <c r="L149" s="10"/>
      <c r="M149" s="10"/>
      <c r="N149" s="10"/>
      <c r="O149" s="10"/>
      <c r="P149" s="10"/>
      <c r="Q149" s="10"/>
      <c r="R149" s="10"/>
      <c r="S149" s="10"/>
      <c r="T149" s="10"/>
      <c r="U149" s="10"/>
      <c r="V149" s="10"/>
      <c r="W149" s="10"/>
      <c r="X149" s="10"/>
      <c r="Y149" s="10"/>
      <c r="Z149" s="10"/>
      <c r="AA149" s="10"/>
      <c r="AB149" s="10"/>
      <c r="AC149" s="10"/>
    </row>
    <row r="150" spans="1:29" ht="24">
      <c r="A150" s="6" t="s">
        <v>160</v>
      </c>
      <c r="B150" s="7">
        <v>2119.46</v>
      </c>
      <c r="C150" s="8">
        <v>85.4</v>
      </c>
      <c r="D150" s="8">
        <v>302.86</v>
      </c>
      <c r="E150" s="8">
        <v>204.45</v>
      </c>
      <c r="F150" s="9">
        <v>0.58229395940327699</v>
      </c>
      <c r="G150" s="8">
        <v>81.400000000000006</v>
      </c>
      <c r="H150" s="9">
        <v>4.9140049140049137E-2</v>
      </c>
      <c r="I150" s="8">
        <v>85.45</v>
      </c>
      <c r="J150" s="9">
        <v>-5.8513750731418557E-4</v>
      </c>
      <c r="K150" s="10"/>
      <c r="L150" s="10"/>
      <c r="M150" s="10"/>
      <c r="N150" s="10"/>
      <c r="O150" s="10"/>
      <c r="P150" s="10"/>
      <c r="Q150" s="10"/>
      <c r="R150" s="10"/>
      <c r="S150" s="10"/>
      <c r="T150" s="10"/>
      <c r="U150" s="10"/>
      <c r="V150" s="10"/>
      <c r="W150" s="10"/>
      <c r="X150" s="10"/>
      <c r="Y150" s="10"/>
      <c r="Z150" s="10"/>
      <c r="AA150" s="10"/>
      <c r="AB150" s="10"/>
      <c r="AC150" s="10"/>
    </row>
    <row r="151" spans="1:29" ht="24">
      <c r="A151" s="6" t="s">
        <v>161</v>
      </c>
      <c r="B151" s="7">
        <v>3279.6060000000002</v>
      </c>
      <c r="C151" s="8">
        <v>988.1</v>
      </c>
      <c r="D151" s="8">
        <v>41.73</v>
      </c>
      <c r="E151" s="8">
        <v>1057.8499999999999</v>
      </c>
      <c r="F151" s="9">
        <v>6.5935624143309446E-2</v>
      </c>
      <c r="G151" s="8">
        <v>648.04999999999995</v>
      </c>
      <c r="H151" s="9">
        <v>0.52472803024458003</v>
      </c>
      <c r="I151" s="8">
        <v>991.35</v>
      </c>
      <c r="J151" s="9">
        <v>-3.2783577949261106E-3</v>
      </c>
      <c r="K151" s="10"/>
      <c r="L151" s="10"/>
      <c r="M151" s="10"/>
      <c r="N151" s="10"/>
      <c r="O151" s="10"/>
      <c r="P151" s="10"/>
      <c r="Q151" s="10"/>
      <c r="R151" s="10"/>
      <c r="S151" s="10"/>
      <c r="T151" s="10"/>
      <c r="U151" s="10"/>
      <c r="V151" s="10"/>
      <c r="W151" s="10"/>
      <c r="X151" s="10"/>
      <c r="Y151" s="10"/>
      <c r="Z151" s="10"/>
      <c r="AA151" s="10"/>
      <c r="AB151" s="10"/>
      <c r="AC151" s="10"/>
    </row>
    <row r="152" spans="1:29" ht="24">
      <c r="A152" s="6" t="s">
        <v>162</v>
      </c>
      <c r="B152" s="7">
        <v>2676.336957</v>
      </c>
      <c r="C152" s="8">
        <v>10430</v>
      </c>
      <c r="D152" s="8">
        <v>139.72</v>
      </c>
      <c r="E152" s="8">
        <v>14131.25</v>
      </c>
      <c r="F152" s="9">
        <v>0.26191950464396285</v>
      </c>
      <c r="G152" s="8">
        <v>8050</v>
      </c>
      <c r="H152" s="9">
        <v>0.29565217391304349</v>
      </c>
      <c r="I152" s="8">
        <v>10411.1</v>
      </c>
      <c r="J152" s="9">
        <v>1.8153701337994673E-3</v>
      </c>
      <c r="K152" s="10"/>
      <c r="L152" s="10"/>
      <c r="M152" s="10"/>
      <c r="N152" s="10"/>
      <c r="O152" s="10"/>
      <c r="P152" s="10"/>
      <c r="Q152" s="10"/>
      <c r="R152" s="10"/>
      <c r="S152" s="10"/>
      <c r="T152" s="10"/>
      <c r="U152" s="10"/>
      <c r="V152" s="10"/>
      <c r="W152" s="10"/>
      <c r="X152" s="10"/>
      <c r="Y152" s="10"/>
      <c r="Z152" s="10"/>
      <c r="AA152" s="10"/>
      <c r="AB152" s="10"/>
      <c r="AC152" s="10"/>
    </row>
    <row r="153" spans="1:29" ht="24">
      <c r="A153" s="6" t="s">
        <v>163</v>
      </c>
      <c r="B153" s="7">
        <v>1923.4465903</v>
      </c>
      <c r="C153" s="8">
        <v>481.35</v>
      </c>
      <c r="D153" s="8">
        <v>10.9</v>
      </c>
      <c r="E153" s="8">
        <v>744.15</v>
      </c>
      <c r="F153" s="9">
        <v>0.3531546059262245</v>
      </c>
      <c r="G153" s="8">
        <v>477.8</v>
      </c>
      <c r="H153" s="9">
        <v>7.429886982000861E-3</v>
      </c>
      <c r="I153" s="8">
        <v>481.85</v>
      </c>
      <c r="J153" s="9">
        <v>-1.0376673238559717E-3</v>
      </c>
      <c r="K153" s="10"/>
      <c r="L153" s="10"/>
      <c r="M153" s="10"/>
      <c r="N153" s="10"/>
      <c r="O153" s="10"/>
      <c r="P153" s="10"/>
      <c r="Q153" s="10"/>
      <c r="R153" s="10"/>
      <c r="S153" s="10"/>
      <c r="T153" s="10"/>
      <c r="U153" s="10"/>
      <c r="V153" s="10"/>
      <c r="W153" s="10"/>
      <c r="X153" s="10"/>
      <c r="Y153" s="10"/>
      <c r="Z153" s="10"/>
      <c r="AA153" s="10"/>
      <c r="AB153" s="10"/>
      <c r="AC153" s="10"/>
    </row>
    <row r="154" spans="1:29" ht="24">
      <c r="A154" s="6" t="s">
        <v>164</v>
      </c>
      <c r="B154" s="7">
        <v>2250.9146116000002</v>
      </c>
      <c r="C154" s="8">
        <v>577.79999999999995</v>
      </c>
      <c r="D154" s="8">
        <v>67.14</v>
      </c>
      <c r="E154" s="8">
        <v>811.35</v>
      </c>
      <c r="F154" s="9">
        <v>0.28785357737104833</v>
      </c>
      <c r="G154" s="8">
        <v>524.29999999999995</v>
      </c>
      <c r="H154" s="9">
        <v>0.10204081632653061</v>
      </c>
      <c r="I154" s="8">
        <v>583.75</v>
      </c>
      <c r="J154" s="9">
        <v>-1.0192719486081449E-2</v>
      </c>
      <c r="K154" s="10"/>
      <c r="L154" s="10"/>
      <c r="M154" s="10"/>
      <c r="N154" s="10"/>
      <c r="O154" s="10"/>
      <c r="P154" s="10"/>
      <c r="Q154" s="10"/>
      <c r="R154" s="10"/>
      <c r="S154" s="10"/>
      <c r="T154" s="10"/>
      <c r="U154" s="10"/>
      <c r="V154" s="10"/>
      <c r="W154" s="10"/>
      <c r="X154" s="10"/>
      <c r="Y154" s="10"/>
      <c r="Z154" s="10"/>
      <c r="AA154" s="10"/>
      <c r="AB154" s="10"/>
      <c r="AC154" s="10"/>
    </row>
    <row r="155" spans="1:29" ht="24">
      <c r="A155" s="6" t="s">
        <v>165</v>
      </c>
      <c r="B155" s="7">
        <v>2340.1280000000002</v>
      </c>
      <c r="C155" s="8">
        <v>386</v>
      </c>
      <c r="D155" s="8">
        <v>13.46</v>
      </c>
      <c r="E155" s="8">
        <v>519.54999999999995</v>
      </c>
      <c r="F155" s="9">
        <v>0.25704936964680969</v>
      </c>
      <c r="G155" s="8">
        <v>301.10000000000002</v>
      </c>
      <c r="H155" s="9">
        <v>0.28196612421122541</v>
      </c>
      <c r="I155" s="8">
        <v>381.5</v>
      </c>
      <c r="J155" s="9">
        <v>1.1795543905635648E-2</v>
      </c>
      <c r="K155" s="10"/>
      <c r="L155" s="10"/>
      <c r="M155" s="10"/>
      <c r="N155" s="10"/>
      <c r="O155" s="10"/>
      <c r="P155" s="10"/>
      <c r="Q155" s="10"/>
      <c r="R155" s="10"/>
      <c r="S155" s="10"/>
      <c r="T155" s="10"/>
      <c r="U155" s="10"/>
      <c r="V155" s="10"/>
      <c r="W155" s="10"/>
      <c r="X155" s="10"/>
      <c r="Y155" s="10"/>
      <c r="Z155" s="10"/>
      <c r="AA155" s="10"/>
      <c r="AB155" s="10"/>
      <c r="AC155" s="10"/>
    </row>
    <row r="156" spans="1:29" ht="48">
      <c r="A156" s="6" t="s">
        <v>166</v>
      </c>
      <c r="B156" s="7">
        <v>3335.191069</v>
      </c>
      <c r="C156" s="8">
        <v>462.25</v>
      </c>
      <c r="D156" s="8">
        <v>33.36</v>
      </c>
      <c r="E156" s="8">
        <v>480.4</v>
      </c>
      <c r="F156" s="9">
        <v>3.7781015820149831E-2</v>
      </c>
      <c r="G156" s="8">
        <v>258.95</v>
      </c>
      <c r="H156" s="9">
        <v>0.78509364742228238</v>
      </c>
      <c r="I156" s="8">
        <v>473.2</v>
      </c>
      <c r="J156" s="9">
        <v>-2.314032121724427E-2</v>
      </c>
      <c r="K156" s="10"/>
      <c r="L156" s="10"/>
      <c r="M156" s="10"/>
      <c r="N156" s="10"/>
      <c r="O156" s="10"/>
      <c r="P156" s="10"/>
      <c r="Q156" s="10"/>
      <c r="R156" s="10"/>
      <c r="S156" s="10"/>
      <c r="T156" s="10"/>
      <c r="U156" s="10"/>
      <c r="V156" s="10"/>
      <c r="W156" s="10"/>
      <c r="X156" s="10"/>
      <c r="Y156" s="10"/>
      <c r="Z156" s="10"/>
      <c r="AA156" s="10"/>
      <c r="AB156" s="10"/>
      <c r="AC156" s="10"/>
    </row>
    <row r="157" spans="1:29" ht="24">
      <c r="A157" s="6" t="s">
        <v>167</v>
      </c>
      <c r="B157" s="7">
        <v>1794.6404408000001</v>
      </c>
      <c r="C157" s="8">
        <v>411.45</v>
      </c>
      <c r="D157" s="8" t="s">
        <v>16</v>
      </c>
      <c r="E157" s="8">
        <v>528.35</v>
      </c>
      <c r="F157" s="9">
        <v>0.22125485000473177</v>
      </c>
      <c r="G157" s="8">
        <v>366.05</v>
      </c>
      <c r="H157" s="9">
        <v>0.1240267722988662</v>
      </c>
      <c r="I157" s="8">
        <v>412.2</v>
      </c>
      <c r="J157" s="9">
        <v>-1.8195050946142649E-3</v>
      </c>
      <c r="K157" s="10"/>
      <c r="L157" s="10"/>
      <c r="M157" s="10"/>
      <c r="N157" s="10"/>
      <c r="O157" s="10"/>
      <c r="P157" s="10"/>
      <c r="Q157" s="10"/>
      <c r="R157" s="10"/>
      <c r="S157" s="10"/>
      <c r="T157" s="10"/>
      <c r="U157" s="10"/>
      <c r="V157" s="10"/>
      <c r="W157" s="10"/>
      <c r="X157" s="10"/>
      <c r="Y157" s="10"/>
      <c r="Z157" s="10"/>
      <c r="AA157" s="10"/>
      <c r="AB157" s="10"/>
      <c r="AC157" s="10"/>
    </row>
    <row r="158" spans="1:29" ht="48">
      <c r="A158" s="6" t="s">
        <v>168</v>
      </c>
      <c r="B158" s="7">
        <v>1954.3679999999999</v>
      </c>
      <c r="C158" s="8">
        <v>118.6</v>
      </c>
      <c r="D158" s="8">
        <v>8.27</v>
      </c>
      <c r="E158" s="8">
        <v>182.4</v>
      </c>
      <c r="F158" s="9">
        <v>0.34978070175438603</v>
      </c>
      <c r="G158" s="8">
        <v>98</v>
      </c>
      <c r="H158" s="9">
        <v>0.210204081632653</v>
      </c>
      <c r="I158" s="8">
        <v>120.25</v>
      </c>
      <c r="J158" s="9">
        <v>-1.3721413721413769E-2</v>
      </c>
      <c r="K158" s="10"/>
      <c r="L158" s="10"/>
      <c r="M158" s="10"/>
      <c r="N158" s="10"/>
      <c r="O158" s="10"/>
      <c r="P158" s="10"/>
      <c r="Q158" s="10"/>
      <c r="R158" s="10"/>
      <c r="S158" s="10"/>
      <c r="T158" s="10"/>
      <c r="U158" s="10"/>
      <c r="V158" s="10"/>
      <c r="W158" s="10"/>
      <c r="X158" s="10"/>
      <c r="Y158" s="10"/>
      <c r="Z158" s="10"/>
      <c r="AA158" s="10"/>
      <c r="AB158" s="10"/>
      <c r="AC158" s="10"/>
    </row>
    <row r="159" spans="1:29" ht="24">
      <c r="A159" s="6" t="s">
        <v>169</v>
      </c>
      <c r="B159" s="7">
        <v>1991.1000154999999</v>
      </c>
      <c r="C159" s="8">
        <v>510</v>
      </c>
      <c r="D159" s="8">
        <v>64.75</v>
      </c>
      <c r="E159" s="8">
        <v>635.70000000000005</v>
      </c>
      <c r="F159" s="9">
        <v>0.1977347805568665</v>
      </c>
      <c r="G159" s="8">
        <v>395</v>
      </c>
      <c r="H159" s="9">
        <v>0.29113924050632911</v>
      </c>
      <c r="I159" s="8">
        <v>514.85</v>
      </c>
      <c r="J159" s="9">
        <v>-9.4202194814023942E-3</v>
      </c>
      <c r="K159" s="10"/>
      <c r="L159" s="10"/>
      <c r="M159" s="10"/>
      <c r="N159" s="10"/>
      <c r="O159" s="10"/>
      <c r="P159" s="10"/>
      <c r="Q159" s="10"/>
      <c r="R159" s="10"/>
      <c r="S159" s="10"/>
      <c r="T159" s="10"/>
      <c r="U159" s="10"/>
      <c r="V159" s="10"/>
      <c r="W159" s="10"/>
      <c r="X159" s="10"/>
      <c r="Y159" s="10"/>
      <c r="Z159" s="10"/>
      <c r="AA159" s="10"/>
      <c r="AB159" s="10"/>
      <c r="AC159" s="10"/>
    </row>
    <row r="160" spans="1:29" ht="24">
      <c r="A160" s="6" t="s">
        <v>170</v>
      </c>
      <c r="B160" s="7">
        <v>1482.0733620000001</v>
      </c>
      <c r="C160" s="8">
        <v>638.25</v>
      </c>
      <c r="D160" s="8" t="s">
        <v>16</v>
      </c>
      <c r="E160" s="8">
        <v>649.70000000000005</v>
      </c>
      <c r="F160" s="9">
        <v>1.7623518547021769E-2</v>
      </c>
      <c r="G160" s="8">
        <v>634.15</v>
      </c>
      <c r="H160" s="9">
        <v>6.4653473153039867E-3</v>
      </c>
      <c r="I160" s="8">
        <v>636.85</v>
      </c>
      <c r="J160" s="9">
        <v>2.198319855538945E-3</v>
      </c>
      <c r="K160" s="10"/>
      <c r="L160" s="10"/>
      <c r="M160" s="10"/>
      <c r="N160" s="10"/>
      <c r="O160" s="10"/>
      <c r="P160" s="10"/>
      <c r="Q160" s="10"/>
      <c r="R160" s="10"/>
      <c r="S160" s="10"/>
      <c r="T160" s="10"/>
      <c r="U160" s="10"/>
      <c r="V160" s="10"/>
      <c r="W160" s="10"/>
      <c r="X160" s="10"/>
      <c r="Y160" s="10"/>
      <c r="Z160" s="10"/>
      <c r="AA160" s="10"/>
      <c r="AB160" s="10"/>
      <c r="AC160" s="10"/>
    </row>
    <row r="161" spans="1:29" ht="48">
      <c r="A161" s="6" t="s">
        <v>171</v>
      </c>
      <c r="B161" s="7">
        <v>1059.9071153</v>
      </c>
      <c r="C161" s="8">
        <v>288.10000000000002</v>
      </c>
      <c r="D161" s="8">
        <v>15.51</v>
      </c>
      <c r="E161" s="8">
        <v>477.95</v>
      </c>
      <c r="F161" s="9">
        <v>0.39721728214248347</v>
      </c>
      <c r="G161" s="8">
        <v>261</v>
      </c>
      <c r="H161" s="9">
        <v>0.10383141762452117</v>
      </c>
      <c r="I161" s="8">
        <v>290.10000000000002</v>
      </c>
      <c r="J161" s="9">
        <v>-6.8941744226128912E-3</v>
      </c>
      <c r="K161" s="10"/>
      <c r="L161" s="10"/>
      <c r="M161" s="10"/>
      <c r="N161" s="10"/>
      <c r="O161" s="10"/>
      <c r="P161" s="10"/>
      <c r="Q161" s="10"/>
      <c r="R161" s="10"/>
      <c r="S161" s="10"/>
      <c r="T161" s="10"/>
      <c r="U161" s="10"/>
      <c r="V161" s="10"/>
      <c r="W161" s="10"/>
      <c r="X161" s="10"/>
      <c r="Y161" s="10"/>
      <c r="Z161" s="10"/>
      <c r="AA161" s="10"/>
      <c r="AB161" s="10"/>
      <c r="AC161" s="10"/>
    </row>
    <row r="162" spans="1:29" ht="24">
      <c r="A162" s="6" t="s">
        <v>172</v>
      </c>
      <c r="B162" s="7">
        <v>404.80247370000001</v>
      </c>
      <c r="C162" s="8">
        <v>404.35</v>
      </c>
      <c r="D162" s="8" t="s">
        <v>16</v>
      </c>
      <c r="E162" s="8">
        <v>1936</v>
      </c>
      <c r="F162" s="9">
        <v>0.79114152892561984</v>
      </c>
      <c r="G162" s="8">
        <v>401</v>
      </c>
      <c r="H162" s="9">
        <v>8.3541147132170143E-3</v>
      </c>
      <c r="I162" s="8">
        <v>408.5</v>
      </c>
      <c r="J162" s="9">
        <v>-1.0159118727050128E-2</v>
      </c>
      <c r="K162" s="10"/>
      <c r="L162" s="10"/>
      <c r="M162" s="10"/>
      <c r="N162" s="10"/>
      <c r="O162" s="10"/>
      <c r="P162" s="10"/>
      <c r="Q162" s="10"/>
      <c r="R162" s="10"/>
      <c r="S162" s="10"/>
      <c r="T162" s="10"/>
      <c r="U162" s="10"/>
      <c r="V162" s="10"/>
      <c r="W162" s="10"/>
      <c r="X162" s="10"/>
      <c r="Y162" s="10"/>
      <c r="Z162" s="10"/>
      <c r="AA162" s="10"/>
      <c r="AB162" s="10"/>
      <c r="AC162" s="10"/>
    </row>
    <row r="163" spans="1:29" ht="24">
      <c r="A163" s="6" t="s">
        <v>173</v>
      </c>
      <c r="B163" s="7">
        <v>880.68924689999994</v>
      </c>
      <c r="C163" s="8">
        <v>4323.5</v>
      </c>
      <c r="D163" s="8">
        <v>23.13</v>
      </c>
      <c r="E163" s="8">
        <v>4759.6000000000004</v>
      </c>
      <c r="F163" s="9">
        <v>9.162534666778728E-2</v>
      </c>
      <c r="G163" s="8">
        <v>3654</v>
      </c>
      <c r="H163" s="9">
        <v>0.18322386425834702</v>
      </c>
      <c r="I163" s="8">
        <v>4310.6000000000004</v>
      </c>
      <c r="J163" s="9">
        <v>2.9926228367279811E-3</v>
      </c>
      <c r="K163" s="10"/>
      <c r="L163" s="10"/>
      <c r="M163" s="10"/>
      <c r="N163" s="10"/>
      <c r="O163" s="10"/>
      <c r="P163" s="10"/>
      <c r="Q163" s="10"/>
      <c r="R163" s="10"/>
      <c r="S163" s="10"/>
      <c r="T163" s="10"/>
      <c r="U163" s="10"/>
      <c r="V163" s="10"/>
      <c r="W163" s="10"/>
      <c r="X163" s="10"/>
      <c r="Y163" s="10"/>
      <c r="Z163" s="10"/>
      <c r="AA163" s="10"/>
      <c r="AB163" s="10"/>
      <c r="AC163" s="10"/>
    </row>
    <row r="164" spans="1:29" ht="24">
      <c r="A164" s="6" t="s">
        <v>174</v>
      </c>
      <c r="B164" s="7">
        <v>11060.0657861</v>
      </c>
      <c r="C164" s="8">
        <v>1601</v>
      </c>
      <c r="D164" s="8">
        <v>21.39</v>
      </c>
      <c r="E164" s="8">
        <v>1722.1</v>
      </c>
      <c r="F164" s="9">
        <v>7.0321119563323806E-2</v>
      </c>
      <c r="G164" s="8">
        <v>1271.5999999999999</v>
      </c>
      <c r="H164" s="9">
        <v>0.25904372444164842</v>
      </c>
      <c r="I164" s="8">
        <v>1599.4</v>
      </c>
      <c r="J164" s="9">
        <v>1.0003751406776973E-3</v>
      </c>
      <c r="K164" s="10"/>
      <c r="L164" s="10"/>
      <c r="M164" s="10"/>
      <c r="N164" s="10"/>
      <c r="O164" s="10"/>
      <c r="P164" s="10"/>
      <c r="Q164" s="10"/>
      <c r="R164" s="10"/>
      <c r="S164" s="10"/>
      <c r="T164" s="10"/>
      <c r="U164" s="10"/>
      <c r="V164" s="10"/>
      <c r="W164" s="10"/>
      <c r="X164" s="10"/>
      <c r="Y164" s="10"/>
      <c r="Z164" s="10"/>
      <c r="AA164" s="10"/>
      <c r="AB164" s="10"/>
      <c r="AC164" s="10"/>
    </row>
    <row r="165" spans="1:29" ht="24">
      <c r="A165" s="6" t="s">
        <v>175</v>
      </c>
      <c r="B165" s="7">
        <v>8463.6612353</v>
      </c>
      <c r="C165" s="8">
        <v>553.4</v>
      </c>
      <c r="D165" s="8">
        <v>15.6</v>
      </c>
      <c r="E165" s="8">
        <v>593.9</v>
      </c>
      <c r="F165" s="9">
        <v>6.8193298535106917E-2</v>
      </c>
      <c r="G165" s="8">
        <v>343.5</v>
      </c>
      <c r="H165" s="9">
        <v>0.61106259097525462</v>
      </c>
      <c r="I165" s="8">
        <v>539.85</v>
      </c>
      <c r="J165" s="9">
        <v>2.5099564693896369E-2</v>
      </c>
      <c r="K165" s="10"/>
      <c r="L165" s="10"/>
      <c r="M165" s="10"/>
      <c r="N165" s="10"/>
      <c r="O165" s="10"/>
      <c r="P165" s="10"/>
      <c r="Q165" s="10"/>
      <c r="R165" s="10"/>
      <c r="S165" s="10"/>
      <c r="T165" s="10"/>
      <c r="U165" s="10"/>
      <c r="V165" s="10"/>
      <c r="W165" s="10"/>
      <c r="X165" s="10"/>
      <c r="Y165" s="10"/>
      <c r="Z165" s="10"/>
      <c r="AA165" s="10"/>
      <c r="AB165" s="10"/>
      <c r="AC165" s="10"/>
    </row>
    <row r="166" spans="1:29" ht="24">
      <c r="A166" s="6" t="s">
        <v>176</v>
      </c>
      <c r="B166" s="7">
        <v>15766.33509</v>
      </c>
      <c r="C166" s="8">
        <v>252.6</v>
      </c>
      <c r="D166" s="8">
        <v>23.69</v>
      </c>
      <c r="E166" s="8">
        <v>375.2</v>
      </c>
      <c r="F166" s="9">
        <v>0.32675906183368869</v>
      </c>
      <c r="G166" s="8">
        <v>241.05</v>
      </c>
      <c r="H166" s="9">
        <v>4.7915370255133719E-2</v>
      </c>
      <c r="I166" s="8">
        <v>251.9</v>
      </c>
      <c r="J166" s="9">
        <v>2.778880508138105E-3</v>
      </c>
      <c r="K166" s="10"/>
      <c r="L166" s="10"/>
      <c r="M166" s="10"/>
      <c r="N166" s="10"/>
      <c r="O166" s="10"/>
      <c r="P166" s="10"/>
      <c r="Q166" s="10"/>
      <c r="R166" s="10"/>
      <c r="S166" s="10"/>
      <c r="T166" s="10"/>
      <c r="U166" s="10"/>
      <c r="V166" s="10"/>
      <c r="W166" s="10"/>
      <c r="X166" s="10"/>
      <c r="Y166" s="10"/>
      <c r="Z166" s="10"/>
      <c r="AA166" s="10"/>
      <c r="AB166" s="10"/>
      <c r="AC166" s="10"/>
    </row>
    <row r="167" spans="1:29" ht="24">
      <c r="A167" s="6" t="s">
        <v>177</v>
      </c>
      <c r="B167" s="7">
        <v>47348.12</v>
      </c>
      <c r="C167" s="8">
        <v>22241</v>
      </c>
      <c r="D167" s="8">
        <v>53.6</v>
      </c>
      <c r="E167" s="8">
        <v>22499</v>
      </c>
      <c r="F167" s="9">
        <v>1.1467176318947508E-2</v>
      </c>
      <c r="G167" s="8">
        <v>15514</v>
      </c>
      <c r="H167" s="9">
        <v>0.4336083537450045</v>
      </c>
      <c r="I167" s="8">
        <v>22162.55</v>
      </c>
      <c r="J167" s="9">
        <v>3.5397551274560343E-3</v>
      </c>
      <c r="K167" s="10"/>
      <c r="L167" s="10"/>
      <c r="M167" s="10"/>
      <c r="N167" s="10"/>
      <c r="O167" s="10"/>
      <c r="P167" s="10"/>
      <c r="Q167" s="10"/>
      <c r="R167" s="10"/>
      <c r="S167" s="10"/>
      <c r="T167" s="10"/>
      <c r="U167" s="10"/>
      <c r="V167" s="10"/>
      <c r="W167" s="10"/>
      <c r="X167" s="10"/>
      <c r="Y167" s="10"/>
      <c r="Z167" s="10"/>
      <c r="AA167" s="10"/>
      <c r="AB167" s="10"/>
      <c r="AC167" s="10"/>
    </row>
    <row r="168" spans="1:29" ht="24">
      <c r="A168" s="6" t="s">
        <v>178</v>
      </c>
      <c r="B168" s="7">
        <v>287213.2945283</v>
      </c>
      <c r="C168" s="8">
        <v>933.9</v>
      </c>
      <c r="D168" s="8">
        <v>15.67</v>
      </c>
      <c r="E168" s="8">
        <v>970</v>
      </c>
      <c r="F168" s="9">
        <v>3.7216494845360847E-2</v>
      </c>
      <c r="G168" s="8">
        <v>618.25</v>
      </c>
      <c r="H168" s="9">
        <v>0.51055398301657906</v>
      </c>
      <c r="I168" s="8">
        <v>935.55</v>
      </c>
      <c r="J168" s="9">
        <v>-1.7636684303350728E-3</v>
      </c>
      <c r="K168" s="10"/>
      <c r="L168" s="10"/>
      <c r="M168" s="10"/>
      <c r="N168" s="10"/>
      <c r="O168" s="10"/>
      <c r="P168" s="10"/>
      <c r="Q168" s="10"/>
      <c r="R168" s="10"/>
      <c r="S168" s="10"/>
      <c r="T168" s="10"/>
      <c r="U168" s="10"/>
      <c r="V168" s="10"/>
      <c r="W168" s="10"/>
      <c r="X168" s="10"/>
      <c r="Y168" s="10"/>
      <c r="Z168" s="10"/>
      <c r="AA168" s="10"/>
      <c r="AB168" s="10"/>
      <c r="AC168" s="10"/>
    </row>
    <row r="169" spans="1:29" ht="24">
      <c r="A169" s="6" t="s">
        <v>179</v>
      </c>
      <c r="B169" s="7">
        <v>95565.8761753</v>
      </c>
      <c r="C169" s="8">
        <v>184.9</v>
      </c>
      <c r="D169" s="8">
        <v>9.7200000000000006</v>
      </c>
      <c r="E169" s="8">
        <v>197.2</v>
      </c>
      <c r="F169" s="9">
        <v>6.2373225152129737E-2</v>
      </c>
      <c r="G169" s="8">
        <v>89.9</v>
      </c>
      <c r="H169" s="9">
        <v>1.0567296996662958</v>
      </c>
      <c r="I169" s="8">
        <v>181.8</v>
      </c>
      <c r="J169" s="9">
        <v>1.7051705170517021E-2</v>
      </c>
      <c r="K169" s="10"/>
      <c r="L169" s="10"/>
      <c r="M169" s="10"/>
      <c r="N169" s="10"/>
      <c r="O169" s="10"/>
      <c r="P169" s="10"/>
      <c r="Q169" s="10"/>
      <c r="R169" s="10"/>
      <c r="S169" s="10"/>
      <c r="T169" s="10"/>
      <c r="U169" s="10"/>
      <c r="V169" s="10"/>
      <c r="W169" s="10"/>
      <c r="X169" s="10"/>
      <c r="Y169" s="10"/>
      <c r="Z169" s="10"/>
      <c r="AA169" s="10"/>
      <c r="AB169" s="10"/>
      <c r="AC169" s="10"/>
    </row>
    <row r="170" spans="1:29" ht="24">
      <c r="A170" s="6" t="s">
        <v>180</v>
      </c>
      <c r="B170" s="7">
        <v>535431.32466749998</v>
      </c>
      <c r="C170" s="8">
        <v>600.04999999999995</v>
      </c>
      <c r="D170" s="8">
        <v>13</v>
      </c>
      <c r="E170" s="8">
        <v>629.65</v>
      </c>
      <c r="F170" s="9">
        <v>4.7010243786230484E-2</v>
      </c>
      <c r="G170" s="8">
        <v>425</v>
      </c>
      <c r="H170" s="9">
        <v>0.41188235294117637</v>
      </c>
      <c r="I170" s="8">
        <v>595</v>
      </c>
      <c r="J170" s="9">
        <v>8.487394957983117E-3</v>
      </c>
      <c r="K170" s="10"/>
      <c r="L170" s="10"/>
      <c r="M170" s="10"/>
      <c r="N170" s="10"/>
      <c r="O170" s="10"/>
      <c r="P170" s="10"/>
      <c r="Q170" s="10"/>
      <c r="R170" s="10"/>
      <c r="S170" s="10"/>
      <c r="T170" s="10"/>
      <c r="U170" s="10"/>
      <c r="V170" s="10"/>
      <c r="W170" s="10"/>
      <c r="X170" s="10"/>
      <c r="Y170" s="10"/>
      <c r="Z170" s="10"/>
      <c r="AA170" s="10"/>
      <c r="AB170" s="10"/>
      <c r="AC170" s="10"/>
    </row>
    <row r="171" spans="1:29" ht="24">
      <c r="A171" s="6" t="s">
        <v>181</v>
      </c>
      <c r="B171" s="7">
        <v>29278.4915846</v>
      </c>
      <c r="C171" s="8">
        <v>138.44999999999999</v>
      </c>
      <c r="D171" s="8">
        <v>11.78</v>
      </c>
      <c r="E171" s="8">
        <v>142.25</v>
      </c>
      <c r="F171" s="9">
        <v>2.67135325131811E-2</v>
      </c>
      <c r="G171" s="8">
        <v>82.5</v>
      </c>
      <c r="H171" s="9">
        <v>0.678181818181818</v>
      </c>
      <c r="I171" s="8">
        <v>135.05000000000001</v>
      </c>
      <c r="J171" s="9">
        <v>2.5175860792298978E-2</v>
      </c>
      <c r="K171" s="10"/>
      <c r="L171" s="10"/>
      <c r="M171" s="10"/>
      <c r="N171" s="10"/>
      <c r="O171" s="10"/>
      <c r="P171" s="10"/>
      <c r="Q171" s="10"/>
      <c r="R171" s="10"/>
      <c r="S171" s="10"/>
      <c r="T171" s="10"/>
      <c r="U171" s="10"/>
      <c r="V171" s="10"/>
      <c r="W171" s="10"/>
      <c r="X171" s="10"/>
      <c r="Y171" s="10"/>
      <c r="Z171" s="10"/>
      <c r="AA171" s="10"/>
      <c r="AB171" s="10"/>
      <c r="AC171" s="10"/>
    </row>
    <row r="172" spans="1:29" ht="24">
      <c r="A172" s="6" t="s">
        <v>182</v>
      </c>
      <c r="B172" s="7">
        <v>87098.03</v>
      </c>
      <c r="C172" s="8">
        <v>24025</v>
      </c>
      <c r="D172" s="8">
        <v>54.11</v>
      </c>
      <c r="E172" s="8">
        <v>27936.75</v>
      </c>
      <c r="F172" s="9">
        <v>0.14002165606235514</v>
      </c>
      <c r="G172" s="8">
        <v>17865.2</v>
      </c>
      <c r="H172" s="9">
        <v>0.34479322929494205</v>
      </c>
      <c r="I172" s="8">
        <v>23854.85</v>
      </c>
      <c r="J172" s="9">
        <v>7.1327214381981634E-3</v>
      </c>
      <c r="K172" s="10"/>
      <c r="L172" s="10"/>
      <c r="M172" s="10"/>
      <c r="N172" s="10"/>
      <c r="O172" s="10"/>
      <c r="P172" s="10"/>
      <c r="Q172" s="10"/>
      <c r="R172" s="10"/>
      <c r="S172" s="10"/>
      <c r="T172" s="10"/>
      <c r="U172" s="10"/>
      <c r="V172" s="10"/>
      <c r="W172" s="10"/>
      <c r="X172" s="10"/>
      <c r="Y172" s="10"/>
      <c r="Z172" s="10"/>
      <c r="AA172" s="10"/>
      <c r="AB172" s="10"/>
      <c r="AC172" s="10"/>
    </row>
    <row r="173" spans="1:29" ht="24">
      <c r="A173" s="6" t="s">
        <v>183</v>
      </c>
      <c r="B173" s="7">
        <v>7658.1331612000004</v>
      </c>
      <c r="C173" s="8">
        <v>1503.5</v>
      </c>
      <c r="D173" s="8">
        <v>27.61</v>
      </c>
      <c r="E173" s="8">
        <v>1953.7</v>
      </c>
      <c r="F173" s="9">
        <v>0.23043456006551674</v>
      </c>
      <c r="G173" s="8">
        <v>1355.5</v>
      </c>
      <c r="H173" s="9">
        <v>0.10918480265584656</v>
      </c>
      <c r="I173" s="8">
        <v>1480.55</v>
      </c>
      <c r="J173" s="9">
        <v>1.5500996251393095E-2</v>
      </c>
      <c r="K173" s="10"/>
      <c r="L173" s="10"/>
      <c r="M173" s="10"/>
      <c r="N173" s="10"/>
      <c r="O173" s="10"/>
      <c r="P173" s="10"/>
      <c r="Q173" s="10"/>
      <c r="R173" s="10"/>
      <c r="S173" s="10"/>
      <c r="T173" s="10"/>
      <c r="U173" s="10"/>
      <c r="V173" s="10"/>
      <c r="W173" s="10"/>
      <c r="X173" s="10"/>
      <c r="Y173" s="10"/>
      <c r="Z173" s="10"/>
      <c r="AA173" s="10"/>
      <c r="AB173" s="10"/>
      <c r="AC173" s="10"/>
    </row>
    <row r="174" spans="1:29" ht="24">
      <c r="A174" s="6" t="s">
        <v>184</v>
      </c>
      <c r="B174" s="7">
        <v>1620922.4391001</v>
      </c>
      <c r="C174" s="8">
        <v>2467.9</v>
      </c>
      <c r="D174" s="8">
        <v>25.09</v>
      </c>
      <c r="E174" s="8">
        <v>2856.15</v>
      </c>
      <c r="F174" s="9">
        <v>0.13593473732121911</v>
      </c>
      <c r="G174" s="8">
        <v>2180</v>
      </c>
      <c r="H174" s="9">
        <v>0.13206422018348629</v>
      </c>
      <c r="I174" s="8">
        <v>2471.6</v>
      </c>
      <c r="J174" s="9">
        <v>-1.4970059880238785E-3</v>
      </c>
      <c r="K174" s="10"/>
      <c r="L174" s="10"/>
      <c r="M174" s="10"/>
      <c r="N174" s="10"/>
      <c r="O174" s="10"/>
      <c r="P174" s="10"/>
      <c r="Q174" s="10"/>
      <c r="R174" s="10"/>
      <c r="S174" s="10"/>
      <c r="T174" s="10"/>
      <c r="U174" s="10"/>
      <c r="V174" s="10"/>
      <c r="W174" s="10"/>
      <c r="X174" s="10"/>
      <c r="Y174" s="10"/>
      <c r="Z174" s="10"/>
      <c r="AA174" s="10"/>
      <c r="AB174" s="10"/>
      <c r="AC174" s="10"/>
    </row>
    <row r="175" spans="1:29" ht="48">
      <c r="A175" s="6" t="s">
        <v>185</v>
      </c>
      <c r="B175" s="7">
        <v>5515.5150000000003</v>
      </c>
      <c r="C175" s="8">
        <v>241.5</v>
      </c>
      <c r="D175" s="8">
        <v>12.67</v>
      </c>
      <c r="E175" s="8">
        <v>393.85</v>
      </c>
      <c r="F175" s="9">
        <v>0.38682239431255555</v>
      </c>
      <c r="G175" s="8">
        <v>169.25</v>
      </c>
      <c r="H175" s="9">
        <v>0.42688330871491875</v>
      </c>
      <c r="I175" s="8">
        <v>236.7</v>
      </c>
      <c r="J175" s="9">
        <v>2.0278833967046942E-2</v>
      </c>
      <c r="K175" s="10"/>
      <c r="L175" s="10"/>
      <c r="M175" s="10"/>
      <c r="N175" s="10"/>
      <c r="O175" s="10"/>
      <c r="P175" s="10"/>
      <c r="Q175" s="10"/>
      <c r="R175" s="10"/>
      <c r="S175" s="10"/>
      <c r="T175" s="10"/>
      <c r="U175" s="10"/>
      <c r="V175" s="10"/>
      <c r="W175" s="10"/>
      <c r="X175" s="10"/>
      <c r="Y175" s="10"/>
      <c r="Z175" s="10"/>
      <c r="AA175" s="10"/>
      <c r="AB175" s="10"/>
      <c r="AC175" s="10"/>
    </row>
    <row r="176" spans="1:29" ht="24">
      <c r="A176" s="6" t="s">
        <v>186</v>
      </c>
      <c r="B176" s="7">
        <v>1191.3508850000001</v>
      </c>
      <c r="C176" s="8">
        <v>446.8</v>
      </c>
      <c r="D176" s="8" t="s">
        <v>16</v>
      </c>
      <c r="E176" s="8">
        <v>455.95</v>
      </c>
      <c r="F176" s="9">
        <v>2.0067989911174422E-2</v>
      </c>
      <c r="G176" s="8">
        <v>444</v>
      </c>
      <c r="H176" s="9">
        <v>6.3063063063063321E-3</v>
      </c>
      <c r="I176" s="8">
        <v>447.4</v>
      </c>
      <c r="J176" s="9">
        <v>-1.3410818059900892E-3</v>
      </c>
      <c r="K176" s="10"/>
      <c r="L176" s="10"/>
      <c r="M176" s="10"/>
      <c r="N176" s="10"/>
      <c r="O176" s="10"/>
      <c r="P176" s="10"/>
      <c r="Q176" s="10"/>
      <c r="R176" s="10"/>
      <c r="S176" s="10"/>
      <c r="T176" s="10"/>
      <c r="U176" s="10"/>
      <c r="V176" s="10"/>
      <c r="W176" s="10"/>
      <c r="X176" s="10"/>
      <c r="Y176" s="10"/>
      <c r="Z176" s="10"/>
      <c r="AA176" s="10"/>
      <c r="AB176" s="10"/>
      <c r="AC176" s="10"/>
    </row>
    <row r="177" spans="1:29" ht="24">
      <c r="A177" s="6" t="s">
        <v>187</v>
      </c>
      <c r="B177" s="7">
        <v>129917.6</v>
      </c>
      <c r="C177" s="8">
        <v>604</v>
      </c>
      <c r="D177" s="8">
        <v>85.12</v>
      </c>
      <c r="E177" s="8">
        <v>678.8</v>
      </c>
      <c r="F177" s="9">
        <v>0.11019446081319971</v>
      </c>
      <c r="G177" s="8">
        <v>497.05</v>
      </c>
      <c r="H177" s="9">
        <v>0.21516950005029672</v>
      </c>
      <c r="I177" s="8">
        <v>598.4</v>
      </c>
      <c r="J177" s="9">
        <v>9.3582887700535151E-3</v>
      </c>
      <c r="K177" s="10"/>
      <c r="L177" s="10"/>
      <c r="M177" s="10"/>
      <c r="N177" s="10"/>
      <c r="O177" s="10"/>
      <c r="P177" s="10"/>
      <c r="Q177" s="10"/>
      <c r="R177" s="10"/>
      <c r="S177" s="10"/>
      <c r="T177" s="10"/>
      <c r="U177" s="10"/>
      <c r="V177" s="10"/>
      <c r="W177" s="10"/>
      <c r="X177" s="10"/>
      <c r="Y177" s="10"/>
      <c r="Z177" s="10"/>
      <c r="AA177" s="10"/>
      <c r="AB177" s="10"/>
      <c r="AC177" s="10"/>
    </row>
    <row r="178" spans="1:29" ht="24">
      <c r="A178" s="6" t="s">
        <v>188</v>
      </c>
      <c r="B178" s="7">
        <v>22430.59</v>
      </c>
      <c r="C178" s="8">
        <v>2900.45</v>
      </c>
      <c r="D178" s="8">
        <v>36.07</v>
      </c>
      <c r="E178" s="8">
        <v>3646.25</v>
      </c>
      <c r="F178" s="9">
        <v>0.2045389098388756</v>
      </c>
      <c r="G178" s="8">
        <v>2005</v>
      </c>
      <c r="H178" s="9">
        <v>0.44660847880299243</v>
      </c>
      <c r="I178" s="8">
        <v>2905.9</v>
      </c>
      <c r="J178" s="9">
        <v>-1.8754946832307625E-3</v>
      </c>
      <c r="K178" s="10"/>
      <c r="L178" s="10"/>
      <c r="M178" s="10"/>
      <c r="N178" s="10"/>
      <c r="O178" s="10"/>
      <c r="P178" s="10"/>
      <c r="Q178" s="10"/>
      <c r="R178" s="10"/>
      <c r="S178" s="10"/>
      <c r="T178" s="10"/>
      <c r="U178" s="10"/>
      <c r="V178" s="10"/>
      <c r="W178" s="10"/>
      <c r="X178" s="10"/>
      <c r="Y178" s="10"/>
      <c r="Z178" s="10"/>
      <c r="AA178" s="10"/>
      <c r="AB178" s="10"/>
      <c r="AC178" s="10"/>
    </row>
    <row r="179" spans="1:29" ht="48">
      <c r="A179" s="6" t="s">
        <v>189</v>
      </c>
      <c r="B179" s="7">
        <v>67468.319877200003</v>
      </c>
      <c r="C179" s="8">
        <v>468.9</v>
      </c>
      <c r="D179" s="8">
        <v>78.92</v>
      </c>
      <c r="E179" s="8">
        <v>648.85</v>
      </c>
      <c r="F179" s="9">
        <v>0.27733682669338067</v>
      </c>
      <c r="G179" s="8">
        <v>430</v>
      </c>
      <c r="H179" s="9">
        <v>9.046511627906971E-2</v>
      </c>
      <c r="I179" s="8">
        <v>464.7</v>
      </c>
      <c r="J179" s="9">
        <v>9.0380890897352895E-3</v>
      </c>
      <c r="K179" s="10"/>
      <c r="L179" s="10"/>
      <c r="M179" s="10"/>
      <c r="N179" s="10"/>
      <c r="O179" s="10"/>
      <c r="P179" s="10"/>
      <c r="Q179" s="10"/>
      <c r="R179" s="10"/>
      <c r="S179" s="10"/>
      <c r="T179" s="10"/>
      <c r="U179" s="10"/>
      <c r="V179" s="10"/>
      <c r="W179" s="10"/>
      <c r="X179" s="10"/>
      <c r="Y179" s="10"/>
      <c r="Z179" s="10"/>
      <c r="AA179" s="10"/>
      <c r="AB179" s="10"/>
      <c r="AC179" s="10"/>
    </row>
    <row r="180" spans="1:29" ht="24">
      <c r="A180" s="6" t="s">
        <v>190</v>
      </c>
      <c r="B180" s="7">
        <v>214719.00671829999</v>
      </c>
      <c r="C180" s="8">
        <v>2417.65</v>
      </c>
      <c r="D180" s="8">
        <v>68.59</v>
      </c>
      <c r="E180" s="8">
        <v>2790</v>
      </c>
      <c r="F180" s="9">
        <v>0.13345878136200715</v>
      </c>
      <c r="G180" s="8">
        <v>1827.15</v>
      </c>
      <c r="H180" s="9">
        <v>0.32318091016063266</v>
      </c>
      <c r="I180" s="8">
        <v>2445.65</v>
      </c>
      <c r="J180" s="9">
        <v>-1.1448899065688058E-2</v>
      </c>
      <c r="K180" s="10"/>
      <c r="L180" s="10"/>
      <c r="M180" s="10"/>
      <c r="N180" s="10"/>
      <c r="O180" s="10"/>
      <c r="P180" s="10"/>
      <c r="Q180" s="10"/>
      <c r="R180" s="10"/>
      <c r="S180" s="10"/>
      <c r="T180" s="10"/>
      <c r="U180" s="10"/>
      <c r="V180" s="10"/>
      <c r="W180" s="10"/>
      <c r="X180" s="10"/>
      <c r="Y180" s="10"/>
      <c r="Z180" s="10"/>
      <c r="AA180" s="10"/>
      <c r="AB180" s="10"/>
      <c r="AC180" s="10"/>
    </row>
    <row r="181" spans="1:29" ht="48">
      <c r="A181" s="6" t="s">
        <v>191</v>
      </c>
      <c r="B181" s="7">
        <v>1794.8020805000001</v>
      </c>
      <c r="C181" s="8">
        <v>165.55</v>
      </c>
      <c r="D181" s="8">
        <v>17.829999999999998</v>
      </c>
      <c r="E181" s="8">
        <v>209.41</v>
      </c>
      <c r="F181" s="9">
        <v>0.20944558521560569</v>
      </c>
      <c r="G181" s="8">
        <v>116.75</v>
      </c>
      <c r="H181" s="9">
        <v>0.41798715203426134</v>
      </c>
      <c r="I181" s="8">
        <v>165.4</v>
      </c>
      <c r="J181" s="9">
        <v>9.0689238210402471E-4</v>
      </c>
      <c r="K181" s="10"/>
      <c r="L181" s="10"/>
      <c r="M181" s="10"/>
      <c r="N181" s="10"/>
      <c r="O181" s="10"/>
      <c r="P181" s="10"/>
      <c r="Q181" s="10"/>
      <c r="R181" s="10"/>
      <c r="S181" s="10"/>
      <c r="T181" s="10"/>
      <c r="U181" s="10"/>
      <c r="V181" s="10"/>
      <c r="W181" s="10"/>
      <c r="X181" s="10"/>
      <c r="Y181" s="10"/>
      <c r="Z181" s="10"/>
      <c r="AA181" s="10"/>
      <c r="AB181" s="10"/>
      <c r="AC181" s="10"/>
    </row>
    <row r="182" spans="1:29" ht="24">
      <c r="A182" s="6" t="s">
        <v>192</v>
      </c>
      <c r="B182" s="7">
        <v>61484.386680000003</v>
      </c>
      <c r="C182" s="8">
        <v>846.75</v>
      </c>
      <c r="D182" s="8">
        <v>46.19</v>
      </c>
      <c r="E182" s="8">
        <v>958</v>
      </c>
      <c r="F182" s="9">
        <v>0.11612734864300626</v>
      </c>
      <c r="G182" s="8">
        <v>712</v>
      </c>
      <c r="H182" s="9">
        <v>0.1892556179775281</v>
      </c>
      <c r="I182" s="8">
        <v>857.75</v>
      </c>
      <c r="J182" s="9">
        <v>-1.2824249489944622E-2</v>
      </c>
      <c r="K182" s="10"/>
      <c r="L182" s="10"/>
      <c r="M182" s="10"/>
      <c r="N182" s="10"/>
      <c r="O182" s="10"/>
      <c r="P182" s="10"/>
      <c r="Q182" s="10"/>
      <c r="R182" s="10"/>
      <c r="S182" s="10"/>
      <c r="T182" s="10"/>
      <c r="U182" s="10"/>
      <c r="V182" s="10"/>
      <c r="W182" s="10"/>
      <c r="X182" s="10"/>
      <c r="Y182" s="10"/>
      <c r="Z182" s="10"/>
      <c r="AA182" s="10"/>
      <c r="AB182" s="10"/>
      <c r="AC182" s="10"/>
    </row>
    <row r="183" spans="1:29" ht="24">
      <c r="A183" s="6" t="s">
        <v>193</v>
      </c>
      <c r="B183" s="7">
        <v>3951.357</v>
      </c>
      <c r="C183" s="8">
        <v>717</v>
      </c>
      <c r="D183" s="8">
        <v>39.869999999999997</v>
      </c>
      <c r="E183" s="8">
        <v>1375</v>
      </c>
      <c r="F183" s="9">
        <v>0.47854545454545455</v>
      </c>
      <c r="G183" s="8">
        <v>675</v>
      </c>
      <c r="H183" s="9">
        <v>6.222222222222222E-2</v>
      </c>
      <c r="I183" s="8">
        <v>726.2</v>
      </c>
      <c r="J183" s="9">
        <v>-1.2668686312310721E-2</v>
      </c>
      <c r="K183" s="10"/>
      <c r="L183" s="10"/>
      <c r="M183" s="10"/>
      <c r="N183" s="10"/>
      <c r="O183" s="10"/>
      <c r="P183" s="10"/>
      <c r="Q183" s="10"/>
      <c r="R183" s="10"/>
      <c r="S183" s="10"/>
      <c r="T183" s="10"/>
      <c r="U183" s="10"/>
      <c r="V183" s="10"/>
      <c r="W183" s="10"/>
      <c r="X183" s="10"/>
      <c r="Y183" s="10"/>
      <c r="Z183" s="10"/>
      <c r="AA183" s="10"/>
      <c r="AB183" s="10"/>
      <c r="AC183" s="10"/>
    </row>
    <row r="184" spans="1:29" ht="24">
      <c r="A184" s="6" t="s">
        <v>194</v>
      </c>
      <c r="B184" s="7">
        <v>22276.241535000001</v>
      </c>
      <c r="C184" s="8">
        <v>415</v>
      </c>
      <c r="D184" s="8">
        <v>52.87</v>
      </c>
      <c r="E184" s="8">
        <v>624</v>
      </c>
      <c r="F184" s="9">
        <v>0.33493589743589741</v>
      </c>
      <c r="G184" s="8">
        <v>358.15</v>
      </c>
      <c r="H184" s="9">
        <v>0.15873237470333668</v>
      </c>
      <c r="I184" s="8">
        <v>413.05</v>
      </c>
      <c r="J184" s="9">
        <v>4.7209780898196064E-3</v>
      </c>
      <c r="K184" s="10"/>
      <c r="L184" s="10"/>
      <c r="M184" s="10"/>
      <c r="N184" s="10"/>
      <c r="O184" s="10"/>
      <c r="P184" s="10"/>
      <c r="Q184" s="10"/>
      <c r="R184" s="10"/>
      <c r="S184" s="10"/>
      <c r="T184" s="10"/>
      <c r="U184" s="10"/>
      <c r="V184" s="10"/>
      <c r="W184" s="10"/>
      <c r="X184" s="10"/>
      <c r="Y184" s="10"/>
      <c r="Z184" s="10"/>
      <c r="AA184" s="10"/>
      <c r="AB184" s="10"/>
      <c r="AC184" s="10"/>
    </row>
    <row r="185" spans="1:29" ht="24">
      <c r="A185" s="6" t="s">
        <v>195</v>
      </c>
      <c r="B185" s="7">
        <v>26702.296517899998</v>
      </c>
      <c r="C185" s="8">
        <v>805.9</v>
      </c>
      <c r="D185" s="8">
        <v>70.099999999999994</v>
      </c>
      <c r="E185" s="8">
        <v>1347.75</v>
      </c>
      <c r="F185" s="9">
        <v>0.40204043776664811</v>
      </c>
      <c r="G185" s="8">
        <v>770.55</v>
      </c>
      <c r="H185" s="9">
        <v>4.5876322107585521E-2</v>
      </c>
      <c r="I185" s="8">
        <v>808.15</v>
      </c>
      <c r="J185" s="9">
        <v>-2.7841366083029141E-3</v>
      </c>
      <c r="K185" s="10"/>
      <c r="L185" s="10"/>
      <c r="M185" s="10"/>
      <c r="N185" s="10"/>
      <c r="O185" s="10"/>
      <c r="P185" s="10"/>
      <c r="Q185" s="10"/>
      <c r="R185" s="10"/>
      <c r="S185" s="10"/>
      <c r="T185" s="10"/>
      <c r="U185" s="10"/>
      <c r="V185" s="10"/>
      <c r="W185" s="10"/>
      <c r="X185" s="10"/>
      <c r="Y185" s="10"/>
      <c r="Z185" s="10"/>
      <c r="AA185" s="10"/>
      <c r="AB185" s="10"/>
      <c r="AC185" s="10"/>
    </row>
    <row r="186" spans="1:29" ht="24">
      <c r="A186" s="6" t="s">
        <v>196</v>
      </c>
      <c r="B186" s="7">
        <v>6945.4358365999997</v>
      </c>
      <c r="C186" s="8">
        <v>439.9</v>
      </c>
      <c r="D186" s="8" t="s">
        <v>16</v>
      </c>
      <c r="E186" s="8">
        <v>684.55</v>
      </c>
      <c r="F186" s="9">
        <v>0.35738806515228982</v>
      </c>
      <c r="G186" s="8">
        <v>357.7</v>
      </c>
      <c r="H186" s="9">
        <v>0.22980150964495386</v>
      </c>
      <c r="I186" s="8">
        <v>425.8</v>
      </c>
      <c r="J186" s="9">
        <v>3.311413809300133E-2</v>
      </c>
      <c r="K186" s="10"/>
      <c r="L186" s="10"/>
      <c r="M186" s="10"/>
      <c r="N186" s="10"/>
      <c r="O186" s="10"/>
      <c r="P186" s="10"/>
      <c r="Q186" s="10"/>
      <c r="R186" s="10"/>
      <c r="S186" s="10"/>
      <c r="T186" s="10"/>
      <c r="U186" s="10"/>
      <c r="V186" s="10"/>
      <c r="W186" s="10"/>
      <c r="X186" s="10"/>
      <c r="Y186" s="10"/>
      <c r="Z186" s="10"/>
      <c r="AA186" s="10"/>
      <c r="AB186" s="10"/>
      <c r="AC186" s="10"/>
    </row>
    <row r="187" spans="1:29" ht="24">
      <c r="A187" s="6" t="s">
        <v>197</v>
      </c>
      <c r="B187" s="7">
        <v>36421.231512999999</v>
      </c>
      <c r="C187" s="8">
        <v>3446.95</v>
      </c>
      <c r="D187" s="8">
        <v>34.130000000000003</v>
      </c>
      <c r="E187" s="8">
        <v>5714</v>
      </c>
      <c r="F187" s="9">
        <v>0.39675358767938401</v>
      </c>
      <c r="G187" s="8">
        <v>2923.35</v>
      </c>
      <c r="H187" s="9">
        <v>0.17910958318367623</v>
      </c>
      <c r="I187" s="8">
        <v>3640.5</v>
      </c>
      <c r="J187" s="9">
        <v>-5.316577393215223E-2</v>
      </c>
      <c r="K187" s="10"/>
      <c r="L187" s="10"/>
      <c r="M187" s="10"/>
      <c r="N187" s="10"/>
      <c r="O187" s="10"/>
      <c r="P187" s="10"/>
      <c r="Q187" s="10"/>
      <c r="R187" s="10"/>
      <c r="S187" s="10"/>
      <c r="T187" s="10"/>
      <c r="U187" s="10"/>
      <c r="V187" s="10"/>
      <c r="W187" s="10"/>
      <c r="X187" s="10"/>
      <c r="Y187" s="10"/>
      <c r="Z187" s="10"/>
      <c r="AA187" s="10"/>
      <c r="AB187" s="10"/>
      <c r="AC187" s="10"/>
    </row>
    <row r="188" spans="1:29" ht="24">
      <c r="A188" s="6" t="s">
        <v>198</v>
      </c>
      <c r="B188" s="7">
        <v>57937.938703100001</v>
      </c>
      <c r="C188" s="8">
        <v>20.149999999999999</v>
      </c>
      <c r="D188" s="8">
        <v>45.52</v>
      </c>
      <c r="E188" s="8">
        <v>24.75</v>
      </c>
      <c r="F188" s="9">
        <v>0.18585858585858592</v>
      </c>
      <c r="G188" s="8">
        <v>12.11</v>
      </c>
      <c r="H188" s="9">
        <v>0.66391412056151933</v>
      </c>
      <c r="I188" s="8">
        <v>19.899999999999999</v>
      </c>
      <c r="J188" s="9">
        <v>1.2562814070351759E-2</v>
      </c>
      <c r="K188" s="10"/>
      <c r="L188" s="10"/>
      <c r="M188" s="10"/>
      <c r="N188" s="10"/>
      <c r="O188" s="10"/>
      <c r="P188" s="10"/>
      <c r="Q188" s="10"/>
      <c r="R188" s="10"/>
      <c r="S188" s="10"/>
      <c r="T188" s="10"/>
      <c r="U188" s="10"/>
      <c r="V188" s="10"/>
      <c r="W188" s="10"/>
      <c r="X188" s="10"/>
      <c r="Y188" s="10"/>
      <c r="Z188" s="10"/>
      <c r="AA188" s="10"/>
      <c r="AB188" s="10"/>
      <c r="AC188" s="10"/>
    </row>
    <row r="189" spans="1:29" ht="24">
      <c r="A189" s="6" t="s">
        <v>199</v>
      </c>
      <c r="B189" s="7">
        <v>23948.971371200001</v>
      </c>
      <c r="C189" s="8">
        <v>1453.65</v>
      </c>
      <c r="D189" s="8">
        <v>23.28</v>
      </c>
      <c r="E189" s="8">
        <v>3773.95</v>
      </c>
      <c r="F189" s="9">
        <v>0.61482001616343618</v>
      </c>
      <c r="G189" s="8">
        <v>1450</v>
      </c>
      <c r="H189" s="9">
        <v>2.5172413793104077E-3</v>
      </c>
      <c r="I189" s="8">
        <v>1497.85</v>
      </c>
      <c r="J189" s="9">
        <v>-2.9508962846746884E-2</v>
      </c>
      <c r="K189" s="10"/>
      <c r="L189" s="10"/>
      <c r="M189" s="10"/>
      <c r="N189" s="10"/>
      <c r="O189" s="10"/>
      <c r="P189" s="10"/>
      <c r="Q189" s="10"/>
      <c r="R189" s="10"/>
      <c r="S189" s="10"/>
      <c r="T189" s="10"/>
      <c r="U189" s="10"/>
      <c r="V189" s="10"/>
      <c r="W189" s="10"/>
      <c r="X189" s="10"/>
      <c r="Y189" s="10"/>
      <c r="Z189" s="10"/>
      <c r="AA189" s="10"/>
      <c r="AB189" s="10"/>
      <c r="AC189" s="10"/>
    </row>
    <row r="190" spans="1:29" ht="24">
      <c r="A190" s="6" t="s">
        <v>200</v>
      </c>
      <c r="B190" s="7">
        <v>3273.1570000000002</v>
      </c>
      <c r="C190" s="8">
        <v>6195</v>
      </c>
      <c r="D190" s="8">
        <v>34.69</v>
      </c>
      <c r="E190" s="8">
        <v>6572.75</v>
      </c>
      <c r="F190" s="9">
        <v>5.7472138754706935E-2</v>
      </c>
      <c r="G190" s="8">
        <v>4932.05</v>
      </c>
      <c r="H190" s="9">
        <v>0.25606999118013801</v>
      </c>
      <c r="I190" s="8">
        <v>6169.85</v>
      </c>
      <c r="J190" s="9">
        <v>4.0762741395657326E-3</v>
      </c>
      <c r="K190" s="10"/>
      <c r="L190" s="10"/>
      <c r="M190" s="10"/>
      <c r="N190" s="10"/>
      <c r="O190" s="10"/>
      <c r="P190" s="10"/>
      <c r="Q190" s="10"/>
      <c r="R190" s="10"/>
      <c r="S190" s="10"/>
      <c r="T190" s="10"/>
      <c r="U190" s="10"/>
      <c r="V190" s="10"/>
      <c r="W190" s="10"/>
      <c r="X190" s="10"/>
      <c r="Y190" s="10"/>
      <c r="Z190" s="10"/>
      <c r="AA190" s="10"/>
      <c r="AB190" s="10"/>
      <c r="AC190" s="10"/>
    </row>
    <row r="191" spans="1:29" ht="24">
      <c r="A191" s="6" t="s">
        <v>201</v>
      </c>
      <c r="B191" s="7">
        <v>5182.9892300000001</v>
      </c>
      <c r="C191" s="8">
        <v>1688.15</v>
      </c>
      <c r="D191" s="8">
        <v>70.16</v>
      </c>
      <c r="E191" s="8">
        <v>2409.15</v>
      </c>
      <c r="F191" s="9">
        <v>0.29927567814374362</v>
      </c>
      <c r="G191" s="8">
        <v>1211.8499999999999</v>
      </c>
      <c r="H191" s="9">
        <v>0.39303544168007609</v>
      </c>
      <c r="I191" s="8">
        <v>1670.5</v>
      </c>
      <c r="J191" s="9">
        <v>1.0565698892547196E-2</v>
      </c>
      <c r="K191" s="10"/>
      <c r="L191" s="10"/>
      <c r="M191" s="10"/>
      <c r="N191" s="10"/>
      <c r="O191" s="10"/>
      <c r="P191" s="10"/>
      <c r="Q191" s="10"/>
      <c r="R191" s="10"/>
      <c r="S191" s="10"/>
      <c r="T191" s="10"/>
      <c r="U191" s="10"/>
      <c r="V191" s="10"/>
      <c r="W191" s="10"/>
      <c r="X191" s="10"/>
      <c r="Y191" s="10"/>
      <c r="Z191" s="10"/>
      <c r="AA191" s="10"/>
      <c r="AB191" s="10"/>
      <c r="AC191" s="10"/>
    </row>
    <row r="192" spans="1:29" ht="24">
      <c r="A192" s="6" t="s">
        <v>202</v>
      </c>
      <c r="B192" s="7">
        <v>4927.6934199999996</v>
      </c>
      <c r="C192" s="8">
        <v>299</v>
      </c>
      <c r="D192" s="8">
        <v>35.85</v>
      </c>
      <c r="E192" s="8">
        <v>566.5</v>
      </c>
      <c r="F192" s="9">
        <v>0.47219770520741394</v>
      </c>
      <c r="G192" s="8">
        <v>288</v>
      </c>
      <c r="H192" s="9">
        <v>3.8194444444444448E-2</v>
      </c>
      <c r="I192" s="8">
        <v>297.35000000000002</v>
      </c>
      <c r="J192" s="9">
        <v>5.5490163107448365E-3</v>
      </c>
      <c r="K192" s="10"/>
      <c r="L192" s="10"/>
      <c r="M192" s="10"/>
      <c r="N192" s="10"/>
      <c r="O192" s="10"/>
      <c r="P192" s="10"/>
      <c r="Q192" s="10"/>
      <c r="R192" s="10"/>
      <c r="S192" s="10"/>
      <c r="T192" s="10"/>
      <c r="U192" s="10"/>
      <c r="V192" s="10"/>
      <c r="W192" s="10"/>
      <c r="X192" s="10"/>
      <c r="Y192" s="10"/>
      <c r="Z192" s="10"/>
      <c r="AA192" s="10"/>
      <c r="AB192" s="10"/>
      <c r="AC192" s="10"/>
    </row>
    <row r="193" spans="1:29" ht="24">
      <c r="A193" s="6" t="s">
        <v>203</v>
      </c>
      <c r="B193" s="7">
        <v>22715.5217056</v>
      </c>
      <c r="C193" s="8">
        <v>7701.2</v>
      </c>
      <c r="D193" s="8">
        <v>37.5</v>
      </c>
      <c r="E193" s="8">
        <v>10859</v>
      </c>
      <c r="F193" s="9">
        <v>0.29080025785063085</v>
      </c>
      <c r="G193" s="8">
        <v>7602.15</v>
      </c>
      <c r="H193" s="9">
        <v>1.3029208842235445E-2</v>
      </c>
      <c r="I193" s="8">
        <v>7679.85</v>
      </c>
      <c r="J193" s="9">
        <v>2.7800022135848297E-3</v>
      </c>
      <c r="K193" s="10"/>
      <c r="L193" s="10"/>
      <c r="M193" s="10"/>
      <c r="N193" s="10"/>
      <c r="O193" s="10"/>
      <c r="P193" s="10"/>
      <c r="Q193" s="10"/>
      <c r="R193" s="10"/>
      <c r="S193" s="10"/>
      <c r="T193" s="10"/>
      <c r="U193" s="10"/>
      <c r="V193" s="10"/>
      <c r="W193" s="10"/>
      <c r="X193" s="10"/>
      <c r="Y193" s="10"/>
      <c r="Z193" s="10"/>
      <c r="AA193" s="10"/>
      <c r="AB193" s="10"/>
      <c r="AC193" s="10"/>
    </row>
    <row r="194" spans="1:29" ht="24">
      <c r="A194" s="6" t="s">
        <v>204</v>
      </c>
      <c r="B194" s="7">
        <v>5752.7067024999997</v>
      </c>
      <c r="C194" s="8">
        <v>1071.5</v>
      </c>
      <c r="D194" s="8">
        <v>65.239999999999995</v>
      </c>
      <c r="E194" s="8">
        <v>1918.35</v>
      </c>
      <c r="F194" s="9">
        <v>0.44144707691505719</v>
      </c>
      <c r="G194" s="8">
        <v>1023.2</v>
      </c>
      <c r="H194" s="9">
        <v>4.7204847537138342E-2</v>
      </c>
      <c r="I194" s="8">
        <v>1069.9000000000001</v>
      </c>
      <c r="J194" s="9">
        <v>1.4954668660621636E-3</v>
      </c>
      <c r="K194" s="10"/>
      <c r="L194" s="10"/>
      <c r="M194" s="10"/>
      <c r="N194" s="10"/>
      <c r="O194" s="10"/>
      <c r="P194" s="10"/>
      <c r="Q194" s="10"/>
      <c r="R194" s="10"/>
      <c r="S194" s="10"/>
      <c r="T194" s="10"/>
      <c r="U194" s="10"/>
      <c r="V194" s="10"/>
      <c r="W194" s="10"/>
      <c r="X194" s="10"/>
      <c r="Y194" s="10"/>
      <c r="Z194" s="10"/>
      <c r="AA194" s="10"/>
      <c r="AB194" s="10"/>
      <c r="AC194" s="10"/>
    </row>
    <row r="195" spans="1:29" ht="24">
      <c r="A195" s="6" t="s">
        <v>205</v>
      </c>
      <c r="B195" s="7">
        <v>247191.65080199999</v>
      </c>
      <c r="C195" s="8">
        <v>1031.05</v>
      </c>
      <c r="D195" s="8">
        <v>60.4</v>
      </c>
      <c r="E195" s="8">
        <v>1070.95</v>
      </c>
      <c r="F195" s="9">
        <v>3.7256641299780652E-2</v>
      </c>
      <c r="G195" s="8">
        <v>784.8</v>
      </c>
      <c r="H195" s="9">
        <v>0.31377420998980632</v>
      </c>
      <c r="I195" s="8">
        <v>1032.8499999999999</v>
      </c>
      <c r="J195" s="9">
        <v>-1.7427506414290116E-3</v>
      </c>
      <c r="K195" s="10"/>
      <c r="L195" s="10"/>
      <c r="M195" s="10"/>
      <c r="N195" s="10"/>
      <c r="O195" s="10"/>
      <c r="P195" s="10"/>
      <c r="Q195" s="10"/>
      <c r="R195" s="10"/>
      <c r="S195" s="10"/>
      <c r="T195" s="10"/>
      <c r="U195" s="10"/>
      <c r="V195" s="10"/>
      <c r="W195" s="10"/>
      <c r="X195" s="10"/>
      <c r="Y195" s="10"/>
      <c r="Z195" s="10"/>
      <c r="AA195" s="10"/>
      <c r="AB195" s="10"/>
      <c r="AC195" s="10"/>
    </row>
    <row r="196" spans="1:29" ht="24">
      <c r="A196" s="6" t="s">
        <v>206</v>
      </c>
      <c r="B196" s="7" t="s">
        <v>16</v>
      </c>
      <c r="C196" s="8" t="s">
        <v>16</v>
      </c>
      <c r="D196" s="8" t="s">
        <v>16</v>
      </c>
      <c r="E196" s="8" t="s">
        <v>16</v>
      </c>
      <c r="F196" s="9" t="s">
        <v>16</v>
      </c>
      <c r="G196" s="8" t="s">
        <v>16</v>
      </c>
      <c r="H196" s="9" t="s">
        <v>16</v>
      </c>
      <c r="I196" s="8" t="s">
        <v>16</v>
      </c>
      <c r="J196" s="9" t="s">
        <v>16</v>
      </c>
      <c r="K196" s="10"/>
      <c r="L196" s="10"/>
      <c r="M196" s="10"/>
      <c r="N196" s="10"/>
      <c r="O196" s="10"/>
      <c r="P196" s="10"/>
      <c r="Q196" s="10"/>
      <c r="R196" s="10"/>
      <c r="S196" s="10"/>
      <c r="T196" s="10"/>
      <c r="U196" s="10"/>
      <c r="V196" s="10"/>
      <c r="W196" s="10"/>
      <c r="X196" s="10"/>
      <c r="Y196" s="10"/>
      <c r="Z196" s="10"/>
      <c r="AA196" s="10"/>
      <c r="AB196" s="10"/>
      <c r="AC196" s="10"/>
    </row>
    <row r="197" spans="1:29" ht="24">
      <c r="A197" s="6" t="s">
        <v>207</v>
      </c>
      <c r="B197" s="7">
        <v>9606.1540999999997</v>
      </c>
      <c r="C197" s="8">
        <v>876</v>
      </c>
      <c r="D197" s="8">
        <v>19.98</v>
      </c>
      <c r="E197" s="8">
        <v>1051.8499999999999</v>
      </c>
      <c r="F197" s="9">
        <v>0.16718163236202874</v>
      </c>
      <c r="G197" s="8">
        <v>720</v>
      </c>
      <c r="H197" s="9">
        <v>0.21666666666666667</v>
      </c>
      <c r="I197" s="8">
        <v>883.3</v>
      </c>
      <c r="J197" s="9">
        <v>-8.2644628099173036E-3</v>
      </c>
      <c r="K197" s="10"/>
      <c r="L197" s="10"/>
      <c r="M197" s="10"/>
      <c r="N197" s="10"/>
      <c r="O197" s="10"/>
      <c r="P197" s="10"/>
      <c r="Q197" s="10"/>
      <c r="R197" s="10"/>
      <c r="S197" s="10"/>
      <c r="T197" s="10"/>
      <c r="U197" s="10"/>
      <c r="V197" s="10"/>
      <c r="W197" s="10"/>
      <c r="X197" s="10"/>
      <c r="Y197" s="10"/>
      <c r="Z197" s="10"/>
      <c r="AA197" s="10"/>
      <c r="AB197" s="10"/>
      <c r="AC197" s="10"/>
    </row>
    <row r="198" spans="1:29" ht="24">
      <c r="A198" s="6" t="s">
        <v>208</v>
      </c>
      <c r="B198" s="7">
        <v>73698.477067</v>
      </c>
      <c r="C198" s="8">
        <v>1134.8</v>
      </c>
      <c r="D198" s="8">
        <v>51.22</v>
      </c>
      <c r="E198" s="8">
        <v>1432.05</v>
      </c>
      <c r="F198" s="9">
        <v>0.20756956810167243</v>
      </c>
      <c r="G198" s="8">
        <v>557.23</v>
      </c>
      <c r="H198" s="9">
        <v>1.0365019830231681</v>
      </c>
      <c r="I198" s="8">
        <v>1187.3</v>
      </c>
      <c r="J198" s="9">
        <v>-4.4217973553440579E-2</v>
      </c>
      <c r="K198" s="10"/>
      <c r="L198" s="10"/>
      <c r="M198" s="10"/>
      <c r="N198" s="10"/>
      <c r="O198" s="10"/>
      <c r="P198" s="10"/>
      <c r="Q198" s="10"/>
      <c r="R198" s="10"/>
      <c r="S198" s="10"/>
      <c r="T198" s="10"/>
      <c r="U198" s="10"/>
      <c r="V198" s="10"/>
      <c r="W198" s="10"/>
      <c r="X198" s="10"/>
      <c r="Y198" s="10"/>
      <c r="Z198" s="10"/>
      <c r="AA198" s="10"/>
      <c r="AB198" s="10"/>
      <c r="AC198" s="10"/>
    </row>
    <row r="199" spans="1:29" ht="24">
      <c r="A199" s="6" t="s">
        <v>209</v>
      </c>
      <c r="B199" s="7">
        <v>6524.2338449999997</v>
      </c>
      <c r="C199" s="8">
        <v>590.70000000000005</v>
      </c>
      <c r="D199" s="8">
        <v>44.19</v>
      </c>
      <c r="E199" s="8">
        <v>748</v>
      </c>
      <c r="F199" s="9">
        <v>0.21029411764705877</v>
      </c>
      <c r="G199" s="8">
        <v>513.1</v>
      </c>
      <c r="H199" s="9">
        <v>0.1512375755213409</v>
      </c>
      <c r="I199" s="8">
        <v>575.29999999999995</v>
      </c>
      <c r="J199" s="9">
        <v>2.6768642447418899E-2</v>
      </c>
      <c r="K199" s="10"/>
      <c r="L199" s="10"/>
      <c r="M199" s="10"/>
      <c r="N199" s="10"/>
      <c r="O199" s="10"/>
      <c r="P199" s="10"/>
      <c r="Q199" s="10"/>
      <c r="R199" s="10"/>
      <c r="S199" s="10"/>
      <c r="T199" s="10"/>
      <c r="U199" s="10"/>
      <c r="V199" s="10"/>
      <c r="W199" s="10"/>
      <c r="X199" s="10"/>
      <c r="Y199" s="10"/>
      <c r="Z199" s="10"/>
      <c r="AA199" s="10"/>
      <c r="AB199" s="10"/>
      <c r="AC199" s="10"/>
    </row>
    <row r="200" spans="1:29" ht="24">
      <c r="A200" s="6" t="s">
        <v>210</v>
      </c>
      <c r="B200" s="7">
        <v>32766.278689899998</v>
      </c>
      <c r="C200" s="8">
        <v>498.25</v>
      </c>
      <c r="D200" s="8">
        <v>69.25</v>
      </c>
      <c r="E200" s="8">
        <v>806.4</v>
      </c>
      <c r="F200" s="9">
        <v>0.38213045634920634</v>
      </c>
      <c r="G200" s="8">
        <v>451.2</v>
      </c>
      <c r="H200" s="9">
        <v>0.10427748226950358</v>
      </c>
      <c r="I200" s="8">
        <v>488.55</v>
      </c>
      <c r="J200" s="9">
        <v>1.9854671988537485E-2</v>
      </c>
      <c r="K200" s="10"/>
      <c r="L200" s="10"/>
      <c r="M200" s="10"/>
      <c r="N200" s="10"/>
      <c r="O200" s="10"/>
      <c r="P200" s="10"/>
      <c r="Q200" s="10"/>
      <c r="R200" s="10"/>
      <c r="S200" s="10"/>
      <c r="T200" s="10"/>
      <c r="U200" s="10"/>
      <c r="V200" s="10"/>
      <c r="W200" s="10"/>
      <c r="X200" s="10"/>
      <c r="Y200" s="10"/>
      <c r="Z200" s="10"/>
      <c r="AA200" s="10"/>
      <c r="AB200" s="10"/>
      <c r="AC200" s="10"/>
    </row>
    <row r="201" spans="1:29" ht="24">
      <c r="A201" s="6" t="s">
        <v>211</v>
      </c>
      <c r="B201" s="7">
        <v>13811.7</v>
      </c>
      <c r="C201" s="8">
        <v>2714.9</v>
      </c>
      <c r="D201" s="8">
        <v>61.31</v>
      </c>
      <c r="E201" s="8">
        <v>3797.6</v>
      </c>
      <c r="F201" s="9">
        <v>0.28510111649462816</v>
      </c>
      <c r="G201" s="8">
        <v>2506.1999999999998</v>
      </c>
      <c r="H201" s="9">
        <v>8.3273481765222368E-2</v>
      </c>
      <c r="I201" s="8">
        <v>2750.75</v>
      </c>
      <c r="J201" s="9">
        <v>-1.3032809233845281E-2</v>
      </c>
      <c r="K201" s="10"/>
      <c r="L201" s="10"/>
      <c r="M201" s="10"/>
      <c r="N201" s="10"/>
      <c r="O201" s="10"/>
      <c r="P201" s="10"/>
      <c r="Q201" s="10"/>
      <c r="R201" s="10"/>
      <c r="S201" s="10"/>
      <c r="T201" s="10"/>
      <c r="U201" s="10"/>
      <c r="V201" s="10"/>
      <c r="W201" s="10"/>
      <c r="X201" s="10"/>
      <c r="Y201" s="10"/>
      <c r="Z201" s="10"/>
      <c r="AA201" s="10"/>
      <c r="AB201" s="10"/>
      <c r="AC201" s="10"/>
    </row>
    <row r="202" spans="1:29" ht="24">
      <c r="A202" s="6" t="s">
        <v>212</v>
      </c>
      <c r="B202" s="7">
        <v>478914.7</v>
      </c>
      <c r="C202" s="8">
        <v>2619.25</v>
      </c>
      <c r="D202" s="8">
        <v>19.809999999999999</v>
      </c>
      <c r="E202" s="8">
        <v>2933.8</v>
      </c>
      <c r="F202" s="9">
        <v>0.10721589747085697</v>
      </c>
      <c r="G202" s="8">
        <v>2026</v>
      </c>
      <c r="H202" s="9">
        <v>0.29281836130306022</v>
      </c>
      <c r="I202" s="8">
        <v>2612.8000000000002</v>
      </c>
      <c r="J202" s="9">
        <v>2.4686160440905609E-3</v>
      </c>
      <c r="K202" s="10"/>
      <c r="L202" s="10"/>
      <c r="M202" s="10"/>
      <c r="N202" s="10"/>
      <c r="O202" s="10"/>
      <c r="P202" s="10"/>
      <c r="Q202" s="10"/>
      <c r="R202" s="10"/>
      <c r="S202" s="10"/>
      <c r="T202" s="10"/>
      <c r="U202" s="10"/>
      <c r="V202" s="10"/>
      <c r="W202" s="10"/>
      <c r="X202" s="10"/>
      <c r="Y202" s="10"/>
      <c r="Z202" s="10"/>
      <c r="AA202" s="10"/>
      <c r="AB202" s="10"/>
      <c r="AC202" s="10"/>
    </row>
    <row r="203" spans="1:29" ht="24">
      <c r="A203" s="6" t="s">
        <v>213</v>
      </c>
      <c r="B203" s="7">
        <v>41307.128006400002</v>
      </c>
      <c r="C203" s="8">
        <v>619</v>
      </c>
      <c r="D203" s="8">
        <v>31.44</v>
      </c>
      <c r="E203" s="8">
        <v>732.98</v>
      </c>
      <c r="F203" s="9">
        <v>0.15550219651286531</v>
      </c>
      <c r="G203" s="8">
        <v>525</v>
      </c>
      <c r="H203" s="9">
        <v>0.17904761904761904</v>
      </c>
      <c r="I203" s="8">
        <v>628.15</v>
      </c>
      <c r="J203" s="9">
        <v>-1.4566584414550629E-2</v>
      </c>
      <c r="K203" s="10"/>
      <c r="L203" s="10"/>
      <c r="M203" s="10"/>
      <c r="N203" s="10"/>
      <c r="O203" s="10"/>
      <c r="P203" s="10"/>
      <c r="Q203" s="10"/>
      <c r="R203" s="10"/>
      <c r="S203" s="10"/>
      <c r="T203" s="10"/>
      <c r="U203" s="10"/>
      <c r="V203" s="10"/>
      <c r="W203" s="10"/>
      <c r="X203" s="10"/>
      <c r="Y203" s="10"/>
      <c r="Z203" s="10"/>
      <c r="AA203" s="10"/>
      <c r="AB203" s="10"/>
      <c r="AC203" s="10"/>
    </row>
    <row r="204" spans="1:29" ht="24">
      <c r="A204" s="6" t="s">
        <v>214</v>
      </c>
      <c r="B204" s="7">
        <v>6502.4350000000004</v>
      </c>
      <c r="C204" s="8">
        <v>578.04999999999995</v>
      </c>
      <c r="D204" s="8">
        <v>114.36</v>
      </c>
      <c r="E204" s="8">
        <v>749.15</v>
      </c>
      <c r="F204" s="9">
        <v>0.22839217780150842</v>
      </c>
      <c r="G204" s="8">
        <v>328.73</v>
      </c>
      <c r="H204" s="9">
        <v>0.75843397316947014</v>
      </c>
      <c r="I204" s="8">
        <v>580</v>
      </c>
      <c r="J204" s="9">
        <v>-3.3620689655173199E-3</v>
      </c>
      <c r="K204" s="10"/>
      <c r="L204" s="10"/>
      <c r="M204" s="10"/>
      <c r="N204" s="10"/>
      <c r="O204" s="10"/>
      <c r="P204" s="10"/>
      <c r="Q204" s="10"/>
      <c r="R204" s="10"/>
      <c r="S204" s="10"/>
      <c r="T204" s="10"/>
      <c r="U204" s="10"/>
      <c r="V204" s="10"/>
      <c r="W204" s="10"/>
      <c r="X204" s="10"/>
      <c r="Y204" s="10"/>
      <c r="Z204" s="10"/>
      <c r="AA204" s="10"/>
      <c r="AB204" s="10"/>
      <c r="AC204" s="10"/>
    </row>
    <row r="205" spans="1:29" ht="24">
      <c r="A205" s="6" t="s">
        <v>215</v>
      </c>
      <c r="B205" s="7">
        <v>38859.14</v>
      </c>
      <c r="C205" s="8">
        <v>4338</v>
      </c>
      <c r="D205" s="8">
        <v>63.66</v>
      </c>
      <c r="E205" s="8">
        <v>4535.95</v>
      </c>
      <c r="F205" s="9">
        <v>4.3640251766443594E-2</v>
      </c>
      <c r="G205" s="8">
        <v>2160.0500000000002</v>
      </c>
      <c r="H205" s="9">
        <v>1.0082868452119162</v>
      </c>
      <c r="I205" s="8">
        <v>4340.1499999999996</v>
      </c>
      <c r="J205" s="9">
        <v>-4.9537458382766409E-4</v>
      </c>
      <c r="K205" s="10"/>
      <c r="L205" s="10"/>
      <c r="M205" s="10"/>
      <c r="N205" s="10"/>
      <c r="O205" s="10"/>
      <c r="P205" s="10"/>
      <c r="Q205" s="10"/>
      <c r="R205" s="10"/>
      <c r="S205" s="10"/>
      <c r="T205" s="10"/>
      <c r="U205" s="10"/>
      <c r="V205" s="10"/>
      <c r="W205" s="10"/>
      <c r="X205" s="10"/>
      <c r="Y205" s="10"/>
      <c r="Z205" s="10"/>
      <c r="AA205" s="10"/>
      <c r="AB205" s="10"/>
      <c r="AC205" s="10"/>
    </row>
    <row r="206" spans="1:29" ht="24">
      <c r="A206" s="6" t="s">
        <v>216</v>
      </c>
      <c r="B206" s="7">
        <v>354002.53595559997</v>
      </c>
      <c r="C206" s="8">
        <v>1780.5</v>
      </c>
      <c r="D206" s="8">
        <v>25.87</v>
      </c>
      <c r="E206" s="8">
        <v>1997.55</v>
      </c>
      <c r="F206" s="9">
        <v>0.10865810618007056</v>
      </c>
      <c r="G206" s="8">
        <v>1631</v>
      </c>
      <c r="H206" s="9">
        <v>9.1661557326793375E-2</v>
      </c>
      <c r="I206" s="8">
        <v>1779.5</v>
      </c>
      <c r="J206" s="9">
        <v>5.6195560550716497E-4</v>
      </c>
      <c r="K206" s="10"/>
      <c r="L206" s="10"/>
      <c r="M206" s="10"/>
      <c r="N206" s="10"/>
      <c r="O206" s="10"/>
      <c r="P206" s="10"/>
      <c r="Q206" s="10"/>
      <c r="R206" s="10"/>
      <c r="S206" s="10"/>
      <c r="T206" s="10"/>
      <c r="U206" s="10"/>
      <c r="V206" s="10"/>
      <c r="W206" s="10"/>
      <c r="X206" s="10"/>
      <c r="Y206" s="10"/>
      <c r="Z206" s="10"/>
      <c r="AA206" s="10"/>
      <c r="AB206" s="10"/>
      <c r="AC206" s="10"/>
    </row>
    <row r="207" spans="1:29" ht="24">
      <c r="A207" s="6" t="s">
        <v>217</v>
      </c>
      <c r="B207" s="7">
        <v>1639.2763729999999</v>
      </c>
      <c r="C207" s="8">
        <v>498.5</v>
      </c>
      <c r="D207" s="8">
        <v>30.76</v>
      </c>
      <c r="E207" s="8">
        <v>1000</v>
      </c>
      <c r="F207" s="9">
        <v>0.50149999999999995</v>
      </c>
      <c r="G207" s="8">
        <v>472.2</v>
      </c>
      <c r="H207" s="9">
        <v>5.5696738670055083E-2</v>
      </c>
      <c r="I207" s="8">
        <v>503.15</v>
      </c>
      <c r="J207" s="9">
        <v>-9.2417768061213903E-3</v>
      </c>
      <c r="K207" s="10"/>
      <c r="L207" s="10"/>
      <c r="M207" s="10"/>
      <c r="N207" s="10"/>
      <c r="O207" s="10"/>
      <c r="P207" s="10"/>
      <c r="Q207" s="10"/>
      <c r="R207" s="10"/>
      <c r="S207" s="10"/>
      <c r="T207" s="10"/>
      <c r="U207" s="10"/>
      <c r="V207" s="10"/>
      <c r="W207" s="10"/>
      <c r="X207" s="10"/>
      <c r="Y207" s="10"/>
      <c r="Z207" s="10"/>
      <c r="AA207" s="10"/>
      <c r="AB207" s="10"/>
      <c r="AC207" s="10"/>
    </row>
    <row r="208" spans="1:29" ht="24">
      <c r="A208" s="6" t="s">
        <v>218</v>
      </c>
      <c r="B208" s="7">
        <v>93678.861999999994</v>
      </c>
      <c r="C208" s="8">
        <v>916.75</v>
      </c>
      <c r="D208" s="8">
        <v>58.81</v>
      </c>
      <c r="E208" s="8">
        <v>955.65</v>
      </c>
      <c r="F208" s="9">
        <v>4.0705279129388351E-2</v>
      </c>
      <c r="G208" s="8">
        <v>660.2</v>
      </c>
      <c r="H208" s="9">
        <v>0.38859436534383512</v>
      </c>
      <c r="I208" s="8">
        <v>914.9</v>
      </c>
      <c r="J208" s="9">
        <v>2.02207891572852E-3</v>
      </c>
      <c r="K208" s="10"/>
      <c r="L208" s="10"/>
      <c r="M208" s="10"/>
      <c r="N208" s="10"/>
      <c r="O208" s="10"/>
      <c r="P208" s="10"/>
      <c r="Q208" s="10"/>
      <c r="R208" s="10"/>
      <c r="S208" s="10"/>
      <c r="T208" s="10"/>
      <c r="U208" s="10"/>
      <c r="V208" s="10"/>
      <c r="W208" s="10"/>
      <c r="X208" s="10"/>
      <c r="Y208" s="10"/>
      <c r="Z208" s="10"/>
      <c r="AA208" s="10"/>
      <c r="AB208" s="10"/>
      <c r="AC208" s="10"/>
    </row>
    <row r="209" spans="1:29" ht="24">
      <c r="A209" s="6" t="s">
        <v>219</v>
      </c>
      <c r="B209" s="7">
        <v>1528.0408124999999</v>
      </c>
      <c r="C209" s="8">
        <v>423</v>
      </c>
      <c r="D209" s="8" t="s">
        <v>16</v>
      </c>
      <c r="E209" s="8">
        <v>1156.3499999999999</v>
      </c>
      <c r="F209" s="9">
        <v>0.63419379945518217</v>
      </c>
      <c r="G209" s="8">
        <v>323.64999999999998</v>
      </c>
      <c r="H209" s="9">
        <v>0.30696740305885994</v>
      </c>
      <c r="I209" s="8">
        <v>427.8</v>
      </c>
      <c r="J209" s="9">
        <v>-1.1220196353436211E-2</v>
      </c>
      <c r="K209" s="10"/>
      <c r="L209" s="10"/>
      <c r="M209" s="10"/>
      <c r="N209" s="10"/>
      <c r="O209" s="10"/>
      <c r="P209" s="10"/>
      <c r="Q209" s="10"/>
      <c r="R209" s="10"/>
      <c r="S209" s="10"/>
      <c r="T209" s="10"/>
      <c r="U209" s="10"/>
      <c r="V209" s="10"/>
      <c r="W209" s="10"/>
      <c r="X209" s="10"/>
      <c r="Y209" s="10"/>
      <c r="Z209" s="10"/>
      <c r="AA209" s="10"/>
      <c r="AB209" s="10"/>
      <c r="AC209" s="10"/>
    </row>
    <row r="210" spans="1:29" ht="24">
      <c r="A210" s="6" t="s">
        <v>220</v>
      </c>
      <c r="B210" s="7">
        <v>17802.193500000001</v>
      </c>
      <c r="C210" s="8">
        <v>1118</v>
      </c>
      <c r="D210" s="8">
        <v>46.87</v>
      </c>
      <c r="E210" s="8">
        <v>1374.55</v>
      </c>
      <c r="F210" s="9">
        <v>0.186642901313157</v>
      </c>
      <c r="G210" s="8">
        <v>885.3</v>
      </c>
      <c r="H210" s="9">
        <v>0.26284875183553602</v>
      </c>
      <c r="I210" s="8">
        <v>1112.5</v>
      </c>
      <c r="J210" s="9">
        <v>4.9438202247191008E-3</v>
      </c>
      <c r="K210" s="10"/>
      <c r="L210" s="10"/>
      <c r="M210" s="10"/>
      <c r="N210" s="10"/>
      <c r="O210" s="10"/>
      <c r="P210" s="10"/>
      <c r="Q210" s="10"/>
      <c r="R210" s="10"/>
      <c r="S210" s="10"/>
      <c r="T210" s="10"/>
      <c r="U210" s="10"/>
      <c r="V210" s="10"/>
      <c r="W210" s="10"/>
      <c r="X210" s="10"/>
      <c r="Y210" s="10"/>
      <c r="Z210" s="10"/>
      <c r="AA210" s="10"/>
      <c r="AB210" s="10"/>
      <c r="AC210" s="10"/>
    </row>
    <row r="211" spans="1:29" ht="24">
      <c r="A211" s="6" t="s">
        <v>221</v>
      </c>
      <c r="B211" s="7">
        <v>1347.5935652000001</v>
      </c>
      <c r="C211" s="8">
        <v>429.35</v>
      </c>
      <c r="D211" s="8">
        <v>20.29</v>
      </c>
      <c r="E211" s="8">
        <v>778</v>
      </c>
      <c r="F211" s="9">
        <v>0.44813624678663239</v>
      </c>
      <c r="G211" s="8">
        <v>428.9</v>
      </c>
      <c r="H211" s="9">
        <v>1.049195616693974E-3</v>
      </c>
      <c r="I211" s="8">
        <v>436.85</v>
      </c>
      <c r="J211" s="9">
        <v>-1.7168364427148905E-2</v>
      </c>
      <c r="K211" s="10"/>
      <c r="L211" s="10"/>
      <c r="M211" s="10"/>
      <c r="N211" s="10"/>
      <c r="O211" s="10"/>
      <c r="P211" s="10"/>
      <c r="Q211" s="10"/>
      <c r="R211" s="10"/>
      <c r="S211" s="10"/>
      <c r="T211" s="10"/>
      <c r="U211" s="10"/>
      <c r="V211" s="10"/>
      <c r="W211" s="10"/>
      <c r="X211" s="10"/>
      <c r="Y211" s="10"/>
      <c r="Z211" s="10"/>
      <c r="AA211" s="10"/>
      <c r="AB211" s="10"/>
      <c r="AC211" s="10"/>
    </row>
    <row r="212" spans="1:29" ht="48">
      <c r="A212" s="6" t="s">
        <v>222</v>
      </c>
      <c r="B212" s="7">
        <v>7063.23</v>
      </c>
      <c r="C212" s="8">
        <v>1380.05</v>
      </c>
      <c r="D212" s="8">
        <v>45.85</v>
      </c>
      <c r="E212" s="8">
        <v>3142</v>
      </c>
      <c r="F212" s="9">
        <v>0.56077339274347549</v>
      </c>
      <c r="G212" s="8">
        <v>1267.05</v>
      </c>
      <c r="H212" s="9">
        <v>8.9183536561303817E-2</v>
      </c>
      <c r="I212" s="8">
        <v>1382.35</v>
      </c>
      <c r="J212" s="9">
        <v>-1.6638333273049188E-3</v>
      </c>
      <c r="K212" s="10"/>
      <c r="L212" s="10"/>
      <c r="M212" s="10"/>
      <c r="N212" s="10"/>
      <c r="O212" s="10"/>
      <c r="P212" s="10"/>
      <c r="Q212" s="10"/>
      <c r="R212" s="10"/>
      <c r="S212" s="10"/>
      <c r="T212" s="10"/>
      <c r="U212" s="10"/>
      <c r="V212" s="10"/>
      <c r="W212" s="10"/>
      <c r="X212" s="10"/>
      <c r="Y212" s="10"/>
      <c r="Z212" s="10"/>
      <c r="AA212" s="10"/>
      <c r="AB212" s="10"/>
      <c r="AC212" s="10"/>
    </row>
    <row r="213" spans="1:29" ht="24">
      <c r="A213" s="6" t="s">
        <v>223</v>
      </c>
      <c r="B213" s="7">
        <v>21081.42</v>
      </c>
      <c r="C213" s="8">
        <v>581.79999999999995</v>
      </c>
      <c r="D213" s="8">
        <v>17.2</v>
      </c>
      <c r="E213" s="8">
        <v>1118</v>
      </c>
      <c r="F213" s="9">
        <v>0.47960644007155639</v>
      </c>
      <c r="G213" s="8">
        <v>579</v>
      </c>
      <c r="H213" s="9">
        <v>4.8359240069083846E-3</v>
      </c>
      <c r="I213" s="8">
        <v>592.4</v>
      </c>
      <c r="J213" s="9">
        <v>-1.7893315327481469E-2</v>
      </c>
      <c r="K213" s="10"/>
      <c r="L213" s="10"/>
      <c r="M213" s="10"/>
      <c r="N213" s="10"/>
      <c r="O213" s="10"/>
      <c r="P213" s="10"/>
      <c r="Q213" s="10"/>
      <c r="R213" s="10"/>
      <c r="S213" s="10"/>
      <c r="T213" s="10"/>
      <c r="U213" s="10"/>
      <c r="V213" s="10"/>
      <c r="W213" s="10"/>
      <c r="X213" s="10"/>
      <c r="Y213" s="10"/>
      <c r="Z213" s="10"/>
      <c r="AA213" s="10"/>
      <c r="AB213" s="10"/>
      <c r="AC213" s="10"/>
    </row>
    <row r="214" spans="1:29" ht="24">
      <c r="A214" s="6" t="s">
        <v>224</v>
      </c>
      <c r="B214" s="7">
        <v>1992.0121939000001</v>
      </c>
      <c r="C214" s="8">
        <v>36.200000000000003</v>
      </c>
      <c r="D214" s="8">
        <v>593.92999999999995</v>
      </c>
      <c r="E214" s="8">
        <v>54.5</v>
      </c>
      <c r="F214" s="9">
        <v>0.33577981651376143</v>
      </c>
      <c r="G214" s="8">
        <v>18.7</v>
      </c>
      <c r="H214" s="9">
        <v>0.93582887700534778</v>
      </c>
      <c r="I214" s="8">
        <v>36.049999999999997</v>
      </c>
      <c r="J214" s="9">
        <v>4.1608876560334448E-3</v>
      </c>
      <c r="K214" s="10"/>
      <c r="L214" s="10"/>
      <c r="M214" s="10"/>
      <c r="N214" s="10"/>
      <c r="O214" s="10"/>
      <c r="P214" s="10"/>
      <c r="Q214" s="10"/>
      <c r="R214" s="10"/>
      <c r="S214" s="10"/>
      <c r="T214" s="10"/>
      <c r="U214" s="10"/>
      <c r="V214" s="10"/>
      <c r="W214" s="10"/>
      <c r="X214" s="10"/>
      <c r="Y214" s="10"/>
      <c r="Z214" s="10"/>
      <c r="AA214" s="10"/>
      <c r="AB214" s="10"/>
      <c r="AC214" s="10"/>
    </row>
    <row r="215" spans="1:29" ht="24">
      <c r="A215" s="6" t="s">
        <v>225</v>
      </c>
      <c r="B215" s="7">
        <v>22166.9</v>
      </c>
      <c r="C215" s="8">
        <v>3020</v>
      </c>
      <c r="D215" s="8">
        <v>38.36</v>
      </c>
      <c r="E215" s="8">
        <v>3863.55</v>
      </c>
      <c r="F215" s="9">
        <v>0.21833546867518219</v>
      </c>
      <c r="G215" s="8">
        <v>2540</v>
      </c>
      <c r="H215" s="9">
        <v>0.1889763779527559</v>
      </c>
      <c r="I215" s="8">
        <v>3044.5</v>
      </c>
      <c r="J215" s="9">
        <v>-8.0472984069633758E-3</v>
      </c>
      <c r="K215" s="10"/>
      <c r="L215" s="10"/>
      <c r="M215" s="10"/>
      <c r="N215" s="10"/>
      <c r="O215" s="10"/>
      <c r="P215" s="10"/>
      <c r="Q215" s="10"/>
      <c r="R215" s="10"/>
      <c r="S215" s="10"/>
      <c r="T215" s="10"/>
      <c r="U215" s="10"/>
      <c r="V215" s="10"/>
      <c r="W215" s="10"/>
      <c r="X215" s="10"/>
      <c r="Y215" s="10"/>
      <c r="Z215" s="10"/>
      <c r="AA215" s="10"/>
      <c r="AB215" s="10"/>
      <c r="AC215" s="10"/>
    </row>
    <row r="216" spans="1:29" ht="24">
      <c r="A216" s="6" t="s">
        <v>226</v>
      </c>
      <c r="B216" s="7">
        <v>4564.43</v>
      </c>
      <c r="C216" s="8">
        <v>1524.7</v>
      </c>
      <c r="D216" s="8">
        <v>17.12</v>
      </c>
      <c r="E216" s="8">
        <v>3925</v>
      </c>
      <c r="F216" s="9">
        <v>0.61154140127388534</v>
      </c>
      <c r="G216" s="8">
        <v>1515.1</v>
      </c>
      <c r="H216" s="9">
        <v>6.3362154313247555E-3</v>
      </c>
      <c r="I216" s="8">
        <v>1526.65</v>
      </c>
      <c r="J216" s="9">
        <v>-1.2773065208135756E-3</v>
      </c>
      <c r="K216" s="10"/>
      <c r="L216" s="10"/>
      <c r="M216" s="10"/>
      <c r="N216" s="10"/>
      <c r="O216" s="10"/>
      <c r="P216" s="10"/>
      <c r="Q216" s="10"/>
      <c r="R216" s="10"/>
      <c r="S216" s="10"/>
      <c r="T216" s="10"/>
      <c r="U216" s="10"/>
      <c r="V216" s="10"/>
      <c r="W216" s="10"/>
      <c r="X216" s="10"/>
      <c r="Y216" s="10"/>
      <c r="Z216" s="10"/>
      <c r="AA216" s="10"/>
      <c r="AB216" s="10"/>
      <c r="AC216" s="10"/>
    </row>
    <row r="217" spans="1:29" ht="24">
      <c r="A217" s="6" t="s">
        <v>227</v>
      </c>
      <c r="B217" s="7">
        <v>450686.75702929997</v>
      </c>
      <c r="C217" s="8">
        <v>712.7</v>
      </c>
      <c r="D217" s="8">
        <v>23.63</v>
      </c>
      <c r="E217" s="8">
        <v>920</v>
      </c>
      <c r="F217" s="9">
        <v>0.22532608695652168</v>
      </c>
      <c r="G217" s="8">
        <v>588</v>
      </c>
      <c r="H217" s="9">
        <v>0.21207482993197288</v>
      </c>
      <c r="I217" s="8">
        <v>705.55</v>
      </c>
      <c r="J217" s="9">
        <v>1.0133938062504559E-2</v>
      </c>
      <c r="K217" s="10"/>
      <c r="L217" s="10"/>
      <c r="M217" s="10"/>
      <c r="N217" s="10"/>
      <c r="O217" s="10"/>
      <c r="P217" s="10"/>
      <c r="Q217" s="10"/>
      <c r="R217" s="10"/>
      <c r="S217" s="10"/>
      <c r="T217" s="10"/>
      <c r="U217" s="10"/>
      <c r="V217" s="10"/>
      <c r="W217" s="10"/>
      <c r="X217" s="10"/>
      <c r="Y217" s="10"/>
      <c r="Z217" s="10"/>
      <c r="AA217" s="10"/>
      <c r="AB217" s="10"/>
      <c r="AC217" s="10"/>
    </row>
  </sheetData>
  <conditionalFormatting sqref="B1:B217">
    <cfRule type="colorScale" priority="1">
      <colorScale>
        <cfvo type="min"/>
        <cfvo type="max"/>
        <color rgb="FFE0FFCC"/>
        <color rgb="FF57FF53"/>
      </colorScale>
    </cfRule>
  </conditionalFormatting>
  <conditionalFormatting sqref="C2:C217">
    <cfRule type="notContainsBlanks" dxfId="4" priority="4">
      <formula>LEN(TRIM(C2))&gt;0</formula>
    </cfRule>
  </conditionalFormatting>
  <conditionalFormatting sqref="E2:E217">
    <cfRule type="notContainsBlanks" dxfId="3" priority="5">
      <formula>LEN(TRIM(E2))&gt;0</formula>
    </cfRule>
  </conditionalFormatting>
  <conditionalFormatting sqref="G2:G217">
    <cfRule type="notContainsBlanks" dxfId="2" priority="6">
      <formula>LEN(TRIM(G2))&gt;0</formula>
    </cfRule>
  </conditionalFormatting>
  <conditionalFormatting sqref="J1:J217">
    <cfRule type="cellIs" dxfId="1" priority="2" operator="lessThan">
      <formula>0</formula>
    </cfRule>
    <cfRule type="cellIs" dxfId="0" priority="3" operator="greaterThan">
      <formula>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89"/>
  <sheetViews>
    <sheetView zoomScale="79" zoomScaleNormal="79" workbookViewId="0"/>
  </sheetViews>
  <sheetFormatPr defaultColWidth="12.6640625" defaultRowHeight="15.75" customHeight="1"/>
  <cols>
    <col min="2" max="2" width="21.77734375" customWidth="1"/>
    <col min="3" max="3" width="13.33203125" customWidth="1"/>
    <col min="5" max="5" width="13.77734375" customWidth="1"/>
    <col min="6" max="6" width="21.77734375" customWidth="1"/>
    <col min="7" max="7" width="13.109375" customWidth="1"/>
    <col min="8" max="8" width="21.21875" customWidth="1"/>
    <col min="9" max="9" width="23" customWidth="1"/>
    <col min="10" max="11" width="10.44140625" customWidth="1"/>
    <col min="15" max="15" width="14.44140625" customWidth="1"/>
    <col min="20" max="20" width="13.21875" bestFit="1" customWidth="1"/>
    <col min="21" max="21" width="18.33203125" bestFit="1" customWidth="1"/>
  </cols>
  <sheetData>
    <row r="1" spans="1:26" ht="27" customHeight="1">
      <c r="A1" s="11" t="str">
        <f ca="1">IFERROR(__xludf.DUMMYFUNCTION("QUERY('Data Set'!A1:J989, ""SELECT * WHERE D IS NOT NULL AND D &lt; 100 ORDER BY B DESC"", 1)
"),"Stock")</f>
        <v>Stock</v>
      </c>
      <c r="B1" s="11" t="str">
        <f ca="1">IFERROR(__xludf.DUMMYFUNCTION("""COMPUTED_VALUE"""),"Market Cap (In Rs Cr.)")</f>
        <v>Market Cap (In Rs Cr.)</v>
      </c>
      <c r="C1" s="11" t="str">
        <f ca="1">IFERROR(__xludf.DUMMYFUNCTION("""COMPUTED_VALUE"""),"Current price")</f>
        <v>Current price</v>
      </c>
      <c r="D1" s="11" t="str">
        <f ca="1">IFERROR(__xludf.DUMMYFUNCTION("""COMPUTED_VALUE"""),"PE Ratio")</f>
        <v>PE Ratio</v>
      </c>
      <c r="E1" s="11" t="str">
        <f ca="1">IFERROR(__xludf.DUMMYFUNCTION("""COMPUTED_VALUE"""),"52 Week High")</f>
        <v>52 Week High</v>
      </c>
      <c r="F1" s="11" t="str">
        <f ca="1">IFERROR(__xludf.DUMMYFUNCTION("""COMPUTED_VALUE"""),"% Below 52 week high")</f>
        <v>% Below 52 week high</v>
      </c>
      <c r="G1" s="11" t="str">
        <f ca="1">IFERROR(__xludf.DUMMYFUNCTION("""COMPUTED_VALUE"""),"52 Week Low")</f>
        <v>52 Week Low</v>
      </c>
      <c r="H1" s="11" t="str">
        <f ca="1">IFERROR(__xludf.DUMMYFUNCTION("""COMPUTED_VALUE"""),"% Above 52 Week low")</f>
        <v>% Above 52 Week low</v>
      </c>
      <c r="I1" s="11" t="str">
        <f ca="1">IFERROR(__xludf.DUMMYFUNCTION("""COMPUTED_VALUE"""),"Yesterday Closing Price")</f>
        <v>Yesterday Closing Price</v>
      </c>
      <c r="J1" s="11" t="str">
        <f ca="1">IFERROR(__xludf.DUMMYFUNCTION("""COMPUTED_VALUE"""),"% Change")</f>
        <v>% Change</v>
      </c>
      <c r="K1" s="11" t="s">
        <v>228</v>
      </c>
      <c r="L1" s="11" t="s">
        <v>229</v>
      </c>
      <c r="M1" s="11" t="s">
        <v>230</v>
      </c>
      <c r="N1" s="11" t="s">
        <v>231</v>
      </c>
      <c r="O1" s="11" t="s">
        <v>232</v>
      </c>
      <c r="P1" s="11" t="s">
        <v>233</v>
      </c>
      <c r="Q1" s="11"/>
      <c r="R1" s="11"/>
      <c r="S1" s="11"/>
      <c r="T1" s="11"/>
      <c r="U1" s="11"/>
      <c r="V1" s="11"/>
      <c r="W1" s="11"/>
      <c r="X1" s="11"/>
      <c r="Y1" s="11"/>
      <c r="Z1" s="11"/>
    </row>
    <row r="2" spans="1:26" ht="13.2">
      <c r="A2" s="12" t="str">
        <f ca="1">IFERROR(__xludf.DUMMYFUNCTION("""COMPUTED_VALUE"""),"Reliance")</f>
        <v>Reliance</v>
      </c>
      <c r="B2" s="13">
        <f ca="1">IFERROR(__xludf.DUMMYFUNCTION("""COMPUTED_VALUE"""),1620922.4391001)</f>
        <v>1620922.4391001</v>
      </c>
      <c r="C2" s="12">
        <f ca="1">IFERROR(__xludf.DUMMYFUNCTION("""COMPUTED_VALUE"""),2467.9)</f>
        <v>2467.9</v>
      </c>
      <c r="D2" s="12">
        <f ca="1">IFERROR(__xludf.DUMMYFUNCTION("""COMPUTED_VALUE"""),25.09)</f>
        <v>25.09</v>
      </c>
      <c r="E2" s="12">
        <f ca="1">IFERROR(__xludf.DUMMYFUNCTION("""COMPUTED_VALUE"""),2856.15)</f>
        <v>2856.15</v>
      </c>
      <c r="F2" s="14">
        <f ca="1">IFERROR(__xludf.DUMMYFUNCTION("""COMPUTED_VALUE"""),0.135934737321219)</f>
        <v>0.135934737321219</v>
      </c>
      <c r="G2" s="12">
        <f ca="1">IFERROR(__xludf.DUMMYFUNCTION("""COMPUTED_VALUE"""),2180)</f>
        <v>2180</v>
      </c>
      <c r="H2" s="14">
        <f ca="1">IFERROR(__xludf.DUMMYFUNCTION("""COMPUTED_VALUE"""),0.132064220183486)</f>
        <v>0.13206422018348599</v>
      </c>
      <c r="I2" s="12">
        <f ca="1">IFERROR(__xludf.DUMMYFUNCTION("""COMPUTED_VALUE"""),2471.6)</f>
        <v>2471.6</v>
      </c>
      <c r="J2" s="14">
        <f ca="1">IFERROR(__xludf.DUMMYFUNCTION("""COMPUTED_VALUE"""),-0.00149700598802387)</f>
        <v>-1.49700598802387E-3</v>
      </c>
      <c r="K2" s="12" t="str">
        <f t="array" ref="K2:K989" ca="1">IFERROR(VLOOKUP(A2:A989, 'NSEBSE Code'!A4:B989, 2, 0), "")</f>
        <v>Telecom and oil</v>
      </c>
      <c r="L2" s="12" t="str">
        <f t="array" ref="L2:L989" ca="1">IFERROR(VLOOKUP(A2:A989, 'NSEBSE Code'!A4:C989, 3, 0), "")</f>
        <v>RELIANCE</v>
      </c>
      <c r="M2" s="15" t="str">
        <f t="array" ref="M2:M989" ca="1">IF(ISBLANK(F2:F989), "", IF(F2:F989 &gt; 30, "YES", "No"))</f>
        <v>No</v>
      </c>
      <c r="N2" s="12" t="str">
        <f t="array" ref="N2:N989" ca="1">IF(ISBLANK(H2:H989), "", IF(H2:H989 &lt; -30, "Yes", "No"))</f>
        <v>No</v>
      </c>
      <c r="O2" s="12" t="str">
        <f t="array" ref="O2:O989" ca="1">IF((D2:D989 &lt; 65) * (M2:M989 = "No") * (N2:N989 = "No"), "Good Stock", "")</f>
        <v>Good Stock</v>
      </c>
      <c r="P2" s="12" t="str">
        <f t="array" ref="P2:P989" ca="1">IF(ISBLANK(B2:B989), "", IF(B2:B989 &gt;= _xlfn.PERCENTILE.INC(B2:B989, 0.6), "Large Cap", IF(B2:B989 &gt;= _xlfn.PERCENTILE.INC(B2:B989, 0.4), "Medium Cap", "Low Cap")))</f>
        <v>Large Cap</v>
      </c>
    </row>
    <row r="3" spans="1:26" ht="13.2">
      <c r="A3" s="12" t="str">
        <f ca="1">IFERROR(__xludf.DUMMYFUNCTION("""COMPUTED_VALUE"""),"TCS")</f>
        <v>TCS</v>
      </c>
      <c r="B3" s="13">
        <f ca="1">IFERROR(__xludf.DUMMYFUNCTION("""COMPUTED_VALUE"""),1234544.5174748)</f>
        <v>1234544.5174748001</v>
      </c>
      <c r="C3" s="12">
        <f ca="1">IFERROR(__xludf.DUMMYFUNCTION("""COMPUTED_VALUE"""),3374.2)</f>
        <v>3374.2</v>
      </c>
      <c r="D3" s="12">
        <f ca="1">IFERROR(__xludf.DUMMYFUNCTION("""COMPUTED_VALUE"""),30.43)</f>
        <v>30.43</v>
      </c>
      <c r="E3" s="12">
        <f ca="1">IFERROR(__xludf.DUMMYFUNCTION("""COMPUTED_VALUE"""),4045.5)</f>
        <v>4045.5</v>
      </c>
      <c r="F3" s="14">
        <f ca="1">IFERROR(__xludf.DUMMYFUNCTION("""COMPUTED_VALUE"""),0.165937461376838)</f>
        <v>0.16593746137683801</v>
      </c>
      <c r="G3" s="12">
        <f ca="1">IFERROR(__xludf.DUMMYFUNCTION("""COMPUTED_VALUE"""),2926)</f>
        <v>2926</v>
      </c>
      <c r="H3" s="14">
        <f ca="1">IFERROR(__xludf.DUMMYFUNCTION("""COMPUTED_VALUE"""),0.153178400546821)</f>
        <v>0.153178400546821</v>
      </c>
      <c r="I3" s="12">
        <f ca="1">IFERROR(__xludf.DUMMYFUNCTION("""COMPUTED_VALUE"""),3334.6)</f>
        <v>3334.6</v>
      </c>
      <c r="J3" s="14">
        <f ca="1">IFERROR(__xludf.DUMMYFUNCTION("""COMPUTED_VALUE"""),0.0118754873148203)</f>
        <v>1.1875487314820301E-2</v>
      </c>
      <c r="K3" s="12" t="str">
        <f ca="1"/>
        <v>IT</v>
      </c>
      <c r="L3" s="12" t="str">
        <f ca="1"/>
        <v>BOM:532540</v>
      </c>
      <c r="M3" s="12" t="str">
        <f ca="1"/>
        <v>No</v>
      </c>
      <c r="N3" s="12" t="str">
        <f ca="1"/>
        <v>No</v>
      </c>
      <c r="O3" s="12" t="str">
        <f ca="1"/>
        <v>Good Stock</v>
      </c>
      <c r="P3" s="12" t="str">
        <f ca="1"/>
        <v>Large Cap</v>
      </c>
    </row>
    <row r="4" spans="1:26" ht="13.2">
      <c r="A4" s="12" t="str">
        <f ca="1">IFERROR(__xludf.DUMMYFUNCTION("""COMPUTED_VALUE"""),"HUL")</f>
        <v>HUL</v>
      </c>
      <c r="B4" s="13">
        <f ca="1">IFERROR(__xludf.DUMMYFUNCTION("""COMPUTED_VALUE"""),616301.326875)</f>
        <v>616301.32687500003</v>
      </c>
      <c r="C4" s="12">
        <f ca="1">IFERROR(__xludf.DUMMYFUNCTION("""COMPUTED_VALUE"""),2620.6)</f>
        <v>2620.6</v>
      </c>
      <c r="D4" s="12">
        <f ca="1">IFERROR(__xludf.DUMMYFUNCTION("""COMPUTED_VALUE"""),63.81)</f>
        <v>63.81</v>
      </c>
      <c r="E4" s="12">
        <f ca="1">IFERROR(__xludf.DUMMYFUNCTION("""COMPUTED_VALUE"""),2741.6)</f>
        <v>2741.6</v>
      </c>
      <c r="F4" s="14">
        <f ca="1">IFERROR(__xludf.DUMMYFUNCTION("""COMPUTED_VALUE"""),0.0441348117887365)</f>
        <v>4.4134811788736503E-2</v>
      </c>
      <c r="G4" s="12">
        <f ca="1">IFERROR(__xludf.DUMMYFUNCTION("""COMPUTED_VALUE"""),1901.55)</f>
        <v>1901.55</v>
      </c>
      <c r="H4" s="14">
        <f ca="1">IFERROR(__xludf.DUMMYFUNCTION("""COMPUTED_VALUE"""),0.378138886697693)</f>
        <v>0.37813888669769302</v>
      </c>
      <c r="I4" s="12">
        <f ca="1">IFERROR(__xludf.DUMMYFUNCTION("""COMPUTED_VALUE"""),2590.05)</f>
        <v>2590.0500000000002</v>
      </c>
      <c r="J4" s="14">
        <f ca="1">IFERROR(__xludf.DUMMYFUNCTION("""COMPUTED_VALUE"""),0.0117951390899788)</f>
        <v>1.17951390899788E-2</v>
      </c>
      <c r="K4" s="12" t="str">
        <f ca="1"/>
        <v>FMCG</v>
      </c>
      <c r="L4" s="12" t="str">
        <f ca="1"/>
        <v>HINDUNILVR</v>
      </c>
      <c r="M4" s="12" t="str">
        <f ca="1"/>
        <v>No</v>
      </c>
      <c r="N4" s="12" t="str">
        <f ca="1"/>
        <v>No</v>
      </c>
      <c r="O4" s="12" t="str">
        <f ca="1"/>
        <v>Good Stock</v>
      </c>
      <c r="P4" s="12" t="str">
        <f ca="1"/>
        <v>Large Cap</v>
      </c>
    </row>
    <row r="5" spans="1:26" ht="13.2">
      <c r="A5" s="12" t="str">
        <f ca="1">IFERROR(__xludf.DUMMYFUNCTION("""COMPUTED_VALUE"""),"SBI Bank")</f>
        <v>SBI Bank</v>
      </c>
      <c r="B5" s="13">
        <f ca="1">IFERROR(__xludf.DUMMYFUNCTION("""COMPUTED_VALUE"""),535431.3246675)</f>
        <v>535431.32466749998</v>
      </c>
      <c r="C5" s="12">
        <f ca="1">IFERROR(__xludf.DUMMYFUNCTION("""COMPUTED_VALUE"""),600.05)</f>
        <v>600.04999999999995</v>
      </c>
      <c r="D5" s="12">
        <f ca="1">IFERROR(__xludf.DUMMYFUNCTION("""COMPUTED_VALUE"""),13)</f>
        <v>13</v>
      </c>
      <c r="E5" s="12">
        <f ca="1">IFERROR(__xludf.DUMMYFUNCTION("""COMPUTED_VALUE"""),629.65)</f>
        <v>629.65</v>
      </c>
      <c r="F5" s="14">
        <f ca="1">IFERROR(__xludf.DUMMYFUNCTION("""COMPUTED_VALUE"""),0.0470102437862304)</f>
        <v>4.70102437862304E-2</v>
      </c>
      <c r="G5" s="12">
        <f ca="1">IFERROR(__xludf.DUMMYFUNCTION("""COMPUTED_VALUE"""),425)</f>
        <v>425</v>
      </c>
      <c r="H5" s="14">
        <f ca="1">IFERROR(__xludf.DUMMYFUNCTION("""COMPUTED_VALUE"""),0.411882352941176)</f>
        <v>0.41188235294117598</v>
      </c>
      <c r="I5" s="12">
        <f ca="1">IFERROR(__xludf.DUMMYFUNCTION("""COMPUTED_VALUE"""),595)</f>
        <v>595</v>
      </c>
      <c r="J5" s="14">
        <f ca="1">IFERROR(__xludf.DUMMYFUNCTION("""COMPUTED_VALUE"""),0.00848739495798311)</f>
        <v>8.48739495798311E-3</v>
      </c>
      <c r="K5" s="12" t="str">
        <f ca="1"/>
        <v>Bank</v>
      </c>
      <c r="L5" s="12" t="str">
        <f ca="1"/>
        <v>BOM:500112</v>
      </c>
      <c r="M5" s="12" t="str">
        <f ca="1"/>
        <v>No</v>
      </c>
      <c r="N5" s="12" t="str">
        <f ca="1"/>
        <v>No</v>
      </c>
      <c r="O5" s="12" t="str">
        <f ca="1"/>
        <v>Good Stock</v>
      </c>
      <c r="P5" s="12" t="str">
        <f ca="1"/>
        <v>Large Cap</v>
      </c>
    </row>
    <row r="6" spans="1:26" ht="13.2">
      <c r="A6" s="12" t="str">
        <f ca="1">IFERROR(__xludf.DUMMYFUNCTION("""COMPUTED_VALUE"""),"HDFC")</f>
        <v>HDFC</v>
      </c>
      <c r="B6" s="13">
        <f ca="1">IFERROR(__xludf.DUMMYFUNCTION("""COMPUTED_VALUE"""),478914.7)</f>
        <v>478914.7</v>
      </c>
      <c r="C6" s="12">
        <f ca="1">IFERROR(__xludf.DUMMYFUNCTION("""COMPUTED_VALUE"""),2619.25)</f>
        <v>2619.25</v>
      </c>
      <c r="D6" s="12">
        <f ca="1">IFERROR(__xludf.DUMMYFUNCTION("""COMPUTED_VALUE"""),19.81)</f>
        <v>19.809999999999999</v>
      </c>
      <c r="E6" s="12">
        <f ca="1">IFERROR(__xludf.DUMMYFUNCTION("""COMPUTED_VALUE"""),2933.8)</f>
        <v>2933.8</v>
      </c>
      <c r="F6" s="14">
        <f ca="1">IFERROR(__xludf.DUMMYFUNCTION("""COMPUTED_VALUE"""),0.107215897470856)</f>
        <v>0.107215897470856</v>
      </c>
      <c r="G6" s="12">
        <f ca="1">IFERROR(__xludf.DUMMYFUNCTION("""COMPUTED_VALUE"""),2026)</f>
        <v>2026</v>
      </c>
      <c r="H6" s="14">
        <f ca="1">IFERROR(__xludf.DUMMYFUNCTION("""COMPUTED_VALUE"""),0.29281836130306)</f>
        <v>0.29281836130305999</v>
      </c>
      <c r="I6" s="12">
        <f ca="1">IFERROR(__xludf.DUMMYFUNCTION("""COMPUTED_VALUE"""),2612.8)</f>
        <v>2612.8000000000002</v>
      </c>
      <c r="J6" s="14">
        <f ca="1">IFERROR(__xludf.DUMMYFUNCTION("""COMPUTED_VALUE"""),0.00246861604409056)</f>
        <v>2.4686160440905601E-3</v>
      </c>
      <c r="K6" s="12" t="str">
        <f ca="1"/>
        <v>Financial Servcies</v>
      </c>
      <c r="L6" s="12" t="str">
        <f ca="1"/>
        <v>HDFC</v>
      </c>
      <c r="M6" s="12" t="str">
        <f ca="1"/>
        <v>No</v>
      </c>
      <c r="N6" s="12" t="str">
        <f ca="1"/>
        <v>No</v>
      </c>
      <c r="O6" s="12" t="str">
        <f ca="1"/>
        <v>Good Stock</v>
      </c>
      <c r="P6" s="12" t="str">
        <f ca="1"/>
        <v>Large Cap</v>
      </c>
    </row>
    <row r="7" spans="1:26" ht="13.2">
      <c r="A7" s="12" t="str">
        <f ca="1">IFERROR(__xludf.DUMMYFUNCTION("""COMPUTED_VALUE"""),"LIC")</f>
        <v>LIC</v>
      </c>
      <c r="B7" s="13">
        <f ca="1">IFERROR(__xludf.DUMMYFUNCTION("""COMPUTED_VALUE"""),450686.7570293)</f>
        <v>450686.75702929997</v>
      </c>
      <c r="C7" s="12">
        <f ca="1">IFERROR(__xludf.DUMMYFUNCTION("""COMPUTED_VALUE"""),712.7)</f>
        <v>712.7</v>
      </c>
      <c r="D7" s="12">
        <f ca="1">IFERROR(__xludf.DUMMYFUNCTION("""COMPUTED_VALUE"""),23.63)</f>
        <v>23.63</v>
      </c>
      <c r="E7" s="12">
        <f ca="1">IFERROR(__xludf.DUMMYFUNCTION("""COMPUTED_VALUE"""),920)</f>
        <v>920</v>
      </c>
      <c r="F7" s="14">
        <f ca="1">IFERROR(__xludf.DUMMYFUNCTION("""COMPUTED_VALUE"""),0.225326086956521)</f>
        <v>0.22532608695652101</v>
      </c>
      <c r="G7" s="12">
        <f ca="1">IFERROR(__xludf.DUMMYFUNCTION("""COMPUTED_VALUE"""),588)</f>
        <v>588</v>
      </c>
      <c r="H7" s="14">
        <f ca="1">IFERROR(__xludf.DUMMYFUNCTION("""COMPUTED_VALUE"""),0.212074829931972)</f>
        <v>0.21207482993197199</v>
      </c>
      <c r="I7" s="12">
        <f ca="1">IFERROR(__xludf.DUMMYFUNCTION("""COMPUTED_VALUE"""),705.55)</f>
        <v>705.55</v>
      </c>
      <c r="J7" s="14">
        <f ca="1">IFERROR(__xludf.DUMMYFUNCTION("""COMPUTED_VALUE"""),0.0101339380625045)</f>
        <v>1.01339380625045E-2</v>
      </c>
      <c r="K7" s="12" t="str">
        <f ca="1"/>
        <v>Insurance</v>
      </c>
      <c r="L7" s="12" t="str">
        <f ca="1"/>
        <v>BOM:543526</v>
      </c>
      <c r="M7" s="12" t="str">
        <f ca="1"/>
        <v>No</v>
      </c>
      <c r="N7" s="12" t="str">
        <f ca="1"/>
        <v>No</v>
      </c>
      <c r="O7" s="12" t="str">
        <f ca="1"/>
        <v>Good Stock</v>
      </c>
      <c r="P7" s="12" t="str">
        <f ca="1"/>
        <v>Large Cap</v>
      </c>
    </row>
    <row r="8" spans="1:26" ht="13.2">
      <c r="A8" s="12" t="str">
        <f ca="1">IFERROR(__xludf.DUMMYFUNCTION("""COMPUTED_VALUE"""),"Airtel")</f>
        <v>Airtel</v>
      </c>
      <c r="B8" s="13">
        <f ca="1">IFERROR(__xludf.DUMMYFUNCTION("""COMPUTED_VALUE"""),441027.3972459)</f>
        <v>441027.39724590001</v>
      </c>
      <c r="C8" s="12">
        <f ca="1">IFERROR(__xludf.DUMMYFUNCTION("""COMPUTED_VALUE"""),764.6)</f>
        <v>764.6</v>
      </c>
      <c r="D8" s="12">
        <f ca="1">IFERROR(__xludf.DUMMYFUNCTION("""COMPUTED_VALUE"""),65.86)</f>
        <v>65.86</v>
      </c>
      <c r="E8" s="12">
        <f ca="1">IFERROR(__xludf.DUMMYFUNCTION("""COMPUTED_VALUE"""),860.55)</f>
        <v>860.55</v>
      </c>
      <c r="F8" s="14">
        <f ca="1">IFERROR(__xludf.DUMMYFUNCTION("""COMPUTED_VALUE"""),0.111498460287025)</f>
        <v>0.11149846028702499</v>
      </c>
      <c r="G8" s="12">
        <f ca="1">IFERROR(__xludf.DUMMYFUNCTION("""COMPUTED_VALUE"""),628.75)</f>
        <v>628.75</v>
      </c>
      <c r="H8" s="14">
        <f ca="1">IFERROR(__xludf.DUMMYFUNCTION("""COMPUTED_VALUE"""),0.216063618290258)</f>
        <v>0.216063618290258</v>
      </c>
      <c r="I8" s="12">
        <f ca="1">IFERROR(__xludf.DUMMYFUNCTION("""COMPUTED_VALUE"""),756.9)</f>
        <v>756.9</v>
      </c>
      <c r="J8" s="14">
        <f ca="1">IFERROR(__xludf.DUMMYFUNCTION("""COMPUTED_VALUE"""),0.0101730743823491)</f>
        <v>1.0173074382349099E-2</v>
      </c>
      <c r="K8" s="12" t="str">
        <f ca="1"/>
        <v>Telecom</v>
      </c>
      <c r="L8" s="12" t="str">
        <f ca="1"/>
        <v>BHARTIARTL</v>
      </c>
      <c r="M8" s="12" t="str">
        <f ca="1"/>
        <v>No</v>
      </c>
      <c r="N8" s="12" t="str">
        <f ca="1"/>
        <v>No</v>
      </c>
      <c r="O8" s="12" t="str">
        <f ca="1"/>
        <v/>
      </c>
      <c r="P8" s="12" t="str">
        <f ca="1"/>
        <v>Large Cap</v>
      </c>
    </row>
    <row r="9" spans="1:26" ht="13.2">
      <c r="A9" s="12" t="str">
        <f ca="1">IFERROR(__xludf.DUMMYFUNCTION("""COMPUTED_VALUE"""),"Bajaj Finance")</f>
        <v>Bajaj Finance</v>
      </c>
      <c r="B9" s="13">
        <f ca="1">IFERROR(__xludf.DUMMYFUNCTION("""COMPUTED_VALUE"""),361172.6351402)</f>
        <v>361172.63514019997</v>
      </c>
      <c r="C9" s="12">
        <f ca="1">IFERROR(__xludf.DUMMYFUNCTION("""COMPUTED_VALUE"""),5977)</f>
        <v>5977</v>
      </c>
      <c r="D9" s="12">
        <f ca="1">IFERROR(__xludf.DUMMYFUNCTION("""COMPUTED_VALUE"""),36.52)</f>
        <v>36.520000000000003</v>
      </c>
      <c r="E9" s="12">
        <f ca="1">IFERROR(__xludf.DUMMYFUNCTION("""COMPUTED_VALUE"""),8045)</f>
        <v>8045</v>
      </c>
      <c r="F9" s="14">
        <f ca="1">IFERROR(__xludf.DUMMYFUNCTION("""COMPUTED_VALUE"""),0.25705407085146)</f>
        <v>0.25705407085145998</v>
      </c>
      <c r="G9" s="12">
        <f ca="1">IFERROR(__xludf.DUMMYFUNCTION("""COMPUTED_VALUE"""),5220)</f>
        <v>5220</v>
      </c>
      <c r="H9" s="14">
        <f ca="1">IFERROR(__xludf.DUMMYFUNCTION("""COMPUTED_VALUE"""),0.145019157088122)</f>
        <v>0.14501915708812199</v>
      </c>
      <c r="I9" s="12">
        <f ca="1">IFERROR(__xludf.DUMMYFUNCTION("""COMPUTED_VALUE"""),5898.4)</f>
        <v>5898.4</v>
      </c>
      <c r="J9" s="14">
        <f ca="1">IFERROR(__xludf.DUMMYFUNCTION("""COMPUTED_VALUE"""),0.0133256476332565)</f>
        <v>1.3325647633256501E-2</v>
      </c>
      <c r="K9" s="12" t="str">
        <f ca="1"/>
        <v>NBFC</v>
      </c>
      <c r="L9" s="12" t="str">
        <f ca="1"/>
        <v>BAJFINANCE</v>
      </c>
      <c r="M9" s="12" t="str">
        <f ca="1"/>
        <v>No</v>
      </c>
      <c r="N9" s="12" t="str">
        <f ca="1"/>
        <v>No</v>
      </c>
      <c r="O9" s="12" t="str">
        <f ca="1"/>
        <v>Good Stock</v>
      </c>
      <c r="P9" s="12" t="str">
        <f ca="1"/>
        <v>Large Cap</v>
      </c>
    </row>
    <row r="10" spans="1:26" ht="13.2">
      <c r="A10" s="12" t="str">
        <f ca="1">IFERROR(__xludf.DUMMYFUNCTION("""COMPUTED_VALUE"""),"Kotak Bank")</f>
        <v>Kotak Bank</v>
      </c>
      <c r="B10" s="13">
        <f ca="1">IFERROR(__xludf.DUMMYFUNCTION("""COMPUTED_VALUE"""),354002.5359556)</f>
        <v>354002.53595559997</v>
      </c>
      <c r="C10" s="12">
        <f ca="1">IFERROR(__xludf.DUMMYFUNCTION("""COMPUTED_VALUE"""),1780.5)</f>
        <v>1780.5</v>
      </c>
      <c r="D10" s="12">
        <f ca="1">IFERROR(__xludf.DUMMYFUNCTION("""COMPUTED_VALUE"""),25.87)</f>
        <v>25.87</v>
      </c>
      <c r="E10" s="12">
        <f ca="1">IFERROR(__xludf.DUMMYFUNCTION("""COMPUTED_VALUE"""),1997.55)</f>
        <v>1997.55</v>
      </c>
      <c r="F10" s="14">
        <f ca="1">IFERROR(__xludf.DUMMYFUNCTION("""COMPUTED_VALUE"""),0.10865810618007)</f>
        <v>0.10865810618007</v>
      </c>
      <c r="G10" s="12">
        <f ca="1">IFERROR(__xludf.DUMMYFUNCTION("""COMPUTED_VALUE"""),1631)</f>
        <v>1631</v>
      </c>
      <c r="H10" s="14">
        <f ca="1">IFERROR(__xludf.DUMMYFUNCTION("""COMPUTED_VALUE"""),0.0916615573267933)</f>
        <v>9.1661557326793305E-2</v>
      </c>
      <c r="I10" s="12">
        <f ca="1">IFERROR(__xludf.DUMMYFUNCTION("""COMPUTED_VALUE"""),1779.5)</f>
        <v>1779.5</v>
      </c>
      <c r="J10" s="14">
        <f ca="1">IFERROR(__xludf.DUMMYFUNCTION("""COMPUTED_VALUE"""),0.000561955605507165)</f>
        <v>5.6195560550716497E-4</v>
      </c>
      <c r="K10" s="12" t="str">
        <f ca="1"/>
        <v>Bank</v>
      </c>
      <c r="L10" s="12" t="str">
        <f ca="1"/>
        <v>KOTAKBANK</v>
      </c>
      <c r="M10" s="12" t="str">
        <f ca="1"/>
        <v>No</v>
      </c>
      <c r="N10" s="12" t="str">
        <f ca="1"/>
        <v>No</v>
      </c>
      <c r="O10" s="12" t="str">
        <f ca="1"/>
        <v>Good Stock</v>
      </c>
      <c r="P10" s="12" t="str">
        <f ca="1"/>
        <v>Large Cap</v>
      </c>
    </row>
    <row r="11" spans="1:26" ht="13.2">
      <c r="A11" s="12" t="str">
        <f ca="1">IFERROR(__xludf.DUMMYFUNCTION("""COMPUTED_VALUE"""),"L&amp;T")</f>
        <v>L&amp;T</v>
      </c>
      <c r="B11" s="13">
        <f ca="1">IFERROR(__xludf.DUMMYFUNCTION("""COMPUTED_VALUE"""),302617.166625)</f>
        <v>302617.16662500001</v>
      </c>
      <c r="C11" s="12">
        <f ca="1">IFERROR(__xludf.DUMMYFUNCTION("""COMPUTED_VALUE"""),2153.75)</f>
        <v>2153.75</v>
      </c>
      <c r="D11" s="12">
        <f ca="1">IFERROR(__xludf.DUMMYFUNCTION("""COMPUTED_VALUE"""),31.53)</f>
        <v>31.53</v>
      </c>
      <c r="E11" s="12">
        <f ca="1">IFERROR(__xludf.DUMMYFUNCTION("""COMPUTED_VALUE"""),2210.5)</f>
        <v>2210.5</v>
      </c>
      <c r="F11" s="14">
        <f ca="1">IFERROR(__xludf.DUMMYFUNCTION("""COMPUTED_VALUE"""),0.0256729246776747)</f>
        <v>2.5672924677674701E-2</v>
      </c>
      <c r="G11" s="12">
        <f ca="1">IFERROR(__xludf.DUMMYFUNCTION("""COMPUTED_VALUE"""),1456.8)</f>
        <v>1456.8</v>
      </c>
      <c r="H11" s="14">
        <f ca="1">IFERROR(__xludf.DUMMYFUNCTION("""COMPUTED_VALUE"""),0.478411587040087)</f>
        <v>0.47841158704008702</v>
      </c>
      <c r="I11" s="12">
        <f ca="1">IFERROR(__xludf.DUMMYFUNCTION("""COMPUTED_VALUE"""),2160.2)</f>
        <v>2160.1999999999998</v>
      </c>
      <c r="J11" s="14">
        <f ca="1">IFERROR(__xludf.DUMMYFUNCTION("""COMPUTED_VALUE"""),-0.00298583464494019)</f>
        <v>-2.9858346449401899E-3</v>
      </c>
      <c r="K11" s="12" t="str">
        <f ca="1"/>
        <v>Infrastructure</v>
      </c>
      <c r="L11" s="12" t="str">
        <f ca="1"/>
        <v>BOM:500510</v>
      </c>
      <c r="M11" s="12" t="str">
        <f ca="1"/>
        <v>No</v>
      </c>
      <c r="N11" s="12" t="str">
        <f ca="1"/>
        <v>No</v>
      </c>
      <c r="O11" s="12" t="str">
        <f ca="1"/>
        <v>Good Stock</v>
      </c>
      <c r="P11" s="12" t="str">
        <f ca="1"/>
        <v>Large Cap</v>
      </c>
    </row>
    <row r="12" spans="1:26" ht="13.2">
      <c r="A12" s="12" t="str">
        <f ca="1">IFERROR(__xludf.DUMMYFUNCTION("""COMPUTED_VALUE"""),"Axis Bank")</f>
        <v>Axis Bank</v>
      </c>
      <c r="B12" s="13">
        <f ca="1">IFERROR(__xludf.DUMMYFUNCTION("""COMPUTED_VALUE"""),287213.2945283)</f>
        <v>287213.2945283</v>
      </c>
      <c r="C12" s="12">
        <f ca="1">IFERROR(__xludf.DUMMYFUNCTION("""COMPUTED_VALUE"""),933.9)</f>
        <v>933.9</v>
      </c>
      <c r="D12" s="12">
        <f ca="1">IFERROR(__xludf.DUMMYFUNCTION("""COMPUTED_VALUE"""),15.67)</f>
        <v>15.67</v>
      </c>
      <c r="E12" s="12">
        <f ca="1">IFERROR(__xludf.DUMMYFUNCTION("""COMPUTED_VALUE"""),970)</f>
        <v>970</v>
      </c>
      <c r="F12" s="14">
        <f ca="1">IFERROR(__xludf.DUMMYFUNCTION("""COMPUTED_VALUE"""),0.0372164948453608)</f>
        <v>3.7216494845360798E-2</v>
      </c>
      <c r="G12" s="12">
        <f ca="1">IFERROR(__xludf.DUMMYFUNCTION("""COMPUTED_VALUE"""),618.25)</f>
        <v>618.25</v>
      </c>
      <c r="H12" s="14">
        <f ca="1">IFERROR(__xludf.DUMMYFUNCTION("""COMPUTED_VALUE"""),0.510553983016579)</f>
        <v>0.51055398301657895</v>
      </c>
      <c r="I12" s="12">
        <f ca="1">IFERROR(__xludf.DUMMYFUNCTION("""COMPUTED_VALUE"""),935.55)</f>
        <v>935.55</v>
      </c>
      <c r="J12" s="14">
        <f ca="1">IFERROR(__xludf.DUMMYFUNCTION("""COMPUTED_VALUE"""),-0.00176366843033507)</f>
        <v>-1.76366843033507E-3</v>
      </c>
      <c r="K12" s="12" t="str">
        <f ca="1"/>
        <v>Bank</v>
      </c>
      <c r="L12" s="12" t="str">
        <f ca="1"/>
        <v>AXISBANK</v>
      </c>
      <c r="M12" s="12" t="str">
        <f ca="1"/>
        <v>No</v>
      </c>
      <c r="N12" s="12" t="str">
        <f ca="1"/>
        <v>No</v>
      </c>
      <c r="O12" s="12" t="str">
        <f ca="1"/>
        <v>Good Stock</v>
      </c>
      <c r="P12" s="12" t="str">
        <f ca="1"/>
        <v>Large Cap</v>
      </c>
    </row>
    <row r="13" spans="1:26" ht="13.2">
      <c r="A13" s="12" t="str">
        <f ca="1">IFERROR(__xludf.DUMMYFUNCTION("""COMPUTED_VALUE"""),"Asian Paints")</f>
        <v>Asian Paints</v>
      </c>
      <c r="B13" s="13">
        <f ca="1">IFERROR(__xludf.DUMMYFUNCTION("""COMPUTED_VALUE"""),278960.0995659)</f>
        <v>278960.09956589999</v>
      </c>
      <c r="C13" s="12">
        <f ca="1">IFERROR(__xludf.DUMMYFUNCTION("""COMPUTED_VALUE"""),2912)</f>
        <v>2912</v>
      </c>
      <c r="D13" s="12">
        <f ca="1">IFERROR(__xludf.DUMMYFUNCTION("""COMPUTED_VALUE"""),76.19)</f>
        <v>76.19</v>
      </c>
      <c r="E13" s="12">
        <f ca="1">IFERROR(__xludf.DUMMYFUNCTION("""COMPUTED_VALUE"""),3582.9)</f>
        <v>3582.9</v>
      </c>
      <c r="F13" s="14">
        <f ca="1">IFERROR(__xludf.DUMMYFUNCTION("""COMPUTED_VALUE"""),0.187250551229451)</f>
        <v>0.187250551229451</v>
      </c>
      <c r="G13" s="12">
        <f ca="1">IFERROR(__xludf.DUMMYFUNCTION("""COMPUTED_VALUE"""),2560)</f>
        <v>2560</v>
      </c>
      <c r="H13" s="14">
        <f ca="1">IFERROR(__xludf.DUMMYFUNCTION("""COMPUTED_VALUE"""),0.1375)</f>
        <v>0.13750000000000001</v>
      </c>
      <c r="I13" s="12">
        <f ca="1">IFERROR(__xludf.DUMMYFUNCTION("""COMPUTED_VALUE"""),2915.95)</f>
        <v>2915.95</v>
      </c>
      <c r="J13" s="14">
        <f ca="1">IFERROR(__xludf.DUMMYFUNCTION("""COMPUTED_VALUE"""),-0.00135461856341837)</f>
        <v>-1.35461856341837E-3</v>
      </c>
      <c r="K13" s="12" t="str">
        <f ca="1"/>
        <v>Paint</v>
      </c>
      <c r="L13" s="12" t="str">
        <f ca="1"/>
        <v>ASIANPAINT</v>
      </c>
      <c r="M13" s="12" t="str">
        <f ca="1"/>
        <v>No</v>
      </c>
      <c r="N13" s="12" t="str">
        <f ca="1"/>
        <v>No</v>
      </c>
      <c r="O13" s="12" t="str">
        <f ca="1"/>
        <v/>
      </c>
      <c r="P13" s="12" t="str">
        <f ca="1"/>
        <v>Large Cap</v>
      </c>
    </row>
    <row r="14" spans="1:26" ht="13.2">
      <c r="A14" s="12" t="str">
        <f ca="1">IFERROR(__xludf.DUMMYFUNCTION("""COMPUTED_VALUE"""),"Maruti Suzuki")</f>
        <v>Maruti Suzuki</v>
      </c>
      <c r="B14" s="13">
        <f ca="1">IFERROR(__xludf.DUMMYFUNCTION("""COMPUTED_VALUE"""),255438.4185926)</f>
        <v>255438.41859260001</v>
      </c>
      <c r="C14" s="12">
        <f ca="1">IFERROR(__xludf.DUMMYFUNCTION("""COMPUTED_VALUE"""),8454.2)</f>
        <v>8454.2000000000007</v>
      </c>
      <c r="D14" s="12">
        <f ca="1">IFERROR(__xludf.DUMMYFUNCTION("""COMPUTED_VALUE"""),42.1)</f>
        <v>42.1</v>
      </c>
      <c r="E14" s="12">
        <f ca="1">IFERROR(__xludf.DUMMYFUNCTION("""COMPUTED_VALUE"""),9769)</f>
        <v>9769</v>
      </c>
      <c r="F14" s="14">
        <f ca="1">IFERROR(__xludf.DUMMYFUNCTION("""COMPUTED_VALUE"""),0.134589006039512)</f>
        <v>0.13458900603951199</v>
      </c>
      <c r="G14" s="12">
        <f ca="1">IFERROR(__xludf.DUMMYFUNCTION("""COMPUTED_VALUE"""),6536.55)</f>
        <v>6536.55</v>
      </c>
      <c r="H14" s="14">
        <f ca="1">IFERROR(__xludf.DUMMYFUNCTION("""COMPUTED_VALUE"""),0.293373415639748)</f>
        <v>0.293373415639748</v>
      </c>
      <c r="I14" s="12">
        <f ca="1">IFERROR(__xludf.DUMMYFUNCTION("""COMPUTED_VALUE"""),8369.2)</f>
        <v>8369.2000000000007</v>
      </c>
      <c r="J14" s="14">
        <f ca="1">IFERROR(__xludf.DUMMYFUNCTION("""COMPUTED_VALUE"""),0.0101562873392916)</f>
        <v>1.01562873392916E-2</v>
      </c>
      <c r="K14" s="12" t="str">
        <f ca="1"/>
        <v>Automobile</v>
      </c>
      <c r="L14" s="12" t="str">
        <f ca="1"/>
        <v>MARUTI</v>
      </c>
      <c r="M14" s="12" t="str">
        <f ca="1"/>
        <v>No</v>
      </c>
      <c r="N14" s="12" t="str">
        <f ca="1"/>
        <v>No</v>
      </c>
      <c r="O14" s="12" t="str">
        <f ca="1"/>
        <v>Good Stock</v>
      </c>
      <c r="P14" s="12" t="str">
        <f ca="1"/>
        <v>Large Cap</v>
      </c>
    </row>
    <row r="15" spans="1:26" ht="13.2">
      <c r="A15" s="12" t="str">
        <f ca="1">IFERROR(__xludf.DUMMYFUNCTION("""COMPUTED_VALUE"""),"Sun pharma")</f>
        <v>Sun pharma</v>
      </c>
      <c r="B15" s="13">
        <f ca="1">IFERROR(__xludf.DUMMYFUNCTION("""COMPUTED_VALUE"""),247191.650802)</f>
        <v>247191.65080199999</v>
      </c>
      <c r="C15" s="12">
        <f ca="1">IFERROR(__xludf.DUMMYFUNCTION("""COMPUTED_VALUE"""),1031.05)</f>
        <v>1031.05</v>
      </c>
      <c r="D15" s="12">
        <f ca="1">IFERROR(__xludf.DUMMYFUNCTION("""COMPUTED_VALUE"""),60.4)</f>
        <v>60.4</v>
      </c>
      <c r="E15" s="12">
        <f ca="1">IFERROR(__xludf.DUMMYFUNCTION("""COMPUTED_VALUE"""),1070.95)</f>
        <v>1070.95</v>
      </c>
      <c r="F15" s="14">
        <f ca="1">IFERROR(__xludf.DUMMYFUNCTION("""COMPUTED_VALUE"""),0.0372566412997806)</f>
        <v>3.7256641299780603E-2</v>
      </c>
      <c r="G15" s="12">
        <f ca="1">IFERROR(__xludf.DUMMYFUNCTION("""COMPUTED_VALUE"""),784.8)</f>
        <v>784.8</v>
      </c>
      <c r="H15" s="14">
        <f ca="1">IFERROR(__xludf.DUMMYFUNCTION("""COMPUTED_VALUE"""),0.313774209989806)</f>
        <v>0.31377420998980599</v>
      </c>
      <c r="I15" s="12">
        <f ca="1">IFERROR(__xludf.DUMMYFUNCTION("""COMPUTED_VALUE"""),1032.85)</f>
        <v>1032.8499999999999</v>
      </c>
      <c r="J15" s="14">
        <f ca="1">IFERROR(__xludf.DUMMYFUNCTION("""COMPUTED_VALUE"""),-0.00174275064142901)</f>
        <v>-1.7427506414290101E-3</v>
      </c>
      <c r="K15" s="12" t="str">
        <f ca="1"/>
        <v>Pharma</v>
      </c>
      <c r="L15" s="12" t="str">
        <f ca="1"/>
        <v>SUNPHARMA</v>
      </c>
      <c r="M15" s="12" t="str">
        <f ca="1"/>
        <v>No</v>
      </c>
      <c r="N15" s="12" t="str">
        <f ca="1"/>
        <v>No</v>
      </c>
      <c r="O15" s="12" t="str">
        <f ca="1"/>
        <v>Good Stock</v>
      </c>
      <c r="P15" s="12" t="str">
        <f ca="1"/>
        <v>Large Cap</v>
      </c>
    </row>
    <row r="16" spans="1:26" ht="13.2">
      <c r="A16" s="12" t="str">
        <f ca="1">IFERROR(__xludf.DUMMYFUNCTION("""COMPUTED_VALUE"""),"Bajaj Finserv")</f>
        <v>Bajaj Finserv</v>
      </c>
      <c r="B16" s="13">
        <f ca="1">IFERROR(__xludf.DUMMYFUNCTION("""COMPUTED_VALUE"""),221292.5064376)</f>
        <v>221292.50643760001</v>
      </c>
      <c r="C16" s="12">
        <f ca="1">IFERROR(__xludf.DUMMYFUNCTION("""COMPUTED_VALUE"""),1391)</f>
        <v>1391</v>
      </c>
      <c r="D16" s="12">
        <f ca="1">IFERROR(__xludf.DUMMYFUNCTION("""COMPUTED_VALUE"""),40.48)</f>
        <v>40.479999999999997</v>
      </c>
      <c r="E16" s="12">
        <f ca="1">IFERROR(__xludf.DUMMYFUNCTION("""COMPUTED_VALUE"""),3724.2)</f>
        <v>3724.2</v>
      </c>
      <c r="F16" s="14">
        <f ca="1">IFERROR(__xludf.DUMMYFUNCTION("""COMPUTED_VALUE"""),0.62649696579131)</f>
        <v>0.62649696579130998</v>
      </c>
      <c r="G16" s="12">
        <f ca="1">IFERROR(__xludf.DUMMYFUNCTION("""COMPUTED_VALUE"""),1374.35)</f>
        <v>1374.35</v>
      </c>
      <c r="H16" s="14">
        <f ca="1">IFERROR(__xludf.DUMMYFUNCTION("""COMPUTED_VALUE"""),0.012114817913923)</f>
        <v>1.2114817913923E-2</v>
      </c>
      <c r="I16" s="12">
        <f ca="1">IFERROR(__xludf.DUMMYFUNCTION("""COMPUTED_VALUE"""),1387.8)</f>
        <v>1387.8</v>
      </c>
      <c r="J16" s="14">
        <f ca="1">IFERROR(__xludf.DUMMYFUNCTION("""COMPUTED_VALUE"""),0.0023058077532786)</f>
        <v>2.3058077532786001E-3</v>
      </c>
      <c r="K16" s="12" t="str">
        <f ca="1"/>
        <v>Financial Servcies</v>
      </c>
      <c r="L16" s="12" t="str">
        <f ca="1"/>
        <v>BAJAJFINSV</v>
      </c>
      <c r="M16" s="12" t="str">
        <f ca="1"/>
        <v>No</v>
      </c>
      <c r="N16" s="12" t="str">
        <f ca="1"/>
        <v>No</v>
      </c>
      <c r="O16" s="12" t="str">
        <f ca="1"/>
        <v>Good Stock</v>
      </c>
      <c r="P16" s="12" t="str">
        <f ca="1"/>
        <v>Large Cap</v>
      </c>
    </row>
    <row r="17" spans="1:16" ht="13.2">
      <c r="A17" s="12" t="str">
        <f ca="1">IFERROR(__xludf.DUMMYFUNCTION("""COMPUTED_VALUE"""),"Titan")</f>
        <v>Titan</v>
      </c>
      <c r="B17" s="13">
        <f ca="1">IFERROR(__xludf.DUMMYFUNCTION("""COMPUTED_VALUE"""),214719.0067183)</f>
        <v>214719.00671829999</v>
      </c>
      <c r="C17" s="12">
        <f ca="1">IFERROR(__xludf.DUMMYFUNCTION("""COMPUTED_VALUE"""),2417.65)</f>
        <v>2417.65</v>
      </c>
      <c r="D17" s="12">
        <f ca="1">IFERROR(__xludf.DUMMYFUNCTION("""COMPUTED_VALUE"""),68.59)</f>
        <v>68.59</v>
      </c>
      <c r="E17" s="12">
        <f ca="1">IFERROR(__xludf.DUMMYFUNCTION("""COMPUTED_VALUE"""),2790)</f>
        <v>2790</v>
      </c>
      <c r="F17" s="14">
        <f ca="1">IFERROR(__xludf.DUMMYFUNCTION("""COMPUTED_VALUE"""),0.133458781362007)</f>
        <v>0.13345878136200701</v>
      </c>
      <c r="G17" s="12">
        <f ca="1">IFERROR(__xludf.DUMMYFUNCTION("""COMPUTED_VALUE"""),1827.15)</f>
        <v>1827.15</v>
      </c>
      <c r="H17" s="14">
        <f ca="1">IFERROR(__xludf.DUMMYFUNCTION("""COMPUTED_VALUE"""),0.323180910160632)</f>
        <v>0.323180910160632</v>
      </c>
      <c r="I17" s="12">
        <f ca="1">IFERROR(__xludf.DUMMYFUNCTION("""COMPUTED_VALUE"""),2445.65)</f>
        <v>2445.65</v>
      </c>
      <c r="J17" s="14">
        <f ca="1">IFERROR(__xludf.DUMMYFUNCTION("""COMPUTED_VALUE"""),-0.011448899065688)</f>
        <v>-1.1448899065688E-2</v>
      </c>
      <c r="K17" s="12" t="str">
        <f ca="1"/>
        <v>Retail</v>
      </c>
      <c r="L17" s="12" t="str">
        <f ca="1"/>
        <v>BOM:500114</v>
      </c>
      <c r="M17" s="12" t="str">
        <f ca="1"/>
        <v>No</v>
      </c>
      <c r="N17" s="12" t="str">
        <f ca="1"/>
        <v>No</v>
      </c>
      <c r="O17" s="12" t="str">
        <f ca="1"/>
        <v/>
      </c>
      <c r="P17" s="12" t="str">
        <f ca="1"/>
        <v>Large Cap</v>
      </c>
    </row>
    <row r="18" spans="1:16" ht="13.2">
      <c r="A18" s="12" t="str">
        <f ca="1">IFERROR(__xludf.DUMMYFUNCTION("""COMPUTED_VALUE"""),"Ultratech Cement")</f>
        <v>Ultratech Cement</v>
      </c>
      <c r="B18" s="13">
        <f ca="1">IFERROR(__xludf.DUMMYFUNCTION("""COMPUTED_VALUE"""),208975.8)</f>
        <v>208975.8</v>
      </c>
      <c r="C18" s="12">
        <f ca="1">IFERROR(__xludf.DUMMYFUNCTION("""COMPUTED_VALUE"""),7244.95)</f>
        <v>7244.95</v>
      </c>
      <c r="D18" s="12">
        <f ca="1">IFERROR(__xludf.DUMMYFUNCTION("""COMPUTED_VALUE"""),31.35)</f>
        <v>31.35</v>
      </c>
      <c r="E18" s="12">
        <f ca="1">IFERROR(__xludf.DUMMYFUNCTION("""COMPUTED_VALUE"""),7946)</f>
        <v>7946</v>
      </c>
      <c r="F18" s="14">
        <f ca="1">IFERROR(__xludf.DUMMYFUNCTION("""COMPUTED_VALUE"""),0.0882267807701988)</f>
        <v>8.8226780770198798E-2</v>
      </c>
      <c r="G18" s="12">
        <f ca="1">IFERROR(__xludf.DUMMYFUNCTION("""COMPUTED_VALUE"""),5157.05)</f>
        <v>5157.05</v>
      </c>
      <c r="H18" s="14">
        <f ca="1">IFERROR(__xludf.DUMMYFUNCTION("""COMPUTED_VALUE"""),0.404863245460098)</f>
        <v>0.404863245460098</v>
      </c>
      <c r="I18" s="12">
        <f ca="1">IFERROR(__xludf.DUMMYFUNCTION("""COMPUTED_VALUE"""),7153.35)</f>
        <v>7153.35</v>
      </c>
      <c r="J18" s="14">
        <f ca="1">IFERROR(__xludf.DUMMYFUNCTION("""COMPUTED_VALUE"""),0.0128051891770987)</f>
        <v>1.28051891770987E-2</v>
      </c>
      <c r="K18" s="12" t="str">
        <f ca="1"/>
        <v>Cement</v>
      </c>
      <c r="L18" s="12" t="str">
        <f ca="1"/>
        <v>ULTRACEMCO</v>
      </c>
      <c r="M18" s="12" t="str">
        <f ca="1"/>
        <v>No</v>
      </c>
      <c r="N18" s="12" t="str">
        <f ca="1"/>
        <v>No</v>
      </c>
      <c r="O18" s="12" t="str">
        <f ca="1"/>
        <v>Good Stock</v>
      </c>
      <c r="P18" s="12" t="str">
        <f ca="1"/>
        <v>Large Cap</v>
      </c>
    </row>
    <row r="19" spans="1:16" ht="13.2">
      <c r="A19" s="12" t="str">
        <f ca="1">IFERROR(__xludf.DUMMYFUNCTION("""COMPUTED_VALUE"""),"Nestle")</f>
        <v>Nestle</v>
      </c>
      <c r="B19" s="13">
        <f ca="1">IFERROR(__xludf.DUMMYFUNCTION("""COMPUTED_VALUE"""),190752.2)</f>
        <v>190752.2</v>
      </c>
      <c r="C19" s="12">
        <f ca="1">IFERROR(__xludf.DUMMYFUNCTION("""COMPUTED_VALUE"""),19782.3)</f>
        <v>19782.3</v>
      </c>
      <c r="D19" s="12">
        <f ca="1">IFERROR(__xludf.DUMMYFUNCTION("""COMPUTED_VALUE"""),88.1)</f>
        <v>88.1</v>
      </c>
      <c r="E19" s="12">
        <f ca="1">IFERROR(__xludf.DUMMYFUNCTION("""COMPUTED_VALUE"""),21050)</f>
        <v>21050</v>
      </c>
      <c r="F19" s="14">
        <f ca="1">IFERROR(__xludf.DUMMYFUNCTION("""COMPUTED_VALUE"""),0.0602232779097387)</f>
        <v>6.02232779097387E-2</v>
      </c>
      <c r="G19" s="12">
        <f ca="1">IFERROR(__xludf.DUMMYFUNCTION("""COMPUTED_VALUE"""),16000)</f>
        <v>16000</v>
      </c>
      <c r="H19" s="14">
        <f ca="1">IFERROR(__xludf.DUMMYFUNCTION("""COMPUTED_VALUE"""),0.236393749999999)</f>
        <v>0.23639374999999899</v>
      </c>
      <c r="I19" s="12">
        <f ca="1">IFERROR(__xludf.DUMMYFUNCTION("""COMPUTED_VALUE"""),19873.25)</f>
        <v>19873.25</v>
      </c>
      <c r="J19" s="14">
        <f ca="1">IFERROR(__xludf.DUMMYFUNCTION("""COMPUTED_VALUE"""),-0.00457650359151123)</f>
        <v>-4.5765035915112297E-3</v>
      </c>
      <c r="K19" s="12" t="str">
        <f ca="1"/>
        <v>FMCG</v>
      </c>
      <c r="L19" s="12" t="str">
        <f ca="1"/>
        <v>NESTLEIND</v>
      </c>
      <c r="M19" s="12" t="str">
        <f ca="1"/>
        <v>No</v>
      </c>
      <c r="N19" s="12" t="str">
        <f ca="1"/>
        <v>No</v>
      </c>
      <c r="O19" s="12" t="str">
        <f ca="1"/>
        <v/>
      </c>
      <c r="P19" s="12" t="str">
        <f ca="1"/>
        <v>Large Cap</v>
      </c>
    </row>
    <row r="20" spans="1:16" ht="13.2">
      <c r="A20" s="12" t="str">
        <f ca="1">IFERROR(__xludf.DUMMYFUNCTION("""COMPUTED_VALUE"""),"M&amp;M")</f>
        <v>M&amp;M</v>
      </c>
      <c r="B20" s="13">
        <f ca="1">IFERROR(__xludf.DUMMYFUNCTION("""COMPUTED_VALUE"""),158785.3716893)</f>
        <v>158785.37168929999</v>
      </c>
      <c r="C20" s="12">
        <f ca="1">IFERROR(__xludf.DUMMYFUNCTION("""COMPUTED_VALUE"""),1327.55)</f>
        <v>1327.55</v>
      </c>
      <c r="D20" s="12">
        <f ca="1">IFERROR(__xludf.DUMMYFUNCTION("""COMPUTED_VALUE"""),16.12)</f>
        <v>16.12</v>
      </c>
      <c r="E20" s="12">
        <f ca="1">IFERROR(__xludf.DUMMYFUNCTION("""COMPUTED_VALUE"""),1366.55)</f>
        <v>1366.55</v>
      </c>
      <c r="F20" s="14">
        <f ca="1">IFERROR(__xludf.DUMMYFUNCTION("""COMPUTED_VALUE"""),0.0285390216237971)</f>
        <v>2.8539021623797099E-2</v>
      </c>
      <c r="G20" s="12">
        <f ca="1">IFERROR(__xludf.DUMMYFUNCTION("""COMPUTED_VALUE"""),671.15)</f>
        <v>671.15</v>
      </c>
      <c r="H20" s="14">
        <f ca="1">IFERROR(__xludf.DUMMYFUNCTION("""COMPUTED_VALUE"""),0.978022796692244)</f>
        <v>0.97802279669224401</v>
      </c>
      <c r="I20" s="12">
        <f ca="1">IFERROR(__xludf.DUMMYFUNCTION("""COMPUTED_VALUE"""),1319.9)</f>
        <v>1319.9</v>
      </c>
      <c r="J20" s="14">
        <f ca="1">IFERROR(__xludf.DUMMYFUNCTION("""COMPUTED_VALUE"""),0.00579589362830507)</f>
        <v>5.7958936283050702E-3</v>
      </c>
      <c r="K20" s="12" t="str">
        <f ca="1"/>
        <v>Automobile</v>
      </c>
      <c r="L20" s="12" t="str">
        <f ca="1"/>
        <v>M&amp;M</v>
      </c>
      <c r="M20" s="12" t="str">
        <f ca="1"/>
        <v>No</v>
      </c>
      <c r="N20" s="12" t="str">
        <f ca="1"/>
        <v>No</v>
      </c>
      <c r="O20" s="12" t="str">
        <f ca="1"/>
        <v>Good Stock</v>
      </c>
      <c r="P20" s="12" t="str">
        <f ca="1"/>
        <v>Large Cap</v>
      </c>
    </row>
    <row r="21" spans="1:16" ht="13.2">
      <c r="A21" s="12" t="str">
        <f ca="1">IFERROR(__xludf.DUMMYFUNCTION("""COMPUTED_VALUE"""),"Tata Steel")</f>
        <v>Tata Steel</v>
      </c>
      <c r="B21" s="13">
        <f ca="1">IFERROR(__xludf.DUMMYFUNCTION("""COMPUTED_VALUE"""),147293.6037181)</f>
        <v>147293.6037181</v>
      </c>
      <c r="C21" s="12">
        <f ca="1">IFERROR(__xludf.DUMMYFUNCTION("""COMPUTED_VALUE"""),120.45)</f>
        <v>120.45</v>
      </c>
      <c r="D21" s="12">
        <f ca="1">IFERROR(__xludf.DUMMYFUNCTION("""COMPUTED_VALUE"""),5.13)</f>
        <v>5.13</v>
      </c>
      <c r="E21" s="12">
        <f ca="1">IFERROR(__xludf.DUMMYFUNCTION("""COMPUTED_VALUE"""),138.63)</f>
        <v>138.63</v>
      </c>
      <c r="F21" s="14">
        <f ca="1">IFERROR(__xludf.DUMMYFUNCTION("""COMPUTED_VALUE"""),0.131140445790954)</f>
        <v>0.13114044579095399</v>
      </c>
      <c r="G21" s="12">
        <f ca="1">IFERROR(__xludf.DUMMYFUNCTION("""COMPUTED_VALUE"""),82.71)</f>
        <v>82.71</v>
      </c>
      <c r="H21" s="14">
        <f ca="1">IFERROR(__xludf.DUMMYFUNCTION("""COMPUTED_VALUE"""),0.456293072179905)</f>
        <v>0.456293072179905</v>
      </c>
      <c r="I21" s="12">
        <f ca="1">IFERROR(__xludf.DUMMYFUNCTION("""COMPUTED_VALUE"""),118.05)</f>
        <v>118.05</v>
      </c>
      <c r="J21" s="14">
        <f ca="1">IFERROR(__xludf.DUMMYFUNCTION("""COMPUTED_VALUE"""),0.0203303684879288)</f>
        <v>2.0330368487928799E-2</v>
      </c>
      <c r="K21" s="12" t="str">
        <f ca="1"/>
        <v>Infrastructure</v>
      </c>
      <c r="L21" s="12" t="str">
        <f ca="1"/>
        <v>BOM:500470</v>
      </c>
      <c r="M21" s="12" t="str">
        <f ca="1"/>
        <v>No</v>
      </c>
      <c r="N21" s="12" t="str">
        <f ca="1"/>
        <v>No</v>
      </c>
      <c r="O21" s="12" t="str">
        <f ca="1"/>
        <v>Good Stock</v>
      </c>
      <c r="P21" s="12" t="str">
        <f ca="1"/>
        <v>Large Cap</v>
      </c>
    </row>
    <row r="22" spans="1:16" ht="13.2">
      <c r="A22" s="12" t="str">
        <f ca="1">IFERROR(__xludf.DUMMYFUNCTION("""COMPUTED_VALUE"""),"SBI life Insurance")</f>
        <v>SBI life Insurance</v>
      </c>
      <c r="B22" s="13">
        <f ca="1">IFERROR(__xludf.DUMMYFUNCTION("""COMPUTED_VALUE"""),130568.986925)</f>
        <v>130568.986925</v>
      </c>
      <c r="C22" s="12">
        <f ca="1">IFERROR(__xludf.DUMMYFUNCTION("""COMPUTED_VALUE"""),1307)</f>
        <v>1307</v>
      </c>
      <c r="D22" s="12">
        <f ca="1">IFERROR(__xludf.DUMMYFUNCTION("""COMPUTED_VALUE"""),78.07)</f>
        <v>78.069999999999993</v>
      </c>
      <c r="E22" s="12">
        <f ca="1">IFERROR(__xludf.DUMMYFUNCTION("""COMPUTED_VALUE"""),1340.35)</f>
        <v>1340.35</v>
      </c>
      <c r="F22" s="14">
        <f ca="1">IFERROR(__xludf.DUMMYFUNCTION("""COMPUTED_VALUE"""),0.0248815607863617)</f>
        <v>2.4881560786361698E-2</v>
      </c>
      <c r="G22" s="12">
        <f ca="1">IFERROR(__xludf.DUMMYFUNCTION("""COMPUTED_VALUE"""),1003.5)</f>
        <v>1003.5</v>
      </c>
      <c r="H22" s="14">
        <f ca="1">IFERROR(__xludf.DUMMYFUNCTION("""COMPUTED_VALUE"""),0.302441454907822)</f>
        <v>0.30244145490782198</v>
      </c>
      <c r="I22" s="12">
        <f ca="1">IFERROR(__xludf.DUMMYFUNCTION("""COMPUTED_VALUE"""),1315.7)</f>
        <v>1315.7</v>
      </c>
      <c r="J22" s="14">
        <f ca="1">IFERROR(__xludf.DUMMYFUNCTION("""COMPUTED_VALUE"""),-0.006612449646576)</f>
        <v>-6.6124496465759996E-3</v>
      </c>
      <c r="K22" s="12" t="str">
        <f ca="1"/>
        <v>Insurance</v>
      </c>
      <c r="L22" s="12" t="str">
        <f ca="1"/>
        <v>SBILIFE</v>
      </c>
      <c r="M22" s="12" t="str">
        <f ca="1"/>
        <v>No</v>
      </c>
      <c r="N22" s="12" t="str">
        <f ca="1"/>
        <v>No</v>
      </c>
      <c r="O22" s="12" t="str">
        <f ca="1"/>
        <v/>
      </c>
      <c r="P22" s="12" t="str">
        <f ca="1"/>
        <v>Large Cap</v>
      </c>
    </row>
    <row r="23" spans="1:16" ht="13.2">
      <c r="A23" s="12" t="str">
        <f ca="1">IFERROR(__xludf.DUMMYFUNCTION("""COMPUTED_VALUE"""),"HDFC life Insurance")</f>
        <v>HDFC life Insurance</v>
      </c>
      <c r="B23" s="13">
        <f ca="1">IFERROR(__xludf.DUMMYFUNCTION("""COMPUTED_VALUE"""),129917.6)</f>
        <v>129917.6</v>
      </c>
      <c r="C23" s="12">
        <f ca="1">IFERROR(__xludf.DUMMYFUNCTION("""COMPUTED_VALUE"""),604)</f>
        <v>604</v>
      </c>
      <c r="D23" s="12">
        <f ca="1">IFERROR(__xludf.DUMMYFUNCTION("""COMPUTED_VALUE"""),85.12)</f>
        <v>85.12</v>
      </c>
      <c r="E23" s="12">
        <f ca="1">IFERROR(__xludf.DUMMYFUNCTION("""COMPUTED_VALUE"""),678.8)</f>
        <v>678.8</v>
      </c>
      <c r="F23" s="14">
        <f ca="1">IFERROR(__xludf.DUMMYFUNCTION("""COMPUTED_VALUE"""),0.110194460813199)</f>
        <v>0.110194460813199</v>
      </c>
      <c r="G23" s="12">
        <f ca="1">IFERROR(__xludf.DUMMYFUNCTION("""COMPUTED_VALUE"""),497.05)</f>
        <v>497.05</v>
      </c>
      <c r="H23" s="14">
        <f ca="1">IFERROR(__xludf.DUMMYFUNCTION("""COMPUTED_VALUE"""),0.215169500050296)</f>
        <v>0.215169500050296</v>
      </c>
      <c r="I23" s="12">
        <f ca="1">IFERROR(__xludf.DUMMYFUNCTION("""COMPUTED_VALUE"""),598.4)</f>
        <v>598.4</v>
      </c>
      <c r="J23" s="14">
        <f ca="1">IFERROR(__xludf.DUMMYFUNCTION("""COMPUTED_VALUE"""),0.00935828877005351)</f>
        <v>9.3582887700535099E-3</v>
      </c>
      <c r="K23" s="12" t="str">
        <f ca="1"/>
        <v>Insurance</v>
      </c>
      <c r="L23" s="12" t="str">
        <f ca="1"/>
        <v>HDFCLIFE</v>
      </c>
      <c r="M23" s="12" t="str">
        <f ca="1"/>
        <v>No</v>
      </c>
      <c r="N23" s="12" t="str">
        <f ca="1"/>
        <v>No</v>
      </c>
      <c r="O23" s="12" t="str">
        <f ca="1"/>
        <v/>
      </c>
      <c r="P23" s="12" t="str">
        <f ca="1"/>
        <v>Large Cap</v>
      </c>
    </row>
    <row r="24" spans="1:16" ht="13.2">
      <c r="A24" s="12" t="str">
        <f ca="1">IFERROR(__xludf.DUMMYFUNCTION("""COMPUTED_VALUE"""),"Pidilite Industries")</f>
        <v>Pidilite Industries</v>
      </c>
      <c r="B24" s="13">
        <f ca="1">IFERROR(__xludf.DUMMYFUNCTION("""COMPUTED_VALUE"""),127340)</f>
        <v>127340</v>
      </c>
      <c r="C24" s="12">
        <f ca="1">IFERROR(__xludf.DUMMYFUNCTION("""COMPUTED_VALUE"""),2513)</f>
        <v>2513</v>
      </c>
      <c r="D24" s="12">
        <f ca="1">IFERROR(__xludf.DUMMYFUNCTION("""COMPUTED_VALUE"""),98.38)</f>
        <v>98.38</v>
      </c>
      <c r="E24" s="12">
        <f ca="1">IFERROR(__xludf.DUMMYFUNCTION("""COMPUTED_VALUE"""),2918.95)</f>
        <v>2918.95</v>
      </c>
      <c r="F24" s="14">
        <f ca="1">IFERROR(__xludf.DUMMYFUNCTION("""COMPUTED_VALUE"""),0.139073982082598)</f>
        <v>0.139073982082598</v>
      </c>
      <c r="G24" s="12">
        <f ca="1">IFERROR(__xludf.DUMMYFUNCTION("""COMPUTED_VALUE"""),1988.55)</f>
        <v>1988.55</v>
      </c>
      <c r="H24" s="14">
        <f ca="1">IFERROR(__xludf.DUMMYFUNCTION("""COMPUTED_VALUE"""),0.263734882200598)</f>
        <v>0.26373488220059799</v>
      </c>
      <c r="I24" s="12">
        <f ca="1">IFERROR(__xludf.DUMMYFUNCTION("""COMPUTED_VALUE"""),2495.5)</f>
        <v>2495.5</v>
      </c>
      <c r="J24" s="14">
        <f ca="1">IFERROR(__xludf.DUMMYFUNCTION("""COMPUTED_VALUE"""),0.00701262272089761)</f>
        <v>7.0126227208976103E-3</v>
      </c>
      <c r="K24" s="12" t="str">
        <f ca="1"/>
        <v>Chemical</v>
      </c>
      <c r="L24" s="12" t="str">
        <f ca="1"/>
        <v>PIDILITIND</v>
      </c>
      <c r="M24" s="12" t="str">
        <f ca="1"/>
        <v>No</v>
      </c>
      <c r="N24" s="12" t="str">
        <f ca="1"/>
        <v>No</v>
      </c>
      <c r="O24" s="12" t="str">
        <f ca="1"/>
        <v/>
      </c>
      <c r="P24" s="12" t="str">
        <f ca="1"/>
        <v>Large Cap</v>
      </c>
    </row>
    <row r="25" spans="1:16" ht="13.2">
      <c r="A25" s="12" t="str">
        <f ca="1">IFERROR(__xludf.DUMMYFUNCTION("""COMPUTED_VALUE"""),"L&amp;T Infotech")</f>
        <v>L&amp;T Infotech</v>
      </c>
      <c r="B25" s="13">
        <f ca="1">IFERROR(__xludf.DUMMYFUNCTION("""COMPUTED_VALUE"""),126813.4)</f>
        <v>126813.4</v>
      </c>
      <c r="C25" s="12">
        <f ca="1">IFERROR(__xludf.DUMMYFUNCTION("""COMPUTED_VALUE"""),4289.8)</f>
        <v>4289.8</v>
      </c>
      <c r="D25" s="12">
        <f ca="1">IFERROR(__xludf.DUMMYFUNCTION("""COMPUTED_VALUE"""),34.73)</f>
        <v>34.729999999999997</v>
      </c>
      <c r="E25" s="12">
        <f ca="1">IFERROR(__xludf.DUMMYFUNCTION("""COMPUTED_VALUE"""),4293.25)</f>
        <v>4293.25</v>
      </c>
      <c r="F25" s="14">
        <f ca="1">IFERROR(__xludf.DUMMYFUNCTION("""COMPUTED_VALUE"""),0.000803587026145651)</f>
        <v>8.03587026145651E-4</v>
      </c>
      <c r="G25" s="12">
        <f ca="1">IFERROR(__xludf.DUMMYFUNCTION("""COMPUTED_VALUE"""),4147.45)</f>
        <v>4147.45</v>
      </c>
      <c r="H25" s="14">
        <f ca="1">IFERROR(__xludf.DUMMYFUNCTION("""COMPUTED_VALUE"""),0.0343222944218737)</f>
        <v>3.4322294421873699E-2</v>
      </c>
      <c r="I25" s="12">
        <f ca="1">IFERROR(__xludf.DUMMYFUNCTION("""COMPUTED_VALUE"""),4279.2)</f>
        <v>4279.2</v>
      </c>
      <c r="J25" s="14">
        <f ca="1">IFERROR(__xludf.DUMMYFUNCTION("""COMPUTED_VALUE"""),0.00247709852308851)</f>
        <v>2.4770985230885101E-3</v>
      </c>
      <c r="K25" s="12" t="str">
        <f ca="1"/>
        <v>IT</v>
      </c>
      <c r="L25" s="12" t="str">
        <f ca="1"/>
        <v>BOM:540005</v>
      </c>
      <c r="M25" s="12" t="str">
        <f ca="1"/>
        <v>No</v>
      </c>
      <c r="N25" s="12" t="str">
        <f ca="1"/>
        <v>No</v>
      </c>
      <c r="O25" s="12" t="str">
        <f ca="1"/>
        <v>Good Stock</v>
      </c>
      <c r="P25" s="12" t="str">
        <f ca="1"/>
        <v>Large Cap</v>
      </c>
    </row>
    <row r="26" spans="1:16" ht="13.2">
      <c r="A26" s="12" t="str">
        <f ca="1">IFERROR(__xludf.DUMMYFUNCTION("""COMPUTED_VALUE"""),"Britannia")</f>
        <v>Britannia</v>
      </c>
      <c r="B26" s="13">
        <f ca="1">IFERROR(__xludf.DUMMYFUNCTION("""COMPUTED_VALUE"""),104442.9)</f>
        <v>104442.9</v>
      </c>
      <c r="C26" s="12">
        <f ca="1">IFERROR(__xludf.DUMMYFUNCTION("""COMPUTED_VALUE"""),4328)</f>
        <v>4328</v>
      </c>
      <c r="D26" s="12">
        <f ca="1">IFERROR(__xludf.DUMMYFUNCTION("""COMPUTED_VALUE"""),65.9)</f>
        <v>65.900000000000006</v>
      </c>
      <c r="E26" s="12">
        <f ca="1">IFERROR(__xludf.DUMMYFUNCTION("""COMPUTED_VALUE"""),4537)</f>
        <v>4537</v>
      </c>
      <c r="F26" s="14">
        <f ca="1">IFERROR(__xludf.DUMMYFUNCTION("""COMPUTED_VALUE"""),0.046065682168834)</f>
        <v>4.6065682168833999E-2</v>
      </c>
      <c r="G26" s="12">
        <f ca="1">IFERROR(__xludf.DUMMYFUNCTION("""COMPUTED_VALUE"""),3050)</f>
        <v>3050</v>
      </c>
      <c r="H26" s="14">
        <f ca="1">IFERROR(__xludf.DUMMYFUNCTION("""COMPUTED_VALUE"""),0.419016393442622)</f>
        <v>0.41901639344262198</v>
      </c>
      <c r="I26" s="12">
        <f ca="1">IFERROR(__xludf.DUMMYFUNCTION("""COMPUTED_VALUE"""),4299.25)</f>
        <v>4299.25</v>
      </c>
      <c r="J26" s="14">
        <f ca="1">IFERROR(__xludf.DUMMYFUNCTION("""COMPUTED_VALUE"""),0.00668721288596848)</f>
        <v>6.6872128859684797E-3</v>
      </c>
      <c r="K26" s="12" t="str">
        <f ca="1"/>
        <v>FMCG</v>
      </c>
      <c r="L26" s="12" t="str">
        <f ca="1"/>
        <v>BRITANNIA</v>
      </c>
      <c r="M26" s="12" t="str">
        <f ca="1"/>
        <v>No</v>
      </c>
      <c r="N26" s="12" t="str">
        <f ca="1"/>
        <v>No</v>
      </c>
      <c r="O26" s="12" t="str">
        <f ca="1"/>
        <v/>
      </c>
      <c r="P26" s="12" t="str">
        <f ca="1"/>
        <v>Large Cap</v>
      </c>
    </row>
    <row r="27" spans="1:16" ht="13.2">
      <c r="A27" s="12" t="str">
        <f ca="1">IFERROR(__xludf.DUMMYFUNCTION("""COMPUTED_VALUE"""),"Ambuja Cement")</f>
        <v>Ambuja Cement</v>
      </c>
      <c r="B27" s="13">
        <f ca="1">IFERROR(__xludf.DUMMYFUNCTION("""COMPUTED_VALUE"""),102995.3567038)</f>
        <v>102995.3567038</v>
      </c>
      <c r="C27" s="12">
        <f ca="1">IFERROR(__xludf.DUMMYFUNCTION("""COMPUTED_VALUE"""),518.7)</f>
        <v>518.70000000000005</v>
      </c>
      <c r="D27" s="12">
        <f ca="1">IFERROR(__xludf.DUMMYFUNCTION("""COMPUTED_VALUE"""),57.36)</f>
        <v>57.36</v>
      </c>
      <c r="E27" s="12">
        <f ca="1">IFERROR(__xludf.DUMMYFUNCTION("""COMPUTED_VALUE"""),598.15)</f>
        <v>598.15</v>
      </c>
      <c r="F27" s="14">
        <f ca="1">IFERROR(__xludf.DUMMYFUNCTION("""COMPUTED_VALUE"""),0.132826214160327)</f>
        <v>0.132826214160327</v>
      </c>
      <c r="G27" s="12">
        <f ca="1">IFERROR(__xludf.DUMMYFUNCTION("""COMPUTED_VALUE"""),274)</f>
        <v>274</v>
      </c>
      <c r="H27" s="14">
        <f ca="1">IFERROR(__xludf.DUMMYFUNCTION("""COMPUTED_VALUE"""),0.893065693430657)</f>
        <v>0.893065693430657</v>
      </c>
      <c r="I27" s="12">
        <f ca="1">IFERROR(__xludf.DUMMYFUNCTION("""COMPUTED_VALUE"""),510.4)</f>
        <v>510.4</v>
      </c>
      <c r="J27" s="14">
        <f ca="1">IFERROR(__xludf.DUMMYFUNCTION("""COMPUTED_VALUE"""),0.0162617554858935)</f>
        <v>1.6261755485893498E-2</v>
      </c>
      <c r="K27" s="12" t="str">
        <f ca="1"/>
        <v>Cement</v>
      </c>
      <c r="L27" s="12" t="str">
        <f ca="1"/>
        <v>BOM:500425</v>
      </c>
      <c r="M27" s="12" t="str">
        <f ca="1"/>
        <v>No</v>
      </c>
      <c r="N27" s="12" t="str">
        <f ca="1"/>
        <v>No</v>
      </c>
      <c r="O27" s="12" t="str">
        <f ca="1"/>
        <v>Good Stock</v>
      </c>
      <c r="P27" s="12" t="str">
        <f ca="1"/>
        <v>Large Cap</v>
      </c>
    </row>
    <row r="28" spans="1:16" ht="13.2">
      <c r="A28" s="12" t="str">
        <f ca="1">IFERROR(__xludf.DUMMYFUNCTION("""COMPUTED_VALUE"""),"Bajaj Auto")</f>
        <v>Bajaj Auto</v>
      </c>
      <c r="B28" s="13">
        <f ca="1">IFERROR(__xludf.DUMMYFUNCTION("""COMPUTED_VALUE"""),101964.8629622)</f>
        <v>101964.8629622</v>
      </c>
      <c r="C28" s="12">
        <f ca="1">IFERROR(__xludf.DUMMYFUNCTION("""COMPUTED_VALUE"""),3602.45)</f>
        <v>3602.45</v>
      </c>
      <c r="D28" s="12">
        <f ca="1">IFERROR(__xludf.DUMMYFUNCTION("""COMPUTED_VALUE"""),17.79)</f>
        <v>17.79</v>
      </c>
      <c r="E28" s="12">
        <f ca="1">IFERROR(__xludf.DUMMYFUNCTION("""COMPUTED_VALUE"""),4131.75)</f>
        <v>4131.75</v>
      </c>
      <c r="F28" s="14">
        <f ca="1">IFERROR(__xludf.DUMMYFUNCTION("""COMPUTED_VALUE"""),0.12810552429358)</f>
        <v>0.12810552429357999</v>
      </c>
      <c r="G28" s="12">
        <f ca="1">IFERROR(__xludf.DUMMYFUNCTION("""COMPUTED_VALUE"""),3125)</f>
        <v>3125</v>
      </c>
      <c r="H28" s="14">
        <f ca="1">IFERROR(__xludf.DUMMYFUNCTION("""COMPUTED_VALUE"""),0.152783999999999)</f>
        <v>0.152783999999999</v>
      </c>
      <c r="I28" s="12">
        <f ca="1">IFERROR(__xludf.DUMMYFUNCTION("""COMPUTED_VALUE"""),3570.3)</f>
        <v>3570.3</v>
      </c>
      <c r="J28" s="14">
        <f ca="1">IFERROR(__xludf.DUMMYFUNCTION("""COMPUTED_VALUE"""),0.00900484553118775)</f>
        <v>9.0048455311877492E-3</v>
      </c>
      <c r="K28" s="12" t="str">
        <f ca="1"/>
        <v>Automobile</v>
      </c>
      <c r="L28" s="12" t="str">
        <f ca="1"/>
        <v>BAJAJ-AUTO</v>
      </c>
      <c r="M28" s="12" t="str">
        <f ca="1"/>
        <v>No</v>
      </c>
      <c r="N28" s="12" t="str">
        <f ca="1"/>
        <v>No</v>
      </c>
      <c r="O28" s="12" t="str">
        <f ca="1"/>
        <v>Good Stock</v>
      </c>
      <c r="P28" s="12" t="str">
        <f ca="1"/>
        <v>Large Cap</v>
      </c>
    </row>
    <row r="29" spans="1:16" ht="13.2">
      <c r="A29" s="12" t="str">
        <f ca="1">IFERROR(__xludf.DUMMYFUNCTION("""COMPUTED_VALUE"""),"Tech Mahindra")</f>
        <v>Tech Mahindra</v>
      </c>
      <c r="B29" s="13">
        <f ca="1">IFERROR(__xludf.DUMMYFUNCTION("""COMPUTED_VALUE"""),97631.0184537)</f>
        <v>97631.018453700002</v>
      </c>
      <c r="C29" s="12">
        <f ca="1">IFERROR(__xludf.DUMMYFUNCTION("""COMPUTED_VALUE"""),1002.8)</f>
        <v>1002.8</v>
      </c>
      <c r="D29" s="12">
        <f ca="1">IFERROR(__xludf.DUMMYFUNCTION("""COMPUTED_VALUE"""),16.8)</f>
        <v>16.8</v>
      </c>
      <c r="E29" s="12">
        <f ca="1">IFERROR(__xludf.DUMMYFUNCTION("""COMPUTED_VALUE"""),1751)</f>
        <v>1751</v>
      </c>
      <c r="F29" s="14">
        <f ca="1">IFERROR(__xludf.DUMMYFUNCTION("""COMPUTED_VALUE"""),0.427298686464877)</f>
        <v>0.42729868646487701</v>
      </c>
      <c r="G29" s="12">
        <f ca="1">IFERROR(__xludf.DUMMYFUNCTION("""COMPUTED_VALUE"""),943.7)</f>
        <v>943.7</v>
      </c>
      <c r="H29" s="14">
        <f ca="1">IFERROR(__xludf.DUMMYFUNCTION("""COMPUTED_VALUE"""),0.0626258344812969)</f>
        <v>6.2625834481296896E-2</v>
      </c>
      <c r="I29" s="12">
        <f ca="1">IFERROR(__xludf.DUMMYFUNCTION("""COMPUTED_VALUE"""),1001.55)</f>
        <v>1001.55</v>
      </c>
      <c r="J29" s="14">
        <f ca="1">IFERROR(__xludf.DUMMYFUNCTION("""COMPUTED_VALUE"""),0.00124806549847736)</f>
        <v>1.2480654984773599E-3</v>
      </c>
      <c r="K29" s="12" t="str">
        <f ca="1"/>
        <v>IT</v>
      </c>
      <c r="L29" s="12" t="str">
        <f ca="1"/>
        <v>TECHM</v>
      </c>
      <c r="M29" s="12" t="str">
        <f ca="1"/>
        <v>No</v>
      </c>
      <c r="N29" s="12" t="str">
        <f ca="1"/>
        <v>No</v>
      </c>
      <c r="O29" s="12" t="str">
        <f ca="1"/>
        <v>Good Stock</v>
      </c>
      <c r="P29" s="12" t="str">
        <f ca="1"/>
        <v>Large Cap</v>
      </c>
    </row>
    <row r="30" spans="1:16" ht="13.2">
      <c r="A30" s="12" t="str">
        <f ca="1">IFERROR(__xludf.DUMMYFUNCTION("""COMPUTED_VALUE"""),"Dabur")</f>
        <v>Dabur</v>
      </c>
      <c r="B30" s="13">
        <f ca="1">IFERROR(__xludf.DUMMYFUNCTION("""COMPUTED_VALUE"""),96383.9372552)</f>
        <v>96383.937255199999</v>
      </c>
      <c r="C30" s="12">
        <f ca="1">IFERROR(__xludf.DUMMYFUNCTION("""COMPUTED_VALUE"""),544)</f>
        <v>544</v>
      </c>
      <c r="D30" s="12">
        <f ca="1">IFERROR(__xludf.DUMMYFUNCTION("""COMPUTED_VALUE"""),55.79)</f>
        <v>55.79</v>
      </c>
      <c r="E30" s="12">
        <f ca="1">IFERROR(__xludf.DUMMYFUNCTION("""COMPUTED_VALUE"""),610.75)</f>
        <v>610.75</v>
      </c>
      <c r="F30" s="14">
        <f ca="1">IFERROR(__xludf.DUMMYFUNCTION("""COMPUTED_VALUE"""),0.109291854277527)</f>
        <v>0.109291854277527</v>
      </c>
      <c r="G30" s="12">
        <f ca="1">IFERROR(__xludf.DUMMYFUNCTION("""COMPUTED_VALUE"""),482.25)</f>
        <v>482.25</v>
      </c>
      <c r="H30" s="14">
        <f ca="1">IFERROR(__xludf.DUMMYFUNCTION("""COMPUTED_VALUE"""),0.128045619491964)</f>
        <v>0.128045619491964</v>
      </c>
      <c r="I30" s="12">
        <f ca="1">IFERROR(__xludf.DUMMYFUNCTION("""COMPUTED_VALUE"""),544.95)</f>
        <v>544.95000000000005</v>
      </c>
      <c r="J30" s="14">
        <f ca="1">IFERROR(__xludf.DUMMYFUNCTION("""COMPUTED_VALUE"""),-0.00174327919992668)</f>
        <v>-1.74327919992668E-3</v>
      </c>
      <c r="K30" s="12" t="str">
        <f ca="1"/>
        <v>FMCG</v>
      </c>
      <c r="L30" s="12" t="str">
        <f ca="1"/>
        <v>DABUR</v>
      </c>
      <c r="M30" s="12" t="str">
        <f ca="1"/>
        <v>No</v>
      </c>
      <c r="N30" s="12" t="str">
        <f ca="1"/>
        <v>No</v>
      </c>
      <c r="O30" s="12" t="str">
        <f ca="1"/>
        <v>Good Stock</v>
      </c>
      <c r="P30" s="12" t="str">
        <f ca="1"/>
        <v>Large Cap</v>
      </c>
    </row>
    <row r="31" spans="1:16" ht="13.2">
      <c r="A31" s="12" t="str">
        <f ca="1">IFERROR(__xludf.DUMMYFUNCTION("""COMPUTED_VALUE"""),"Bank of Baroda")</f>
        <v>Bank of Baroda</v>
      </c>
      <c r="B31" s="13">
        <f ca="1">IFERROR(__xludf.DUMMYFUNCTION("""COMPUTED_VALUE"""),95565.8761753)</f>
        <v>95565.8761753</v>
      </c>
      <c r="C31" s="12">
        <f ca="1">IFERROR(__xludf.DUMMYFUNCTION("""COMPUTED_VALUE"""),184.9)</f>
        <v>184.9</v>
      </c>
      <c r="D31" s="12">
        <f ca="1">IFERROR(__xludf.DUMMYFUNCTION("""COMPUTED_VALUE"""),9.72)</f>
        <v>9.7200000000000006</v>
      </c>
      <c r="E31" s="12">
        <f ca="1">IFERROR(__xludf.DUMMYFUNCTION("""COMPUTED_VALUE"""),197.2)</f>
        <v>197.2</v>
      </c>
      <c r="F31" s="14">
        <f ca="1">IFERROR(__xludf.DUMMYFUNCTION("""COMPUTED_VALUE"""),0.0623732251521297)</f>
        <v>6.2373225152129702E-2</v>
      </c>
      <c r="G31" s="12">
        <f ca="1">IFERROR(__xludf.DUMMYFUNCTION("""COMPUTED_VALUE"""),89.9)</f>
        <v>89.9</v>
      </c>
      <c r="H31" s="14">
        <f ca="1">IFERROR(__xludf.DUMMYFUNCTION("""COMPUTED_VALUE"""),1.05672969966629)</f>
        <v>1.05672969966629</v>
      </c>
      <c r="I31" s="12">
        <f ca="1">IFERROR(__xludf.DUMMYFUNCTION("""COMPUTED_VALUE"""),181.8)</f>
        <v>181.8</v>
      </c>
      <c r="J31" s="14">
        <f ca="1">IFERROR(__xludf.DUMMYFUNCTION("""COMPUTED_VALUE"""),0.017051705170517)</f>
        <v>1.7051705170517E-2</v>
      </c>
      <c r="K31" s="12" t="str">
        <f ca="1"/>
        <v>Bank</v>
      </c>
      <c r="L31" s="12" t="str">
        <f ca="1"/>
        <v>BOM:532134</v>
      </c>
      <c r="M31" s="12" t="str">
        <f ca="1"/>
        <v>No</v>
      </c>
      <c r="N31" s="12" t="str">
        <f ca="1"/>
        <v>No</v>
      </c>
      <c r="O31" s="12" t="str">
        <f ca="1"/>
        <v>Good Stock</v>
      </c>
      <c r="P31" s="12" t="str">
        <f ca="1"/>
        <v>Large Cap</v>
      </c>
    </row>
    <row r="32" spans="1:16" ht="13.2">
      <c r="A32" s="12" t="str">
        <f ca="1">IFERROR(__xludf.DUMMYFUNCTION("""COMPUTED_VALUE"""),"Godrej Consumer")</f>
        <v>Godrej Consumer</v>
      </c>
      <c r="B32" s="13">
        <f ca="1">IFERROR(__xludf.DUMMYFUNCTION("""COMPUTED_VALUE"""),93678.862)</f>
        <v>93678.861999999994</v>
      </c>
      <c r="C32" s="12">
        <f ca="1">IFERROR(__xludf.DUMMYFUNCTION("""COMPUTED_VALUE"""),916.75)</f>
        <v>916.75</v>
      </c>
      <c r="D32" s="12">
        <f ca="1">IFERROR(__xludf.DUMMYFUNCTION("""COMPUTED_VALUE"""),58.81)</f>
        <v>58.81</v>
      </c>
      <c r="E32" s="12">
        <f ca="1">IFERROR(__xludf.DUMMYFUNCTION("""COMPUTED_VALUE"""),955.65)</f>
        <v>955.65</v>
      </c>
      <c r="F32" s="14">
        <f ca="1">IFERROR(__xludf.DUMMYFUNCTION("""COMPUTED_VALUE"""),0.0407052791293883)</f>
        <v>4.0705279129388303E-2</v>
      </c>
      <c r="G32" s="12">
        <f ca="1">IFERROR(__xludf.DUMMYFUNCTION("""COMPUTED_VALUE"""),660.2)</f>
        <v>660.2</v>
      </c>
      <c r="H32" s="14">
        <f ca="1">IFERROR(__xludf.DUMMYFUNCTION("""COMPUTED_VALUE"""),0.388594365343835)</f>
        <v>0.38859436534383501</v>
      </c>
      <c r="I32" s="12">
        <f ca="1">IFERROR(__xludf.DUMMYFUNCTION("""COMPUTED_VALUE"""),914.9)</f>
        <v>914.9</v>
      </c>
      <c r="J32" s="14">
        <f ca="1">IFERROR(__xludf.DUMMYFUNCTION("""COMPUTED_VALUE"""),0.00202207891572852)</f>
        <v>2.02207891572852E-3</v>
      </c>
      <c r="K32" s="12" t="str">
        <f ca="1"/>
        <v>FMCG</v>
      </c>
      <c r="L32" s="12" t="str">
        <f ca="1"/>
        <v>BOM:532424</v>
      </c>
      <c r="M32" s="12" t="str">
        <f ca="1"/>
        <v>No</v>
      </c>
      <c r="N32" s="12" t="str">
        <f ca="1"/>
        <v>No</v>
      </c>
      <c r="O32" s="12" t="str">
        <f ca="1"/>
        <v>Good Stock</v>
      </c>
      <c r="P32" s="12" t="str">
        <f ca="1"/>
        <v>Large Cap</v>
      </c>
    </row>
    <row r="33" spans="1:16" ht="13.2">
      <c r="A33" s="12" t="str">
        <f ca="1">IFERROR(__xludf.DUMMYFUNCTION("""COMPUTED_VALUE"""),"Divi's Lab")</f>
        <v>Divi's Lab</v>
      </c>
      <c r="B33" s="13">
        <f ca="1">IFERROR(__xludf.DUMMYFUNCTION("""COMPUTED_VALUE"""),88977.11)</f>
        <v>88977.11</v>
      </c>
      <c r="C33" s="12">
        <f ca="1">IFERROR(__xludf.DUMMYFUNCTION("""COMPUTED_VALUE"""),3352.15)</f>
        <v>3352.15</v>
      </c>
      <c r="D33" s="12">
        <f ca="1">IFERROR(__xludf.DUMMYFUNCTION("""COMPUTED_VALUE"""),29.74)</f>
        <v>29.74</v>
      </c>
      <c r="E33" s="12">
        <f ca="1">IFERROR(__xludf.DUMMYFUNCTION("""COMPUTED_VALUE"""),4668)</f>
        <v>4668</v>
      </c>
      <c r="F33" s="14">
        <f ca="1">IFERROR(__xludf.DUMMYFUNCTION("""COMPUTED_VALUE"""),0.281887317909168)</f>
        <v>0.28188731790916799</v>
      </c>
      <c r="G33" s="12">
        <f ca="1">IFERROR(__xludf.DUMMYFUNCTION("""COMPUTED_VALUE"""),3195.15)</f>
        <v>3195.15</v>
      </c>
      <c r="H33" s="14">
        <f ca="1">IFERROR(__xludf.DUMMYFUNCTION("""COMPUTED_VALUE"""),0.0491369732250442)</f>
        <v>4.9136973225044199E-2</v>
      </c>
      <c r="I33" s="12">
        <f ca="1">IFERROR(__xludf.DUMMYFUNCTION("""COMPUTED_VALUE"""),3305.3)</f>
        <v>3305.3</v>
      </c>
      <c r="J33" s="14">
        <f ca="1">IFERROR(__xludf.DUMMYFUNCTION("""COMPUTED_VALUE"""),0.0141742050645932)</f>
        <v>1.4174205064593199E-2</v>
      </c>
      <c r="K33" s="12" t="str">
        <f ca="1"/>
        <v>Pharma</v>
      </c>
      <c r="L33" s="12" t="str">
        <f ca="1"/>
        <v>DIVISLAB</v>
      </c>
      <c r="M33" s="12" t="str">
        <f ca="1"/>
        <v>No</v>
      </c>
      <c r="N33" s="12" t="str">
        <f ca="1"/>
        <v>No</v>
      </c>
      <c r="O33" s="12" t="str">
        <f ca="1"/>
        <v>Good Stock</v>
      </c>
      <c r="P33" s="12" t="str">
        <f ca="1"/>
        <v>Large Cap</v>
      </c>
    </row>
    <row r="34" spans="1:16" ht="13.2">
      <c r="A34" s="12" t="str">
        <f ca="1">IFERROR(__xludf.DUMMYFUNCTION("""COMPUTED_VALUE"""),"Shree Cement")</f>
        <v>Shree Cement</v>
      </c>
      <c r="B34" s="13">
        <f ca="1">IFERROR(__xludf.DUMMYFUNCTION("""COMPUTED_VALUE"""),87098.03)</f>
        <v>87098.03</v>
      </c>
      <c r="C34" s="12">
        <f ca="1">IFERROR(__xludf.DUMMYFUNCTION("""COMPUTED_VALUE"""),24025)</f>
        <v>24025</v>
      </c>
      <c r="D34" s="12">
        <f ca="1">IFERROR(__xludf.DUMMYFUNCTION("""COMPUTED_VALUE"""),54.11)</f>
        <v>54.11</v>
      </c>
      <c r="E34" s="12">
        <f ca="1">IFERROR(__xludf.DUMMYFUNCTION("""COMPUTED_VALUE"""),27936.75)</f>
        <v>27936.75</v>
      </c>
      <c r="F34" s="14">
        <f ca="1">IFERROR(__xludf.DUMMYFUNCTION("""COMPUTED_VALUE"""),0.140021656062355)</f>
        <v>0.140021656062355</v>
      </c>
      <c r="G34" s="12">
        <f ca="1">IFERROR(__xludf.DUMMYFUNCTION("""COMPUTED_VALUE"""),17865.2)</f>
        <v>17865.2</v>
      </c>
      <c r="H34" s="14">
        <f ca="1">IFERROR(__xludf.DUMMYFUNCTION("""COMPUTED_VALUE"""),0.344793229294942)</f>
        <v>0.34479322929494199</v>
      </c>
      <c r="I34" s="12">
        <f ca="1">IFERROR(__xludf.DUMMYFUNCTION("""COMPUTED_VALUE"""),23854.85)</f>
        <v>23854.85</v>
      </c>
      <c r="J34" s="14">
        <f ca="1">IFERROR(__xludf.DUMMYFUNCTION("""COMPUTED_VALUE"""),0.00713272143819816)</f>
        <v>7.1327214381981599E-3</v>
      </c>
      <c r="K34" s="12" t="str">
        <f ca="1"/>
        <v>Cement</v>
      </c>
      <c r="L34" s="12" t="str">
        <f ca="1"/>
        <v>SHREECEM</v>
      </c>
      <c r="M34" s="12" t="str">
        <f ca="1"/>
        <v>No</v>
      </c>
      <c r="N34" s="12" t="str">
        <f ca="1"/>
        <v>No</v>
      </c>
      <c r="O34" s="12" t="str">
        <f ca="1"/>
        <v>Good Stock</v>
      </c>
      <c r="P34" s="12" t="str">
        <f ca="1"/>
        <v>Large Cap</v>
      </c>
    </row>
    <row r="35" spans="1:16" ht="13.2">
      <c r="A35" s="12" t="str">
        <f ca="1">IFERROR(__xludf.DUMMYFUNCTION("""COMPUTED_VALUE"""),"Eicher Motor")</f>
        <v>Eicher Motor</v>
      </c>
      <c r="B35" s="13">
        <f ca="1">IFERROR(__xludf.DUMMYFUNCTION("""COMPUTED_VALUE"""),86543.2296232)</f>
        <v>86543.229623199994</v>
      </c>
      <c r="C35" s="12">
        <f ca="1">IFERROR(__xludf.DUMMYFUNCTION("""COMPUTED_VALUE"""),3164.9)</f>
        <v>3164.9</v>
      </c>
      <c r="D35" s="12">
        <f ca="1">IFERROR(__xludf.DUMMYFUNCTION("""COMPUTED_VALUE"""),37.12)</f>
        <v>37.119999999999997</v>
      </c>
      <c r="E35" s="12">
        <f ca="1">IFERROR(__xludf.DUMMYFUNCTION("""COMPUTED_VALUE"""),3889.65)</f>
        <v>3889.65</v>
      </c>
      <c r="F35" s="14">
        <f ca="1">IFERROR(__xludf.DUMMYFUNCTION("""COMPUTED_VALUE"""),0.18632781869834)</f>
        <v>0.18632781869834</v>
      </c>
      <c r="G35" s="12">
        <f ca="1">IFERROR(__xludf.DUMMYFUNCTION("""COMPUTED_VALUE"""),2159.55)</f>
        <v>2159.5500000000002</v>
      </c>
      <c r="H35" s="14">
        <f ca="1">IFERROR(__xludf.DUMMYFUNCTION("""COMPUTED_VALUE"""),0.465536801648491)</f>
        <v>0.46553680164849098</v>
      </c>
      <c r="I35" s="12">
        <f ca="1">IFERROR(__xludf.DUMMYFUNCTION("""COMPUTED_VALUE"""),3103.25)</f>
        <v>3103.25</v>
      </c>
      <c r="J35" s="14">
        <f ca="1">IFERROR(__xludf.DUMMYFUNCTION("""COMPUTED_VALUE"""),0.0198662692338677)</f>
        <v>1.9866269233867698E-2</v>
      </c>
      <c r="K35" s="12" t="str">
        <f ca="1"/>
        <v>Automobile</v>
      </c>
      <c r="L35" s="12" t="str">
        <f ca="1"/>
        <v>EICHERMOT</v>
      </c>
      <c r="M35" s="12" t="str">
        <f ca="1"/>
        <v>No</v>
      </c>
      <c r="N35" s="12" t="str">
        <f ca="1"/>
        <v>No</v>
      </c>
      <c r="O35" s="12" t="str">
        <f ca="1"/>
        <v>Good Stock</v>
      </c>
      <c r="P35" s="12" t="str">
        <f ca="1"/>
        <v>Large Cap</v>
      </c>
    </row>
    <row r="36" spans="1:16" ht="13.2">
      <c r="A36" s="12" t="str">
        <f ca="1">IFERROR(__xludf.DUMMYFUNCTION("""COMPUTED_VALUE"""),"Cipla")</f>
        <v>Cipla</v>
      </c>
      <c r="B36" s="13">
        <f ca="1">IFERROR(__xludf.DUMMYFUNCTION("""COMPUTED_VALUE"""),86182.29)</f>
        <v>86182.29</v>
      </c>
      <c r="C36" s="12">
        <f ca="1">IFERROR(__xludf.DUMMYFUNCTION("""COMPUTED_VALUE"""),1068.85)</f>
        <v>1068.8499999999999</v>
      </c>
      <c r="D36" s="12">
        <f ca="1">IFERROR(__xludf.DUMMYFUNCTION("""COMPUTED_VALUE"""),33.64)</f>
        <v>33.64</v>
      </c>
      <c r="E36" s="12">
        <f ca="1">IFERROR(__xludf.DUMMYFUNCTION("""COMPUTED_VALUE"""),1185.25)</f>
        <v>1185.25</v>
      </c>
      <c r="F36" s="14">
        <f ca="1">IFERROR(__xludf.DUMMYFUNCTION("""COMPUTED_VALUE"""),0.0982071292976166)</f>
        <v>9.8207129297616602E-2</v>
      </c>
      <c r="G36" s="12">
        <f ca="1">IFERROR(__xludf.DUMMYFUNCTION("""COMPUTED_VALUE"""),860)</f>
        <v>860</v>
      </c>
      <c r="H36" s="14">
        <f ca="1">IFERROR(__xludf.DUMMYFUNCTION("""COMPUTED_VALUE"""),0.242848837209302)</f>
        <v>0.242848837209302</v>
      </c>
      <c r="I36" s="12">
        <f ca="1">IFERROR(__xludf.DUMMYFUNCTION("""COMPUTED_VALUE"""),1061.15)</f>
        <v>1061.1500000000001</v>
      </c>
      <c r="J36" s="14">
        <f ca="1">IFERROR(__xludf.DUMMYFUNCTION("""COMPUTED_VALUE"""),0.00725627856570684)</f>
        <v>7.2562785657068404E-3</v>
      </c>
      <c r="K36" s="12" t="str">
        <f ca="1"/>
        <v>Pharma</v>
      </c>
      <c r="L36" s="12" t="str">
        <f ca="1"/>
        <v>CIPLA</v>
      </c>
      <c r="M36" s="12" t="str">
        <f ca="1"/>
        <v>No</v>
      </c>
      <c r="N36" s="12" t="str">
        <f ca="1"/>
        <v>No</v>
      </c>
      <c r="O36" s="12" t="str">
        <f ca="1"/>
        <v>Good Stock</v>
      </c>
      <c r="P36" s="12" t="str">
        <f ca="1"/>
        <v>Large Cap</v>
      </c>
    </row>
    <row r="37" spans="1:16" ht="13.2">
      <c r="A37" s="12" t="str">
        <f ca="1">IFERROR(__xludf.DUMMYFUNCTION("""COMPUTED_VALUE"""),"SBI Cards")</f>
        <v>SBI Cards</v>
      </c>
      <c r="B37" s="13">
        <f ca="1">IFERROR(__xludf.DUMMYFUNCTION("""COMPUTED_VALUE"""),74336.7630665)</f>
        <v>74336.763066500003</v>
      </c>
      <c r="C37" s="12">
        <f ca="1">IFERROR(__xludf.DUMMYFUNCTION("""COMPUTED_VALUE"""),786.05)</f>
        <v>786.05</v>
      </c>
      <c r="D37" s="12">
        <f ca="1">IFERROR(__xludf.DUMMYFUNCTION("""COMPUTED_VALUE"""),35.28)</f>
        <v>35.28</v>
      </c>
      <c r="E37" s="12">
        <f ca="1">IFERROR(__xludf.DUMMYFUNCTION("""COMPUTED_VALUE"""),1028.65)</f>
        <v>1028.6500000000001</v>
      </c>
      <c r="F37" s="14">
        <f ca="1">IFERROR(__xludf.DUMMYFUNCTION("""COMPUTED_VALUE"""),0.235843095319107)</f>
        <v>0.23584309531910699</v>
      </c>
      <c r="G37" s="12">
        <f ca="1">IFERROR(__xludf.DUMMYFUNCTION("""COMPUTED_VALUE"""),655.7)</f>
        <v>655.7</v>
      </c>
      <c r="H37" s="14">
        <f ca="1">IFERROR(__xludf.DUMMYFUNCTION("""COMPUTED_VALUE"""),0.198795180722891)</f>
        <v>0.19879518072289101</v>
      </c>
      <c r="I37" s="12">
        <f ca="1">IFERROR(__xludf.DUMMYFUNCTION("""COMPUTED_VALUE"""),780.25)</f>
        <v>780.25</v>
      </c>
      <c r="J37" s="14">
        <f ca="1">IFERROR(__xludf.DUMMYFUNCTION("""COMPUTED_VALUE"""),0.00743351489907075)</f>
        <v>7.4335148990707497E-3</v>
      </c>
      <c r="K37" s="12" t="str">
        <f ca="1"/>
        <v>Financial Servcies</v>
      </c>
      <c r="L37" s="12" t="str">
        <f ca="1"/>
        <v>SBICARD</v>
      </c>
      <c r="M37" s="12" t="str">
        <f ca="1"/>
        <v>No</v>
      </c>
      <c r="N37" s="12" t="str">
        <f ca="1"/>
        <v>No</v>
      </c>
      <c r="O37" s="12" t="str">
        <f ca="1"/>
        <v>Good Stock</v>
      </c>
      <c r="P37" s="12" t="str">
        <f ca="1"/>
        <v>Large Cap</v>
      </c>
    </row>
    <row r="38" spans="1:16" ht="13.2">
      <c r="A38" s="12" t="str">
        <f ca="1">IFERROR(__xludf.DUMMYFUNCTION("""COMPUTED_VALUE"""),"Varun Beverage")</f>
        <v>Varun Beverage</v>
      </c>
      <c r="B38" s="13">
        <f ca="1">IFERROR(__xludf.DUMMYFUNCTION("""COMPUTED_VALUE"""),73698.477067)</f>
        <v>73698.477067</v>
      </c>
      <c r="C38" s="12">
        <f ca="1">IFERROR(__xludf.DUMMYFUNCTION("""COMPUTED_VALUE"""),1134.8)</f>
        <v>1134.8</v>
      </c>
      <c r="D38" s="12">
        <f ca="1">IFERROR(__xludf.DUMMYFUNCTION("""COMPUTED_VALUE"""),51.22)</f>
        <v>51.22</v>
      </c>
      <c r="E38" s="12">
        <f ca="1">IFERROR(__xludf.DUMMYFUNCTION("""COMPUTED_VALUE"""),1432.05)</f>
        <v>1432.05</v>
      </c>
      <c r="F38" s="14">
        <f ca="1">IFERROR(__xludf.DUMMYFUNCTION("""COMPUTED_VALUE"""),0.207569568101672)</f>
        <v>0.20756956810167199</v>
      </c>
      <c r="G38" s="12">
        <f ca="1">IFERROR(__xludf.DUMMYFUNCTION("""COMPUTED_VALUE"""),557.23)</f>
        <v>557.23</v>
      </c>
      <c r="H38" s="14">
        <f ca="1">IFERROR(__xludf.DUMMYFUNCTION("""COMPUTED_VALUE"""),1.03650198302316)</f>
        <v>1.0365019830231601</v>
      </c>
      <c r="I38" s="12">
        <f ca="1">IFERROR(__xludf.DUMMYFUNCTION("""COMPUTED_VALUE"""),1187.3)</f>
        <v>1187.3</v>
      </c>
      <c r="J38" s="14">
        <f ca="1">IFERROR(__xludf.DUMMYFUNCTION("""COMPUTED_VALUE"""),-0.0442179735534405)</f>
        <v>-4.4217973553440502E-2</v>
      </c>
      <c r="K38" s="12" t="str">
        <f ca="1"/>
        <v>Food</v>
      </c>
      <c r="L38" s="12" t="str">
        <f ca="1"/>
        <v>BOM:540180</v>
      </c>
      <c r="M38" s="12" t="str">
        <f ca="1"/>
        <v>No</v>
      </c>
      <c r="N38" s="12" t="str">
        <f ca="1"/>
        <v>No</v>
      </c>
      <c r="O38" s="12" t="str">
        <f ca="1"/>
        <v>Good Stock</v>
      </c>
      <c r="P38" s="12" t="str">
        <f ca="1"/>
        <v>Large Cap</v>
      </c>
    </row>
    <row r="39" spans="1:16" ht="13.2">
      <c r="A39" s="12" t="str">
        <f ca="1">IFERROR(__xludf.DUMMYFUNCTION("""COMPUTED_VALUE"""),"Havells India")</f>
        <v>Havells India</v>
      </c>
      <c r="B39" s="13">
        <f ca="1">IFERROR(__xludf.DUMMYFUNCTION("""COMPUTED_VALUE"""),73418.66784)</f>
        <v>73418.667839999995</v>
      </c>
      <c r="C39" s="12">
        <f ca="1">IFERROR(__xludf.DUMMYFUNCTION("""COMPUTED_VALUE"""),1167.55)</f>
        <v>1167.55</v>
      </c>
      <c r="D39" s="12">
        <f ca="1">IFERROR(__xludf.DUMMYFUNCTION("""COMPUTED_VALUE"""),67.24)</f>
        <v>67.239999999999995</v>
      </c>
      <c r="E39" s="12">
        <f ca="1">IFERROR(__xludf.DUMMYFUNCTION("""COMPUTED_VALUE"""),1405.55)</f>
        <v>1405.55</v>
      </c>
      <c r="F39" s="14">
        <f ca="1">IFERROR(__xludf.DUMMYFUNCTION("""COMPUTED_VALUE"""),0.169328732524634)</f>
        <v>0.16932873252463401</v>
      </c>
      <c r="G39" s="12">
        <f ca="1">IFERROR(__xludf.DUMMYFUNCTION("""COMPUTED_VALUE"""),1024.5)</f>
        <v>1024.5</v>
      </c>
      <c r="H39" s="14">
        <f ca="1">IFERROR(__xludf.DUMMYFUNCTION("""COMPUTED_VALUE"""),0.139629087359687)</f>
        <v>0.13962908735968699</v>
      </c>
      <c r="I39" s="12">
        <f ca="1">IFERROR(__xludf.DUMMYFUNCTION("""COMPUTED_VALUE"""),1192.6)</f>
        <v>1192.5999999999999</v>
      </c>
      <c r="J39" s="14">
        <f ca="1">IFERROR(__xludf.DUMMYFUNCTION("""COMPUTED_VALUE"""),-0.0210045279221867)</f>
        <v>-2.1004527922186701E-2</v>
      </c>
      <c r="K39" s="12" t="str">
        <f ca="1"/>
        <v>Consumer Electrical</v>
      </c>
      <c r="L39" s="12" t="str">
        <f ca="1"/>
        <v>HAVELLS</v>
      </c>
      <c r="M39" s="12" t="str">
        <f ca="1"/>
        <v>No</v>
      </c>
      <c r="N39" s="12" t="str">
        <f ca="1"/>
        <v>No</v>
      </c>
      <c r="O39" s="12" t="str">
        <f ca="1"/>
        <v/>
      </c>
      <c r="P39" s="12" t="str">
        <f ca="1"/>
        <v>Large Cap</v>
      </c>
    </row>
    <row r="40" spans="1:16" ht="13.2">
      <c r="A40" s="12" t="str">
        <f ca="1">IFERROR(__xludf.DUMMYFUNCTION("""COMPUTED_VALUE"""),"Tata Consumer Product")</f>
        <v>Tata Consumer Product</v>
      </c>
      <c r="B40" s="13">
        <f ca="1">IFERROR(__xludf.DUMMYFUNCTION("""COMPUTED_VALUE"""),69898.9623697)</f>
        <v>69898.962369700006</v>
      </c>
      <c r="C40" s="12">
        <f ca="1">IFERROR(__xludf.DUMMYFUNCTION("""COMPUTED_VALUE"""),752.8)</f>
        <v>752.8</v>
      </c>
      <c r="D40" s="12">
        <f ca="1">IFERROR(__xludf.DUMMYFUNCTION("""COMPUTED_VALUE"""),65.04)</f>
        <v>65.040000000000006</v>
      </c>
      <c r="E40" s="12">
        <f ca="1">IFERROR(__xludf.DUMMYFUNCTION("""COMPUTED_VALUE"""),861.15)</f>
        <v>861.15</v>
      </c>
      <c r="F40" s="14">
        <f ca="1">IFERROR(__xludf.DUMMYFUNCTION("""COMPUTED_VALUE"""),0.125820124252453)</f>
        <v>0.12582012425245301</v>
      </c>
      <c r="G40" s="12">
        <f ca="1">IFERROR(__xludf.DUMMYFUNCTION("""COMPUTED_VALUE"""),650.2)</f>
        <v>650.20000000000005</v>
      </c>
      <c r="H40" s="14">
        <f ca="1">IFERROR(__xludf.DUMMYFUNCTION("""COMPUTED_VALUE"""),0.157797600738234)</f>
        <v>0.15779760073823401</v>
      </c>
      <c r="I40" s="12">
        <f ca="1">IFERROR(__xludf.DUMMYFUNCTION("""COMPUTED_VALUE"""),754.25)</f>
        <v>754.25</v>
      </c>
      <c r="J40" s="14">
        <f ca="1">IFERROR(__xludf.DUMMYFUNCTION("""COMPUTED_VALUE"""),-0.00192243950944653)</f>
        <v>-1.9224395094465301E-3</v>
      </c>
      <c r="K40" s="12" t="str">
        <f ca="1"/>
        <v>FMCG</v>
      </c>
      <c r="L40" s="12" t="str">
        <f ca="1"/>
        <v>TATACONSUM</v>
      </c>
      <c r="M40" s="12" t="str">
        <f ca="1"/>
        <v>No</v>
      </c>
      <c r="N40" s="12" t="str">
        <f ca="1"/>
        <v>No</v>
      </c>
      <c r="O40" s="12" t="str">
        <f ca="1"/>
        <v/>
      </c>
      <c r="P40" s="12" t="str">
        <f ca="1"/>
        <v>Large Cap</v>
      </c>
    </row>
    <row r="41" spans="1:16" ht="13.2">
      <c r="A41" s="12" t="str">
        <f ca="1">IFERROR(__xludf.DUMMYFUNCTION("""COMPUTED_VALUE"""),"ICICI Pru life insurance")</f>
        <v>ICICI Pru life insurance</v>
      </c>
      <c r="B41" s="13">
        <f ca="1">IFERROR(__xludf.DUMMYFUNCTION("""COMPUTED_VALUE"""),67468.3198772)</f>
        <v>67468.319877200003</v>
      </c>
      <c r="C41" s="12">
        <f ca="1">IFERROR(__xludf.DUMMYFUNCTION("""COMPUTED_VALUE"""),468.9)</f>
        <v>468.9</v>
      </c>
      <c r="D41" s="12">
        <f ca="1">IFERROR(__xludf.DUMMYFUNCTION("""COMPUTED_VALUE"""),78.92)</f>
        <v>78.92</v>
      </c>
      <c r="E41" s="12">
        <f ca="1">IFERROR(__xludf.DUMMYFUNCTION("""COMPUTED_VALUE"""),648.85)</f>
        <v>648.85</v>
      </c>
      <c r="F41" s="14">
        <f ca="1">IFERROR(__xludf.DUMMYFUNCTION("""COMPUTED_VALUE"""),0.27733682669338)</f>
        <v>0.27733682669338</v>
      </c>
      <c r="G41" s="12">
        <f ca="1">IFERROR(__xludf.DUMMYFUNCTION("""COMPUTED_VALUE"""),430)</f>
        <v>430</v>
      </c>
      <c r="H41" s="14">
        <f ca="1">IFERROR(__xludf.DUMMYFUNCTION("""COMPUTED_VALUE"""),0.0904651162790697)</f>
        <v>9.0465116279069696E-2</v>
      </c>
      <c r="I41" s="12">
        <f ca="1">IFERROR(__xludf.DUMMYFUNCTION("""COMPUTED_VALUE"""),464.7)</f>
        <v>464.7</v>
      </c>
      <c r="J41" s="14">
        <f ca="1">IFERROR(__xludf.DUMMYFUNCTION("""COMPUTED_VALUE"""),0.00903808908973529)</f>
        <v>9.0380890897352895E-3</v>
      </c>
      <c r="K41" s="12" t="str">
        <f ca="1"/>
        <v>Insurance</v>
      </c>
      <c r="L41" s="12" t="str">
        <f ca="1"/>
        <v>ICICIPRULI</v>
      </c>
      <c r="M41" s="12" t="str">
        <f ca="1"/>
        <v>No</v>
      </c>
      <c r="N41" s="12" t="str">
        <f ca="1"/>
        <v>No</v>
      </c>
      <c r="O41" s="12" t="str">
        <f ca="1"/>
        <v/>
      </c>
      <c r="P41" s="12" t="str">
        <f ca="1"/>
        <v>Large Cap</v>
      </c>
    </row>
    <row r="42" spans="1:16" ht="13.2">
      <c r="A42" s="12" t="str">
        <f ca="1">IFERROR(__xludf.DUMMYFUNCTION("""COMPUTED_VALUE"""),"Tata Power")</f>
        <v>Tata Power</v>
      </c>
      <c r="B42" s="13">
        <f ca="1">IFERROR(__xludf.DUMMYFUNCTION("""COMPUTED_VALUE"""),66015.7769553)</f>
        <v>66015.776955299996</v>
      </c>
      <c r="C42" s="12">
        <f ca="1">IFERROR(__xludf.DUMMYFUNCTION("""COMPUTED_VALUE"""),206.55)</f>
        <v>206.55</v>
      </c>
      <c r="D42" s="12">
        <f ca="1">IFERROR(__xludf.DUMMYFUNCTION("""COMPUTED_VALUE"""),25.89)</f>
        <v>25.89</v>
      </c>
      <c r="E42" s="12">
        <f ca="1">IFERROR(__xludf.DUMMYFUNCTION("""COMPUTED_VALUE"""),298)</f>
        <v>298</v>
      </c>
      <c r="F42" s="14">
        <f ca="1">IFERROR(__xludf.DUMMYFUNCTION("""COMPUTED_VALUE"""),0.306879194630872)</f>
        <v>0.30687919463087199</v>
      </c>
      <c r="G42" s="12">
        <f ca="1">IFERROR(__xludf.DUMMYFUNCTION("""COMPUTED_VALUE"""),190)</f>
        <v>190</v>
      </c>
      <c r="H42" s="14">
        <f ca="1">IFERROR(__xludf.DUMMYFUNCTION("""COMPUTED_VALUE"""),0.0871052631578948)</f>
        <v>8.7105263157894797E-2</v>
      </c>
      <c r="I42" s="12">
        <f ca="1">IFERROR(__xludf.DUMMYFUNCTION("""COMPUTED_VALUE"""),205.65)</f>
        <v>205.65</v>
      </c>
      <c r="J42" s="14">
        <f ca="1">IFERROR(__xludf.DUMMYFUNCTION("""COMPUTED_VALUE"""),0.00437636761487967)</f>
        <v>4.3763676148796697E-3</v>
      </c>
      <c r="K42" s="12" t="str">
        <f ca="1"/>
        <v>Infrastructure</v>
      </c>
      <c r="L42" s="12" t="str">
        <f ca="1"/>
        <v>BOM:500400</v>
      </c>
      <c r="M42" s="12" t="str">
        <f ca="1"/>
        <v>No</v>
      </c>
      <c r="N42" s="12" t="str">
        <f ca="1"/>
        <v>No</v>
      </c>
      <c r="O42" s="12" t="str">
        <f ca="1"/>
        <v>Good Stock</v>
      </c>
      <c r="P42" s="12" t="str">
        <f ca="1"/>
        <v>Large Cap</v>
      </c>
    </row>
    <row r="43" spans="1:16" ht="13.2">
      <c r="A43" s="12" t="str">
        <f ca="1">IFERROR(__xludf.DUMMYFUNCTION("""COMPUTED_VALUE"""),"Marico")</f>
        <v>Marico</v>
      </c>
      <c r="B43" s="13">
        <f ca="1">IFERROR(__xludf.DUMMYFUNCTION("""COMPUTED_VALUE"""),64133.35)</f>
        <v>64133.35</v>
      </c>
      <c r="C43" s="12">
        <f ca="1">IFERROR(__xludf.DUMMYFUNCTION("""COMPUTED_VALUE"""),497.5)</f>
        <v>497.5</v>
      </c>
      <c r="D43" s="12">
        <f ca="1">IFERROR(__xludf.DUMMYFUNCTION("""COMPUTED_VALUE"""),52.21)</f>
        <v>52.21</v>
      </c>
      <c r="E43" s="12">
        <f ca="1">IFERROR(__xludf.DUMMYFUNCTION("""COMPUTED_VALUE"""),554.35)</f>
        <v>554.35</v>
      </c>
      <c r="F43" s="14">
        <f ca="1">IFERROR(__xludf.DUMMYFUNCTION("""COMPUTED_VALUE"""),0.10255253900965)</f>
        <v>0.10255253900965</v>
      </c>
      <c r="G43" s="12">
        <f ca="1">IFERROR(__xludf.DUMMYFUNCTION("""COMPUTED_VALUE"""),455.65)</f>
        <v>455.65</v>
      </c>
      <c r="H43" s="14">
        <f ca="1">IFERROR(__xludf.DUMMYFUNCTION("""COMPUTED_VALUE"""),0.0918468122462417)</f>
        <v>9.1846812246241694E-2</v>
      </c>
      <c r="I43" s="12">
        <f ca="1">IFERROR(__xludf.DUMMYFUNCTION("""COMPUTED_VALUE"""),501.6)</f>
        <v>501.6</v>
      </c>
      <c r="J43" s="14">
        <f ca="1">IFERROR(__xludf.DUMMYFUNCTION("""COMPUTED_VALUE"""),-0.00817384370015953)</f>
        <v>-8.1738437001595294E-3</v>
      </c>
      <c r="K43" s="12" t="str">
        <f ca="1"/>
        <v>FMCG</v>
      </c>
      <c r="L43" s="12" t="str">
        <f ca="1"/>
        <v>MARICO</v>
      </c>
      <c r="M43" s="12" t="str">
        <f ca="1"/>
        <v>No</v>
      </c>
      <c r="N43" s="12" t="str">
        <f ca="1"/>
        <v>No</v>
      </c>
      <c r="O43" s="12" t="str">
        <f ca="1"/>
        <v>Good Stock</v>
      </c>
      <c r="P43" s="12" t="str">
        <f ca="1"/>
        <v>Large Cap</v>
      </c>
    </row>
    <row r="44" spans="1:16" ht="13.2">
      <c r="A44" s="12" t="str">
        <f ca="1">IFERROR(__xludf.DUMMYFUNCTION("""COMPUTED_VALUE"""),"United Spirits")</f>
        <v>United Spirits</v>
      </c>
      <c r="B44" s="13">
        <f ca="1">IFERROR(__xludf.DUMMYFUNCTION("""COMPUTED_VALUE"""),61484.38668)</f>
        <v>61484.386680000003</v>
      </c>
      <c r="C44" s="12">
        <f ca="1">IFERROR(__xludf.DUMMYFUNCTION("""COMPUTED_VALUE"""),846.75)</f>
        <v>846.75</v>
      </c>
      <c r="D44" s="12">
        <f ca="1">IFERROR(__xludf.DUMMYFUNCTION("""COMPUTED_VALUE"""),46.19)</f>
        <v>46.19</v>
      </c>
      <c r="E44" s="12">
        <f ca="1">IFERROR(__xludf.DUMMYFUNCTION("""COMPUTED_VALUE"""),958)</f>
        <v>958</v>
      </c>
      <c r="F44" s="14">
        <f ca="1">IFERROR(__xludf.DUMMYFUNCTION("""COMPUTED_VALUE"""),0.116127348643006)</f>
        <v>0.116127348643006</v>
      </c>
      <c r="G44" s="12">
        <f ca="1">IFERROR(__xludf.DUMMYFUNCTION("""COMPUTED_VALUE"""),712)</f>
        <v>712</v>
      </c>
      <c r="H44" s="14">
        <f ca="1">IFERROR(__xludf.DUMMYFUNCTION("""COMPUTED_VALUE"""),0.189255617977528)</f>
        <v>0.18925561797752799</v>
      </c>
      <c r="I44" s="12">
        <f ca="1">IFERROR(__xludf.DUMMYFUNCTION("""COMPUTED_VALUE"""),857.75)</f>
        <v>857.75</v>
      </c>
      <c r="J44" s="14">
        <f ca="1">IFERROR(__xludf.DUMMYFUNCTION("""COMPUTED_VALUE"""),-0.0128242494899446)</f>
        <v>-1.28242494899446E-2</v>
      </c>
      <c r="K44" s="12" t="str">
        <f ca="1"/>
        <v>Spirits</v>
      </c>
      <c r="L44" s="12" t="str">
        <f ca="1"/>
        <v>MCDOWELL-N</v>
      </c>
      <c r="M44" s="12" t="str">
        <f ca="1"/>
        <v>No</v>
      </c>
      <c r="N44" s="12" t="str">
        <f ca="1"/>
        <v>No</v>
      </c>
      <c r="O44" s="12" t="str">
        <f ca="1"/>
        <v>Good Stock</v>
      </c>
      <c r="P44" s="12" t="str">
        <f ca="1"/>
        <v>Large Cap</v>
      </c>
    </row>
    <row r="45" spans="1:16" ht="13.2">
      <c r="A45" s="12" t="str">
        <f ca="1">IFERROR(__xludf.DUMMYFUNCTION("""COMPUTED_VALUE"""),"Yesbank")</f>
        <v>Yesbank</v>
      </c>
      <c r="B45" s="13">
        <f ca="1">IFERROR(__xludf.DUMMYFUNCTION("""COMPUTED_VALUE"""),57937.9387031)</f>
        <v>57937.938703100001</v>
      </c>
      <c r="C45" s="12">
        <f ca="1">IFERROR(__xludf.DUMMYFUNCTION("""COMPUTED_VALUE"""),20.15)</f>
        <v>20.149999999999999</v>
      </c>
      <c r="D45" s="12">
        <f ca="1">IFERROR(__xludf.DUMMYFUNCTION("""COMPUTED_VALUE"""),45.52)</f>
        <v>45.52</v>
      </c>
      <c r="E45" s="12">
        <f ca="1">IFERROR(__xludf.DUMMYFUNCTION("""COMPUTED_VALUE"""),24.75)</f>
        <v>24.75</v>
      </c>
      <c r="F45" s="14">
        <f ca="1">IFERROR(__xludf.DUMMYFUNCTION("""COMPUTED_VALUE"""),0.185858585858585)</f>
        <v>0.185858585858585</v>
      </c>
      <c r="G45" s="12">
        <f ca="1">IFERROR(__xludf.DUMMYFUNCTION("""COMPUTED_VALUE"""),12.11)</f>
        <v>12.11</v>
      </c>
      <c r="H45" s="14">
        <f ca="1">IFERROR(__xludf.DUMMYFUNCTION("""COMPUTED_VALUE"""),0.663914120561519)</f>
        <v>0.66391412056151899</v>
      </c>
      <c r="I45" s="12">
        <f ca="1">IFERROR(__xludf.DUMMYFUNCTION("""COMPUTED_VALUE"""),19.9)</f>
        <v>19.899999999999999</v>
      </c>
      <c r="J45" s="14">
        <f ca="1">IFERROR(__xludf.DUMMYFUNCTION("""COMPUTED_VALUE"""),0.0125628140703517)</f>
        <v>1.25628140703517E-2</v>
      </c>
      <c r="K45" s="12" t="str">
        <f ca="1"/>
        <v>Bank</v>
      </c>
      <c r="L45" s="12" t="str">
        <f ca="1"/>
        <v>BOM:532648</v>
      </c>
      <c r="M45" s="12" t="str">
        <f ca="1"/>
        <v>No</v>
      </c>
      <c r="N45" s="12" t="str">
        <f ca="1"/>
        <v>No</v>
      </c>
      <c r="O45" s="12" t="str">
        <f ca="1"/>
        <v>Good Stock</v>
      </c>
      <c r="P45" s="12" t="str">
        <f ca="1"/>
        <v>Large Cap</v>
      </c>
    </row>
    <row r="46" spans="1:16" ht="13.2">
      <c r="A46" s="12" t="str">
        <f ca="1">IFERROR(__xludf.DUMMYFUNCTION("""COMPUTED_VALUE"""),"Berger Paint")</f>
        <v>Berger Paint</v>
      </c>
      <c r="B46" s="13">
        <f ca="1">IFERROR(__xludf.DUMMYFUNCTION("""COMPUTED_VALUE"""),54643.2617004)</f>
        <v>54643.261700399999</v>
      </c>
      <c r="C46" s="12">
        <f ca="1">IFERROR(__xludf.DUMMYFUNCTION("""COMPUTED_VALUE"""),564)</f>
        <v>564</v>
      </c>
      <c r="D46" s="12">
        <f ca="1">IFERROR(__xludf.DUMMYFUNCTION("""COMPUTED_VALUE"""),57.95)</f>
        <v>57.95</v>
      </c>
      <c r="E46" s="12">
        <f ca="1">IFERROR(__xludf.DUMMYFUNCTION("""COMPUTED_VALUE"""),793.05)</f>
        <v>793.05</v>
      </c>
      <c r="F46" s="14">
        <f ca="1">IFERROR(__xludf.DUMMYFUNCTION("""COMPUTED_VALUE"""),0.28882163797995)</f>
        <v>0.28882163797994997</v>
      </c>
      <c r="G46" s="12">
        <f ca="1">IFERROR(__xludf.DUMMYFUNCTION("""COMPUTED_VALUE"""),543.6)</f>
        <v>543.6</v>
      </c>
      <c r="H46" s="14">
        <f ca="1">IFERROR(__xludf.DUMMYFUNCTION("""COMPUTED_VALUE"""),0.0375275938189845)</f>
        <v>3.7527593818984503E-2</v>
      </c>
      <c r="I46" s="12">
        <f ca="1">IFERROR(__xludf.DUMMYFUNCTION("""COMPUTED_VALUE"""),561.95)</f>
        <v>561.95000000000005</v>
      </c>
      <c r="J46" s="14">
        <f ca="1">IFERROR(__xludf.DUMMYFUNCTION("""COMPUTED_VALUE"""),0.00364801138891352)</f>
        <v>3.6480113889135199E-3</v>
      </c>
      <c r="K46" s="12" t="str">
        <f ca="1"/>
        <v>Paint</v>
      </c>
      <c r="L46" s="12" t="str">
        <f ca="1"/>
        <v>BERGEPAINT</v>
      </c>
      <c r="M46" s="12" t="str">
        <f ca="1"/>
        <v>No</v>
      </c>
      <c r="N46" s="12" t="str">
        <f ca="1"/>
        <v>No</v>
      </c>
      <c r="O46" s="12" t="str">
        <f ca="1"/>
        <v>Good Stock</v>
      </c>
      <c r="P46" s="12" t="str">
        <f ca="1"/>
        <v>Large Cap</v>
      </c>
    </row>
    <row r="47" spans="1:16" ht="13.2">
      <c r="A47" s="12" t="str">
        <f ca="1">IFERROR(__xludf.DUMMYFUNCTION("""COMPUTED_VALUE"""),"Hero Motocorp")</f>
        <v>Hero Motocorp</v>
      </c>
      <c r="B47" s="13">
        <f ca="1">IFERROR(__xludf.DUMMYFUNCTION("""COMPUTED_VALUE"""),54522.74)</f>
        <v>54522.74</v>
      </c>
      <c r="C47" s="12">
        <f ca="1">IFERROR(__xludf.DUMMYFUNCTION("""COMPUTED_VALUE"""),2732)</f>
        <v>2732</v>
      </c>
      <c r="D47" s="12">
        <f ca="1">IFERROR(__xludf.DUMMYFUNCTION("""COMPUTED_VALUE"""),21.06)</f>
        <v>21.06</v>
      </c>
      <c r="E47" s="12">
        <f ca="1">IFERROR(__xludf.DUMMYFUNCTION("""COMPUTED_VALUE"""),2938.6)</f>
        <v>2938.6</v>
      </c>
      <c r="F47" s="14">
        <f ca="1">IFERROR(__xludf.DUMMYFUNCTION("""COMPUTED_VALUE"""),0.0703055876948206)</f>
        <v>7.0305587694820607E-2</v>
      </c>
      <c r="G47" s="12">
        <f ca="1">IFERROR(__xludf.DUMMYFUNCTION("""COMPUTED_VALUE"""),2146.85)</f>
        <v>2146.85</v>
      </c>
      <c r="H47" s="14">
        <f ca="1">IFERROR(__xludf.DUMMYFUNCTION("""COMPUTED_VALUE"""),0.272562125905396)</f>
        <v>0.27256212590539602</v>
      </c>
      <c r="I47" s="12">
        <f ca="1">IFERROR(__xludf.DUMMYFUNCTION("""COMPUTED_VALUE"""),2694.25)</f>
        <v>2694.25</v>
      </c>
      <c r="J47" s="14">
        <f ca="1">IFERROR(__xludf.DUMMYFUNCTION("""COMPUTED_VALUE"""),0.0140113204045652)</f>
        <v>1.40113204045652E-2</v>
      </c>
      <c r="K47" s="12" t="str">
        <f ca="1"/>
        <v>Automobile</v>
      </c>
      <c r="L47" s="12" t="str">
        <f ca="1"/>
        <v>HEROMOTOCO</v>
      </c>
      <c r="M47" s="12" t="str">
        <f ca="1"/>
        <v>No</v>
      </c>
      <c r="N47" s="12" t="str">
        <f ca="1"/>
        <v>No</v>
      </c>
      <c r="O47" s="12" t="str">
        <f ca="1"/>
        <v>Good Stock</v>
      </c>
      <c r="P47" s="12" t="str">
        <f ca="1"/>
        <v>Large Cap</v>
      </c>
    </row>
    <row r="48" spans="1:16" ht="13.2">
      <c r="A48" s="12" t="str">
        <f ca="1">IFERROR(__xludf.DUMMYFUNCTION("""COMPUTED_VALUE"""),"UPL")</f>
        <v>UPL</v>
      </c>
      <c r="B48" s="13">
        <f ca="1">IFERROR(__xludf.DUMMYFUNCTION("""COMPUTED_VALUE"""),53833.6605806)</f>
        <v>53833.660580600001</v>
      </c>
      <c r="C48" s="12">
        <f ca="1">IFERROR(__xludf.DUMMYFUNCTION("""COMPUTED_VALUE"""),718.45)</f>
        <v>718.45</v>
      </c>
      <c r="D48" s="12">
        <f ca="1">IFERROR(__xludf.DUMMYFUNCTION("""COMPUTED_VALUE"""),13.58)</f>
        <v>13.58</v>
      </c>
      <c r="E48" s="12">
        <f ca="1">IFERROR(__xludf.DUMMYFUNCTION("""COMPUTED_VALUE"""),848)</f>
        <v>848</v>
      </c>
      <c r="F48" s="14">
        <f ca="1">IFERROR(__xludf.DUMMYFUNCTION("""COMPUTED_VALUE"""),0.152771226415094)</f>
        <v>0.152771226415094</v>
      </c>
      <c r="G48" s="12">
        <f ca="1">IFERROR(__xludf.DUMMYFUNCTION("""COMPUTED_VALUE"""),607.8)</f>
        <v>607.79999999999995</v>
      </c>
      <c r="H48" s="14">
        <f ca="1">IFERROR(__xludf.DUMMYFUNCTION("""COMPUTED_VALUE"""),0.18205001645278)</f>
        <v>0.18205001645277999</v>
      </c>
      <c r="I48" s="12">
        <f ca="1">IFERROR(__xludf.DUMMYFUNCTION("""COMPUTED_VALUE"""),719.05)</f>
        <v>719.05</v>
      </c>
      <c r="J48" s="14">
        <f ca="1">IFERROR(__xludf.DUMMYFUNCTION("""COMPUTED_VALUE"""),-0.000834434323065028)</f>
        <v>-8.3443432306502796E-4</v>
      </c>
      <c r="K48" s="12" t="str">
        <f ca="1"/>
        <v>Agrochemical</v>
      </c>
      <c r="L48" s="12" t="str">
        <f ca="1"/>
        <v>BOM:512070</v>
      </c>
      <c r="M48" s="12" t="str">
        <f ca="1"/>
        <v>No</v>
      </c>
      <c r="N48" s="12" t="str">
        <f ca="1"/>
        <v>No</v>
      </c>
      <c r="O48" s="12" t="str">
        <f ca="1"/>
        <v>Good Stock</v>
      </c>
      <c r="P48" s="12" t="str">
        <f ca="1"/>
        <v>Large Cap</v>
      </c>
    </row>
    <row r="49" spans="1:16" ht="13.2">
      <c r="A49" s="12" t="str">
        <f ca="1">IFERROR(__xludf.DUMMYFUNCTION("""COMPUTED_VALUE"""),"Motherson Sumi")</f>
        <v>Motherson Sumi</v>
      </c>
      <c r="B49" s="13">
        <f ca="1">IFERROR(__xludf.DUMMYFUNCTION("""COMPUTED_VALUE"""),52280.0813339)</f>
        <v>52280.081333900001</v>
      </c>
      <c r="C49" s="12">
        <f ca="1">IFERROR(__xludf.DUMMYFUNCTION("""COMPUTED_VALUE"""),77.15)</f>
        <v>77.150000000000006</v>
      </c>
      <c r="D49" s="12">
        <f ca="1">IFERROR(__xludf.DUMMYFUNCTION("""COMPUTED_VALUE"""),67.22)</f>
        <v>67.22</v>
      </c>
      <c r="E49" s="12">
        <f ca="1">IFERROR(__xludf.DUMMYFUNCTION("""COMPUTED_VALUE"""),165.03)</f>
        <v>165.03</v>
      </c>
      <c r="F49" s="14">
        <f ca="1">IFERROR(__xludf.DUMMYFUNCTION("""COMPUTED_VALUE"""),0.532509240744107)</f>
        <v>0.53250924074410699</v>
      </c>
      <c r="G49" s="12">
        <f ca="1">IFERROR(__xludf.DUMMYFUNCTION("""COMPUTED_VALUE"""),61.85)</f>
        <v>61.85</v>
      </c>
      <c r="H49" s="14">
        <f ca="1">IFERROR(__xludf.DUMMYFUNCTION("""COMPUTED_VALUE"""),0.247372675828617)</f>
        <v>0.24737267582861699</v>
      </c>
      <c r="I49" s="12">
        <f ca="1">IFERROR(__xludf.DUMMYFUNCTION("""COMPUTED_VALUE"""),78.15)</f>
        <v>78.150000000000006</v>
      </c>
      <c r="J49" s="14">
        <f ca="1">IFERROR(__xludf.DUMMYFUNCTION("""COMPUTED_VALUE"""),-0.0127959053103007)</f>
        <v>-1.27959053103007E-2</v>
      </c>
      <c r="K49" s="12" t="str">
        <f ca="1"/>
        <v>Automobile Ancilliary</v>
      </c>
      <c r="L49" s="12" t="str">
        <f ca="1"/>
        <v>BOM:517334</v>
      </c>
      <c r="M49" s="12" t="str">
        <f ca="1"/>
        <v>No</v>
      </c>
      <c r="N49" s="12" t="str">
        <f ca="1"/>
        <v>No</v>
      </c>
      <c r="O49" s="12" t="str">
        <f ca="1"/>
        <v/>
      </c>
      <c r="P49" s="12" t="str">
        <f ca="1"/>
        <v>Large Cap</v>
      </c>
    </row>
    <row r="50" spans="1:16" ht="13.2">
      <c r="A50" s="12" t="str">
        <f ca="1">IFERROR(__xludf.DUMMYFUNCTION("""COMPUTED_VALUE"""),"IRCTC")</f>
        <v>IRCTC</v>
      </c>
      <c r="B50" s="13">
        <f ca="1">IFERROR(__xludf.DUMMYFUNCTION("""COMPUTED_VALUE"""),51348.0038553)</f>
        <v>51348.003855299998</v>
      </c>
      <c r="C50" s="12">
        <f ca="1">IFERROR(__xludf.DUMMYFUNCTION("""COMPUTED_VALUE"""),641)</f>
        <v>641</v>
      </c>
      <c r="D50" s="12">
        <f ca="1">IFERROR(__xludf.DUMMYFUNCTION("""COMPUTED_VALUE"""),57.32)</f>
        <v>57.32</v>
      </c>
      <c r="E50" s="12">
        <f ca="1">IFERROR(__xludf.DUMMYFUNCTION("""COMPUTED_VALUE"""),918.65)</f>
        <v>918.65</v>
      </c>
      <c r="F50" s="14">
        <f ca="1">IFERROR(__xludf.DUMMYFUNCTION("""COMPUTED_VALUE"""),0.302236978174495)</f>
        <v>0.30223697817449502</v>
      </c>
      <c r="G50" s="12">
        <f ca="1">IFERROR(__xludf.DUMMYFUNCTION("""COMPUTED_VALUE"""),557)</f>
        <v>557</v>
      </c>
      <c r="H50" s="14">
        <f ca="1">IFERROR(__xludf.DUMMYFUNCTION("""COMPUTED_VALUE"""),0.1508078994614)</f>
        <v>0.1508078994614</v>
      </c>
      <c r="I50" s="12">
        <f ca="1">IFERROR(__xludf.DUMMYFUNCTION("""COMPUTED_VALUE"""),640.65)</f>
        <v>640.65</v>
      </c>
      <c r="J50" s="14">
        <f ca="1">IFERROR(__xludf.DUMMYFUNCTION("""COMPUTED_VALUE"""),0.000546320143604187)</f>
        <v>5.4632014360418701E-4</v>
      </c>
      <c r="K50" s="12" t="str">
        <f ca="1"/>
        <v>Catering</v>
      </c>
      <c r="L50" s="12" t="str">
        <f ca="1"/>
        <v>IRCTC</v>
      </c>
      <c r="M50" s="12" t="str">
        <f ca="1"/>
        <v>No</v>
      </c>
      <c r="N50" s="12" t="str">
        <f ca="1"/>
        <v>No</v>
      </c>
      <c r="O50" s="12" t="str">
        <f ca="1"/>
        <v>Good Stock</v>
      </c>
      <c r="P50" s="12" t="str">
        <f ca="1"/>
        <v>Large Cap</v>
      </c>
    </row>
    <row r="51" spans="1:16" ht="13.2">
      <c r="A51" s="12" t="str">
        <f ca="1">IFERROR(__xludf.DUMMYFUNCTION("""COMPUTED_VALUE"""),"PI industries")</f>
        <v>PI industries</v>
      </c>
      <c r="B51" s="13">
        <f ca="1">IFERROR(__xludf.DUMMYFUNCTION("""COMPUTED_VALUE"""),49475.63474)</f>
        <v>49475.634740000001</v>
      </c>
      <c r="C51" s="12">
        <f ca="1">IFERROR(__xludf.DUMMYFUNCTION("""COMPUTED_VALUE"""),3262)</f>
        <v>3262</v>
      </c>
      <c r="D51" s="12">
        <f ca="1">IFERROR(__xludf.DUMMYFUNCTION("""COMPUTED_VALUE"""),48.33)</f>
        <v>48.33</v>
      </c>
      <c r="E51" s="12">
        <f ca="1">IFERROR(__xludf.DUMMYFUNCTION("""COMPUTED_VALUE"""),3698.45)</f>
        <v>3698.45</v>
      </c>
      <c r="F51" s="14">
        <f ca="1">IFERROR(__xludf.DUMMYFUNCTION("""COMPUTED_VALUE"""),0.118008895618434)</f>
        <v>0.118008895618434</v>
      </c>
      <c r="G51" s="12">
        <f ca="1">IFERROR(__xludf.DUMMYFUNCTION("""COMPUTED_VALUE"""),2333.55)</f>
        <v>2333.5500000000002</v>
      </c>
      <c r="H51" s="14">
        <f ca="1">IFERROR(__xludf.DUMMYFUNCTION("""COMPUTED_VALUE"""),0.39787019776735)</f>
        <v>0.39787019776735</v>
      </c>
      <c r="I51" s="12">
        <f ca="1">IFERROR(__xludf.DUMMYFUNCTION("""COMPUTED_VALUE"""),3292.65)</f>
        <v>3292.65</v>
      </c>
      <c r="J51" s="14">
        <f ca="1">IFERROR(__xludf.DUMMYFUNCTION("""COMPUTED_VALUE"""),-0.00930861160463459)</f>
        <v>-9.3086116046345903E-3</v>
      </c>
      <c r="K51" s="12" t="str">
        <f ca="1"/>
        <v>Agrochemical</v>
      </c>
      <c r="L51" s="12" t="str">
        <f ca="1"/>
        <v>PIIND</v>
      </c>
      <c r="M51" s="12" t="str">
        <f ca="1"/>
        <v>No</v>
      </c>
      <c r="N51" s="12" t="str">
        <f ca="1"/>
        <v>No</v>
      </c>
      <c r="O51" s="12" t="str">
        <f ca="1"/>
        <v>Good Stock</v>
      </c>
      <c r="P51" s="12" t="str">
        <f ca="1"/>
        <v>Large Cap</v>
      </c>
    </row>
    <row r="52" spans="1:16" ht="13.2">
      <c r="A52" s="12" t="str">
        <f ca="1">IFERROR(__xludf.DUMMYFUNCTION("""COMPUTED_VALUE"""),"Infoedge")</f>
        <v>Infoedge</v>
      </c>
      <c r="B52" s="13">
        <f ca="1">IFERROR(__xludf.DUMMYFUNCTION("""COMPUTED_VALUE"""),48135.11)</f>
        <v>48135.11</v>
      </c>
      <c r="C52" s="12">
        <f ca="1">IFERROR(__xludf.DUMMYFUNCTION("""COMPUTED_VALUE"""),3731.8)</f>
        <v>3731.8</v>
      </c>
      <c r="D52" s="12">
        <f ca="1">IFERROR(__xludf.DUMMYFUNCTION("""COMPUTED_VALUE"""),8.76)</f>
        <v>8.76</v>
      </c>
      <c r="E52" s="12">
        <f ca="1">IFERROR(__xludf.DUMMYFUNCTION("""COMPUTED_VALUE"""),5790)</f>
        <v>5790</v>
      </c>
      <c r="F52" s="14">
        <f ca="1">IFERROR(__xludf.DUMMYFUNCTION("""COMPUTED_VALUE"""),0.355474956822107)</f>
        <v>0.355474956822107</v>
      </c>
      <c r="G52" s="12">
        <f ca="1">IFERROR(__xludf.DUMMYFUNCTION("""COMPUTED_VALUE"""),3314)</f>
        <v>3314</v>
      </c>
      <c r="H52" s="14">
        <f ca="1">IFERROR(__xludf.DUMMYFUNCTION("""COMPUTED_VALUE"""),0.126071213035606)</f>
        <v>0.12607121303560601</v>
      </c>
      <c r="I52" s="12">
        <f ca="1">IFERROR(__xludf.DUMMYFUNCTION("""COMPUTED_VALUE"""),3719.3)</f>
        <v>3719.3</v>
      </c>
      <c r="J52" s="14">
        <f ca="1">IFERROR(__xludf.DUMMYFUNCTION("""COMPUTED_VALUE"""),0.00336084747129836)</f>
        <v>3.3608474712983599E-3</v>
      </c>
      <c r="K52" s="12" t="str">
        <f ca="1"/>
        <v>Technology</v>
      </c>
      <c r="L52" s="12" t="str">
        <f ca="1"/>
        <v>BOM:532777</v>
      </c>
      <c r="M52" s="12" t="str">
        <f ca="1"/>
        <v>No</v>
      </c>
      <c r="N52" s="12" t="str">
        <f ca="1"/>
        <v>No</v>
      </c>
      <c r="O52" s="12" t="str">
        <f ca="1"/>
        <v>Good Stock</v>
      </c>
      <c r="P52" s="12" t="str">
        <f ca="1"/>
        <v>Large Cap</v>
      </c>
    </row>
    <row r="53" spans="1:16" ht="13.2">
      <c r="A53" s="12" t="str">
        <f ca="1">IFERROR(__xludf.DUMMYFUNCTION("""COMPUTED_VALUE"""),"TVS")</f>
        <v>TVS</v>
      </c>
      <c r="B53" s="13">
        <f ca="1">IFERROR(__xludf.DUMMYFUNCTION("""COMPUTED_VALUE"""),47610.86)</f>
        <v>47610.86</v>
      </c>
      <c r="C53" s="12">
        <f ca="1">IFERROR(__xludf.DUMMYFUNCTION("""COMPUTED_VALUE"""),999.5)</f>
        <v>999.5</v>
      </c>
      <c r="D53" s="12">
        <f ca="1">IFERROR(__xludf.DUMMYFUNCTION("""COMPUTED_VALUE"""),39.03)</f>
        <v>39.03</v>
      </c>
      <c r="E53" s="12">
        <f ca="1">IFERROR(__xludf.DUMMYFUNCTION("""COMPUTED_VALUE"""),1177)</f>
        <v>1177</v>
      </c>
      <c r="F53" s="14">
        <f ca="1">IFERROR(__xludf.DUMMYFUNCTION("""COMPUTED_VALUE"""),0.150807136788445)</f>
        <v>0.15080713678844501</v>
      </c>
      <c r="G53" s="12">
        <f ca="1">IFERROR(__xludf.DUMMYFUNCTION("""COMPUTED_VALUE"""),513)</f>
        <v>513</v>
      </c>
      <c r="H53" s="14">
        <f ca="1">IFERROR(__xludf.DUMMYFUNCTION("""COMPUTED_VALUE"""),0.948343079922027)</f>
        <v>0.94834307992202704</v>
      </c>
      <c r="I53" s="12">
        <f ca="1">IFERROR(__xludf.DUMMYFUNCTION("""COMPUTED_VALUE"""),1005.2)</f>
        <v>1005.2</v>
      </c>
      <c r="J53" s="14">
        <f ca="1">IFERROR(__xludf.DUMMYFUNCTION("""COMPUTED_VALUE"""),-0.0056705133306805)</f>
        <v>-5.6705133306804998E-3</v>
      </c>
      <c r="K53" s="12" t="str">
        <f ca="1"/>
        <v>Automobile</v>
      </c>
      <c r="L53" s="12" t="str">
        <f ca="1"/>
        <v>BOM:532343</v>
      </c>
      <c r="M53" s="12" t="str">
        <f ca="1"/>
        <v>No</v>
      </c>
      <c r="N53" s="12" t="str">
        <f ca="1"/>
        <v>No</v>
      </c>
      <c r="O53" s="12" t="str">
        <f ca="1"/>
        <v>Good Stock</v>
      </c>
      <c r="P53" s="12" t="str">
        <f ca="1"/>
        <v>Large Cap</v>
      </c>
    </row>
    <row r="54" spans="1:16" ht="13.2">
      <c r="A54" s="12" t="str">
        <f ca="1">IFERROR(__xludf.DUMMYFUNCTION("""COMPUTED_VALUE"""),"Abbott India")</f>
        <v>Abbott India</v>
      </c>
      <c r="B54" s="13">
        <f ca="1">IFERROR(__xludf.DUMMYFUNCTION("""COMPUTED_VALUE"""),47348.12)</f>
        <v>47348.12</v>
      </c>
      <c r="C54" s="12">
        <f ca="1">IFERROR(__xludf.DUMMYFUNCTION("""COMPUTED_VALUE"""),22241)</f>
        <v>22241</v>
      </c>
      <c r="D54" s="12">
        <f ca="1">IFERROR(__xludf.DUMMYFUNCTION("""COMPUTED_VALUE"""),53.6)</f>
        <v>53.6</v>
      </c>
      <c r="E54" s="12">
        <f ca="1">IFERROR(__xludf.DUMMYFUNCTION("""COMPUTED_VALUE"""),22499)</f>
        <v>22499</v>
      </c>
      <c r="F54" s="14">
        <f ca="1">IFERROR(__xludf.DUMMYFUNCTION("""COMPUTED_VALUE"""),0.0114671763189475)</f>
        <v>1.1467176318947499E-2</v>
      </c>
      <c r="G54" s="12">
        <f ca="1">IFERROR(__xludf.DUMMYFUNCTION("""COMPUTED_VALUE"""),15514)</f>
        <v>15514</v>
      </c>
      <c r="H54" s="14">
        <f ca="1">IFERROR(__xludf.DUMMYFUNCTION("""COMPUTED_VALUE"""),0.433608353745004)</f>
        <v>0.433608353745004</v>
      </c>
      <c r="I54" s="12">
        <f ca="1">IFERROR(__xludf.DUMMYFUNCTION("""COMPUTED_VALUE"""),22162.55)</f>
        <v>22162.55</v>
      </c>
      <c r="J54" s="14">
        <f ca="1">IFERROR(__xludf.DUMMYFUNCTION("""COMPUTED_VALUE"""),0.00353975512745603)</f>
        <v>3.53975512745603E-3</v>
      </c>
      <c r="K54" s="12" t="str">
        <f ca="1"/>
        <v>Pharma</v>
      </c>
      <c r="L54" s="12" t="str">
        <f ca="1"/>
        <v>ABBOTINDIA</v>
      </c>
      <c r="M54" s="12" t="str">
        <f ca="1"/>
        <v>No</v>
      </c>
      <c r="N54" s="12" t="str">
        <f ca="1"/>
        <v>No</v>
      </c>
      <c r="O54" s="12" t="str">
        <f ca="1"/>
        <v>Good Stock</v>
      </c>
      <c r="P54" s="12" t="str">
        <f ca="1"/>
        <v>Large Cap</v>
      </c>
    </row>
    <row r="55" spans="1:16" ht="13.2">
      <c r="A55" s="12" t="str">
        <f ca="1">IFERROR(__xludf.DUMMYFUNCTION("""COMPUTED_VALUE"""),"HDFC AMC")</f>
        <v>HDFC AMC</v>
      </c>
      <c r="B55" s="13">
        <f ca="1">IFERROR(__xludf.DUMMYFUNCTION("""COMPUTED_VALUE"""),45934.43)</f>
        <v>45934.43</v>
      </c>
      <c r="C55" s="12">
        <f ca="1">IFERROR(__xludf.DUMMYFUNCTION("""COMPUTED_VALUE"""),2148)</f>
        <v>2148</v>
      </c>
      <c r="D55" s="12">
        <f ca="1">IFERROR(__xludf.DUMMYFUNCTION("""COMPUTED_VALUE"""),33.2)</f>
        <v>33.200000000000003</v>
      </c>
      <c r="E55" s="12">
        <f ca="1">IFERROR(__xludf.DUMMYFUNCTION("""COMPUTED_VALUE"""),2507.35)</f>
        <v>2507.35</v>
      </c>
      <c r="F55" s="14">
        <f ca="1">IFERROR(__xludf.DUMMYFUNCTION("""COMPUTED_VALUE"""),0.143318643189024)</f>
        <v>0.14331864318902399</v>
      </c>
      <c r="G55" s="12">
        <f ca="1">IFERROR(__xludf.DUMMYFUNCTION("""COMPUTED_VALUE"""),1690)</f>
        <v>1690</v>
      </c>
      <c r="H55" s="14">
        <f ca="1">IFERROR(__xludf.DUMMYFUNCTION("""COMPUTED_VALUE"""),0.271005917159763)</f>
        <v>0.27100591715976302</v>
      </c>
      <c r="I55" s="12">
        <f ca="1">IFERROR(__xludf.DUMMYFUNCTION("""COMPUTED_VALUE"""),2150.75)</f>
        <v>2150.75</v>
      </c>
      <c r="J55" s="14">
        <f ca="1">IFERROR(__xludf.DUMMYFUNCTION("""COMPUTED_VALUE"""),-0.00127862373590607)</f>
        <v>-1.27862373590607E-3</v>
      </c>
      <c r="K55" s="12" t="str">
        <f ca="1"/>
        <v>AMC</v>
      </c>
      <c r="L55" s="12" t="str">
        <f ca="1"/>
        <v>HDFCAMC</v>
      </c>
      <c r="M55" s="12" t="str">
        <f ca="1"/>
        <v>No</v>
      </c>
      <c r="N55" s="12" t="str">
        <f ca="1"/>
        <v>No</v>
      </c>
      <c r="O55" s="12" t="str">
        <f ca="1"/>
        <v>Good Stock</v>
      </c>
      <c r="P55" s="12" t="str">
        <f ca="1"/>
        <v>Large Cap</v>
      </c>
    </row>
    <row r="56" spans="1:16" ht="13.2">
      <c r="A56" s="12" t="str">
        <f ca="1">IFERROR(__xludf.DUMMYFUNCTION("""COMPUTED_VALUE"""),"P&amp;G Health")</f>
        <v>P&amp;G Health</v>
      </c>
      <c r="B56" s="13">
        <f ca="1">IFERROR(__xludf.DUMMYFUNCTION("""COMPUTED_VALUE"""),45155.21625)</f>
        <v>45155.216249999998</v>
      </c>
      <c r="C56" s="12">
        <f ca="1">IFERROR(__xludf.DUMMYFUNCTION("""COMPUTED_VALUE"""),13875)</f>
        <v>13875</v>
      </c>
      <c r="D56" s="12">
        <f ca="1">IFERROR(__xludf.DUMMYFUNCTION("""COMPUTED_VALUE"""),87.99)</f>
        <v>87.99</v>
      </c>
      <c r="E56" s="12">
        <f ca="1">IFERROR(__xludf.DUMMYFUNCTION("""COMPUTED_VALUE"""),16466.4)</f>
        <v>16466.400000000001</v>
      </c>
      <c r="F56" s="14">
        <f ca="1">IFERROR(__xludf.DUMMYFUNCTION("""COMPUTED_VALUE"""),0.157375018218918)</f>
        <v>0.157375018218918</v>
      </c>
      <c r="G56" s="12">
        <f ca="1">IFERROR(__xludf.DUMMYFUNCTION("""COMPUTED_VALUE"""),12751)</f>
        <v>12751</v>
      </c>
      <c r="H56" s="14">
        <f ca="1">IFERROR(__xludf.DUMMYFUNCTION("""COMPUTED_VALUE"""),0.088149949023606)</f>
        <v>8.8149949023605997E-2</v>
      </c>
      <c r="I56" s="12">
        <f ca="1">IFERROR(__xludf.DUMMYFUNCTION("""COMPUTED_VALUE"""),13925.15)</f>
        <v>13925.15</v>
      </c>
      <c r="J56" s="14">
        <f ca="1">IFERROR(__xludf.DUMMYFUNCTION("""COMPUTED_VALUE"""),-0.00360139747148143)</f>
        <v>-3.60139747148143E-3</v>
      </c>
      <c r="K56" s="12" t="str">
        <f ca="1"/>
        <v>Pharma</v>
      </c>
      <c r="L56" s="12" t="str">
        <f ca="1"/>
        <v>BOM:500459</v>
      </c>
      <c r="M56" s="12" t="str">
        <f ca="1"/>
        <v>No</v>
      </c>
      <c r="N56" s="12" t="str">
        <f ca="1"/>
        <v>No</v>
      </c>
      <c r="O56" s="12" t="str">
        <f ca="1"/>
        <v/>
      </c>
      <c r="P56" s="12" t="str">
        <f ca="1"/>
        <v>Large Cap</v>
      </c>
    </row>
    <row r="57" spans="1:16" ht="13.2">
      <c r="A57" s="12" t="str">
        <f ca="1">IFERROR(__xludf.DUMMYFUNCTION("""COMPUTED_VALUE"""),"Page Industries")</f>
        <v>Page Industries</v>
      </c>
      <c r="B57" s="13">
        <f ca="1">IFERROR(__xludf.DUMMYFUNCTION("""COMPUTED_VALUE"""),44894.62)</f>
        <v>44894.62</v>
      </c>
      <c r="C57" s="12">
        <f ca="1">IFERROR(__xludf.DUMMYFUNCTION("""COMPUTED_VALUE"""),40260)</f>
        <v>40260</v>
      </c>
      <c r="D57" s="12">
        <f ca="1">IFERROR(__xludf.DUMMYFUNCTION("""COMPUTED_VALUE"""),61.16)</f>
        <v>61.16</v>
      </c>
      <c r="E57" s="12">
        <f ca="1">IFERROR(__xludf.DUMMYFUNCTION("""COMPUTED_VALUE"""),54349.1)</f>
        <v>54349.1</v>
      </c>
      <c r="F57" s="14">
        <f ca="1">IFERROR(__xludf.DUMMYFUNCTION("""COMPUTED_VALUE"""),0.259233363569957)</f>
        <v>0.25923336356995702</v>
      </c>
      <c r="G57" s="12">
        <f ca="1">IFERROR(__xludf.DUMMYFUNCTION("""COMPUTED_VALUE"""),37825)</f>
        <v>37825</v>
      </c>
      <c r="H57" s="14">
        <f ca="1">IFERROR(__xludf.DUMMYFUNCTION("""COMPUTED_VALUE"""),0.0643754130865829)</f>
        <v>6.43754130865829E-2</v>
      </c>
      <c r="I57" s="12">
        <f ca="1">IFERROR(__xludf.DUMMYFUNCTION("""COMPUTED_VALUE"""),40639.05)</f>
        <v>40639.050000000003</v>
      </c>
      <c r="J57" s="14">
        <f ca="1">IFERROR(__xludf.DUMMYFUNCTION("""COMPUTED_VALUE"""),-0.0093272357498515)</f>
        <v>-9.3272357498515E-3</v>
      </c>
      <c r="K57" s="12" t="str">
        <f ca="1"/>
        <v>Textile</v>
      </c>
      <c r="L57" s="12" t="str">
        <f ca="1"/>
        <v>PAGEIND</v>
      </c>
      <c r="M57" s="12" t="str">
        <f ca="1"/>
        <v>No</v>
      </c>
      <c r="N57" s="12" t="str">
        <f ca="1"/>
        <v>No</v>
      </c>
      <c r="O57" s="12" t="str">
        <f ca="1"/>
        <v>Good Stock</v>
      </c>
      <c r="P57" s="12" t="str">
        <f ca="1"/>
        <v>Large Cap</v>
      </c>
    </row>
    <row r="58" spans="1:16" ht="13.2">
      <c r="A58" s="12" t="str">
        <f ca="1">IFERROR(__xludf.DUMMYFUNCTION("""COMPUTED_VALUE"""),"Balkrishna Industries")</f>
        <v>Balkrishna Industries</v>
      </c>
      <c r="B58" s="13">
        <f ca="1">IFERROR(__xludf.DUMMYFUNCTION("""COMPUTED_VALUE"""),43195.8704177)</f>
        <v>43195.870417700004</v>
      </c>
      <c r="C58" s="12">
        <f ca="1">IFERROR(__xludf.DUMMYFUNCTION("""COMPUTED_VALUE"""),2229)</f>
        <v>2229</v>
      </c>
      <c r="D58" s="12">
        <f ca="1">IFERROR(__xludf.DUMMYFUNCTION("""COMPUTED_VALUE"""),30.72)</f>
        <v>30.72</v>
      </c>
      <c r="E58" s="12">
        <f ca="1">IFERROR(__xludf.DUMMYFUNCTION("""COMPUTED_VALUE"""),2537.45)</f>
        <v>2537.4499999999998</v>
      </c>
      <c r="F58" s="14">
        <f ca="1">IFERROR(__xludf.DUMMYFUNCTION("""COMPUTED_VALUE"""),0.121559045498433)</f>
        <v>0.12155904549843299</v>
      </c>
      <c r="G58" s="12">
        <f ca="1">IFERROR(__xludf.DUMMYFUNCTION("""COMPUTED_VALUE"""),1690.55)</f>
        <v>1690.55</v>
      </c>
      <c r="H58" s="14">
        <f ca="1">IFERROR(__xludf.DUMMYFUNCTION("""COMPUTED_VALUE"""),0.318505811718079)</f>
        <v>0.31850581171807901</v>
      </c>
      <c r="I58" s="12">
        <f ca="1">IFERROR(__xludf.DUMMYFUNCTION("""COMPUTED_VALUE"""),2214.25)</f>
        <v>2214.25</v>
      </c>
      <c r="J58" s="14">
        <f ca="1">IFERROR(__xludf.DUMMYFUNCTION("""COMPUTED_VALUE"""),0.00666139776448007)</f>
        <v>6.6613977644800699E-3</v>
      </c>
      <c r="K58" s="12" t="str">
        <f ca="1"/>
        <v>Tyre</v>
      </c>
      <c r="L58" s="12" t="str">
        <f ca="1"/>
        <v>BALKRISIND</v>
      </c>
      <c r="M58" s="12" t="str">
        <f ca="1"/>
        <v>No</v>
      </c>
      <c r="N58" s="12" t="str">
        <f ca="1"/>
        <v>No</v>
      </c>
      <c r="O58" s="12" t="str">
        <f ca="1"/>
        <v>Good Stock</v>
      </c>
      <c r="P58" s="12" t="str">
        <f ca="1"/>
        <v>Large Cap</v>
      </c>
    </row>
    <row r="59" spans="1:16" ht="13.2">
      <c r="A59" s="12" t="str">
        <f ca="1">IFERROR(__xludf.DUMMYFUNCTION("""COMPUTED_VALUE"""),"United Breweries")</f>
        <v>United Breweries</v>
      </c>
      <c r="B59" s="13">
        <f ca="1">IFERROR(__xludf.DUMMYFUNCTION("""COMPUTED_VALUE"""),42833.63)</f>
        <v>42833.63</v>
      </c>
      <c r="C59" s="12">
        <f ca="1">IFERROR(__xludf.DUMMYFUNCTION("""COMPUTED_VALUE"""),1625)</f>
        <v>1625</v>
      </c>
      <c r="D59" s="12">
        <f ca="1">IFERROR(__xludf.DUMMYFUNCTION("""COMPUTED_VALUE"""),78.07)</f>
        <v>78.069999999999993</v>
      </c>
      <c r="E59" s="12">
        <f ca="1">IFERROR(__xludf.DUMMYFUNCTION("""COMPUTED_VALUE"""),1806.45)</f>
        <v>1806.45</v>
      </c>
      <c r="F59" s="14">
        <f ca="1">IFERROR(__xludf.DUMMYFUNCTION("""COMPUTED_VALUE"""),0.100445625397879)</f>
        <v>0.100445625397879</v>
      </c>
      <c r="G59" s="12">
        <f ca="1">IFERROR(__xludf.DUMMYFUNCTION("""COMPUTED_VALUE"""),1274.5)</f>
        <v>1274.5</v>
      </c>
      <c r="H59" s="14">
        <f ca="1">IFERROR(__xludf.DUMMYFUNCTION("""COMPUTED_VALUE"""),0.275009807767752)</f>
        <v>0.27500980776775202</v>
      </c>
      <c r="I59" s="12">
        <f ca="1">IFERROR(__xludf.DUMMYFUNCTION("""COMPUTED_VALUE"""),1644.15)</f>
        <v>1644.15</v>
      </c>
      <c r="J59" s="14">
        <f ca="1">IFERROR(__xludf.DUMMYFUNCTION("""COMPUTED_VALUE"""),-0.0116473557765411)</f>
        <v>-1.16473557765411E-2</v>
      </c>
      <c r="K59" s="12" t="str">
        <f ca="1"/>
        <v>Spirits</v>
      </c>
      <c r="L59" s="12" t="str">
        <f ca="1"/>
        <v>UBL</v>
      </c>
      <c r="M59" s="12" t="str">
        <f ca="1"/>
        <v>No</v>
      </c>
      <c r="N59" s="12" t="str">
        <f ca="1"/>
        <v>No</v>
      </c>
      <c r="O59" s="12" t="str">
        <f ca="1"/>
        <v/>
      </c>
      <c r="P59" s="12" t="str">
        <f ca="1"/>
        <v>Large Cap</v>
      </c>
    </row>
    <row r="60" spans="1:16" ht="13.2">
      <c r="A60" s="12" t="str">
        <f ca="1">IFERROR(__xludf.DUMMYFUNCTION("""COMPUTED_VALUE"""),"Muthoot Finance")</f>
        <v>Muthoot Finance</v>
      </c>
      <c r="B60" s="13">
        <f ca="1">IFERROR(__xludf.DUMMYFUNCTION("""COMPUTED_VALUE"""),42774.19916)</f>
        <v>42774.199159999996</v>
      </c>
      <c r="C60" s="12">
        <f ca="1">IFERROR(__xludf.DUMMYFUNCTION("""COMPUTED_VALUE"""),1065.5)</f>
        <v>1065.5</v>
      </c>
      <c r="D60" s="12">
        <f ca="1">IFERROR(__xludf.DUMMYFUNCTION("""COMPUTED_VALUE"""),11.41)</f>
        <v>11.41</v>
      </c>
      <c r="E60" s="12">
        <f ca="1">IFERROR(__xludf.DUMMYFUNCTION("""COMPUTED_VALUE"""),1526.4)</f>
        <v>1526.4</v>
      </c>
      <c r="F60" s="14">
        <f ca="1">IFERROR(__xludf.DUMMYFUNCTION("""COMPUTED_VALUE"""),0.301952306079664)</f>
        <v>0.301952306079664</v>
      </c>
      <c r="G60" s="12">
        <f ca="1">IFERROR(__xludf.DUMMYFUNCTION("""COMPUTED_VALUE"""),950.2)</f>
        <v>950.2</v>
      </c>
      <c r="H60" s="14">
        <f ca="1">IFERROR(__xludf.DUMMYFUNCTION("""COMPUTED_VALUE"""),0.121342875184171)</f>
        <v>0.121342875184171</v>
      </c>
      <c r="I60" s="12">
        <f ca="1">IFERROR(__xludf.DUMMYFUNCTION("""COMPUTED_VALUE"""),1063.3)</f>
        <v>1063.3</v>
      </c>
      <c r="J60" s="14">
        <f ca="1">IFERROR(__xludf.DUMMYFUNCTION("""COMPUTED_VALUE"""),0.00206903037712785)</f>
        <v>2.0690303771278501E-3</v>
      </c>
      <c r="K60" s="12" t="str">
        <f ca="1"/>
        <v>NBFC</v>
      </c>
      <c r="L60" s="12" t="str">
        <f ca="1"/>
        <v>MUTHOOTFIN</v>
      </c>
      <c r="M60" s="12" t="str">
        <f ca="1"/>
        <v>No</v>
      </c>
      <c r="N60" s="12" t="str">
        <f ca="1"/>
        <v>No</v>
      </c>
      <c r="O60" s="12" t="str">
        <f ca="1"/>
        <v>Good Stock</v>
      </c>
      <c r="P60" s="12" t="str">
        <f ca="1"/>
        <v>Large Cap</v>
      </c>
    </row>
    <row r="61" spans="1:16" ht="13.2">
      <c r="A61" s="12" t="str">
        <f ca="1">IFERROR(__xludf.DUMMYFUNCTION("""COMPUTED_VALUE"""),"AU Small Finance")</f>
        <v>AU Small Finance</v>
      </c>
      <c r="B61" s="13">
        <f ca="1">IFERROR(__xludf.DUMMYFUNCTION("""COMPUTED_VALUE"""),41307.1280064)</f>
        <v>41307.128006400002</v>
      </c>
      <c r="C61" s="12">
        <f ca="1">IFERROR(__xludf.DUMMYFUNCTION("""COMPUTED_VALUE"""),619)</f>
        <v>619</v>
      </c>
      <c r="D61" s="12">
        <f ca="1">IFERROR(__xludf.DUMMYFUNCTION("""COMPUTED_VALUE"""),31.44)</f>
        <v>31.44</v>
      </c>
      <c r="E61" s="12">
        <f ca="1">IFERROR(__xludf.DUMMYFUNCTION("""COMPUTED_VALUE"""),732.98)</f>
        <v>732.98</v>
      </c>
      <c r="F61" s="14">
        <f ca="1">IFERROR(__xludf.DUMMYFUNCTION("""COMPUTED_VALUE"""),0.155502196512865)</f>
        <v>0.15550219651286501</v>
      </c>
      <c r="G61" s="12">
        <f ca="1">IFERROR(__xludf.DUMMYFUNCTION("""COMPUTED_VALUE"""),525)</f>
        <v>525</v>
      </c>
      <c r="H61" s="14">
        <f ca="1">IFERROR(__xludf.DUMMYFUNCTION("""COMPUTED_VALUE"""),0.179047619047619)</f>
        <v>0.17904761904761901</v>
      </c>
      <c r="I61" s="12">
        <f ca="1">IFERROR(__xludf.DUMMYFUNCTION("""COMPUTED_VALUE"""),628.15)</f>
        <v>628.15</v>
      </c>
      <c r="J61" s="14">
        <f ca="1">IFERROR(__xludf.DUMMYFUNCTION("""COMPUTED_VALUE"""),-0.0145665844145506)</f>
        <v>-1.4566584414550599E-2</v>
      </c>
      <c r="K61" s="12" t="str">
        <f ca="1"/>
        <v>Small Finance</v>
      </c>
      <c r="L61" s="12" t="str">
        <f ca="1"/>
        <v>AUBANK</v>
      </c>
      <c r="M61" s="12" t="str">
        <f ca="1"/>
        <v>No</v>
      </c>
      <c r="N61" s="12" t="str">
        <f ca="1"/>
        <v>No</v>
      </c>
      <c r="O61" s="12" t="str">
        <f ca="1"/>
        <v>Good Stock</v>
      </c>
      <c r="P61" s="12" t="str">
        <f ca="1"/>
        <v>Large Cap</v>
      </c>
    </row>
    <row r="62" spans="1:16" ht="13.2">
      <c r="A62" s="12" t="str">
        <f ca="1">IFERROR(__xludf.DUMMYFUNCTION("""COMPUTED_VALUE"""),"Astral Poly Technic")</f>
        <v>Astral Poly Technic</v>
      </c>
      <c r="B62" s="13">
        <f ca="1">IFERROR(__xludf.DUMMYFUNCTION("""COMPUTED_VALUE"""),41248.67)</f>
        <v>41248.67</v>
      </c>
      <c r="C62" s="12">
        <f ca="1">IFERROR(__xludf.DUMMYFUNCTION("""COMPUTED_VALUE"""),2046.5)</f>
        <v>2046.5</v>
      </c>
      <c r="D62" s="12">
        <f ca="1">IFERROR(__xludf.DUMMYFUNCTION("""COMPUTED_VALUE"""),96.08)</f>
        <v>96.08</v>
      </c>
      <c r="E62" s="12">
        <f ca="1">IFERROR(__xludf.DUMMYFUNCTION("""COMPUTED_VALUE"""),2654.8)</f>
        <v>2654.8</v>
      </c>
      <c r="F62" s="14">
        <f ca="1">IFERROR(__xludf.DUMMYFUNCTION("""COMPUTED_VALUE"""),0.229132138014163)</f>
        <v>0.22913213801416299</v>
      </c>
      <c r="G62" s="12">
        <f ca="1">IFERROR(__xludf.DUMMYFUNCTION("""COMPUTED_VALUE"""),1581.55)</f>
        <v>1581.55</v>
      </c>
      <c r="H62" s="14">
        <f ca="1">IFERROR(__xludf.DUMMYFUNCTION("""COMPUTED_VALUE"""),0.293983750118554)</f>
        <v>0.29398375011855399</v>
      </c>
      <c r="I62" s="12">
        <f ca="1">IFERROR(__xludf.DUMMYFUNCTION("""COMPUTED_VALUE"""),2063.75)</f>
        <v>2063.75</v>
      </c>
      <c r="J62" s="14">
        <f ca="1">IFERROR(__xludf.DUMMYFUNCTION("""COMPUTED_VALUE"""),-0.00835857056329497)</f>
        <v>-8.3585705632949706E-3</v>
      </c>
      <c r="K62" s="12" t="str">
        <f ca="1"/>
        <v>Piping</v>
      </c>
      <c r="L62" s="12" t="str">
        <f ca="1"/>
        <v>ASTRAL</v>
      </c>
      <c r="M62" s="12" t="str">
        <f ca="1"/>
        <v>No</v>
      </c>
      <c r="N62" s="12" t="str">
        <f ca="1"/>
        <v>No</v>
      </c>
      <c r="O62" s="12" t="str">
        <f ca="1"/>
        <v/>
      </c>
      <c r="P62" s="12" t="str">
        <f ca="1"/>
        <v>Large Cap</v>
      </c>
    </row>
    <row r="63" spans="1:16" ht="13.2">
      <c r="A63" s="12" t="str">
        <f ca="1">IFERROR(__xludf.DUMMYFUNCTION("""COMPUTED_VALUE"""),"Polycab")</f>
        <v>Polycab</v>
      </c>
      <c r="B63" s="13">
        <f ca="1">IFERROR(__xludf.DUMMYFUNCTION("""COMPUTED_VALUE"""),39945.4022299)</f>
        <v>39945.402229899999</v>
      </c>
      <c r="C63" s="12">
        <f ca="1">IFERROR(__xludf.DUMMYFUNCTION("""COMPUTED_VALUE"""),2662)</f>
        <v>2662</v>
      </c>
      <c r="D63" s="12">
        <f ca="1">IFERROR(__xludf.DUMMYFUNCTION("""COMPUTED_VALUE"""),35.5)</f>
        <v>35.5</v>
      </c>
      <c r="E63" s="12">
        <f ca="1">IFERROR(__xludf.DUMMYFUNCTION("""COMPUTED_VALUE"""),3025)</f>
        <v>3025</v>
      </c>
      <c r="F63" s="14">
        <f ca="1">IFERROR(__xludf.DUMMYFUNCTION("""COMPUTED_VALUE"""),0.12)</f>
        <v>0.12</v>
      </c>
      <c r="G63" s="12">
        <f ca="1">IFERROR(__xludf.DUMMYFUNCTION("""COMPUTED_VALUE"""),2043.85)</f>
        <v>2043.85</v>
      </c>
      <c r="H63" s="14">
        <f ca="1">IFERROR(__xludf.DUMMYFUNCTION("""COMPUTED_VALUE"""),0.302443917117205)</f>
        <v>0.30244391711720497</v>
      </c>
      <c r="I63" s="12">
        <f ca="1">IFERROR(__xludf.DUMMYFUNCTION("""COMPUTED_VALUE"""),2677.05)</f>
        <v>2677.05</v>
      </c>
      <c r="J63" s="14">
        <f ca="1">IFERROR(__xludf.DUMMYFUNCTION("""COMPUTED_VALUE"""),-0.00562185988308032)</f>
        <v>-5.6218598830803197E-3</v>
      </c>
      <c r="K63" s="12" t="str">
        <f ca="1"/>
        <v>Consumer Electrical</v>
      </c>
      <c r="L63" s="12" t="str">
        <f ca="1"/>
        <v>POLYCAB</v>
      </c>
      <c r="M63" s="12" t="str">
        <f ca="1"/>
        <v>No</v>
      </c>
      <c r="N63" s="12" t="str">
        <f ca="1"/>
        <v>No</v>
      </c>
      <c r="O63" s="12" t="str">
        <f ca="1"/>
        <v>Good Stock</v>
      </c>
      <c r="P63" s="12" t="str">
        <f ca="1"/>
        <v>Large Cap</v>
      </c>
    </row>
    <row r="64" spans="1:16" ht="13.2">
      <c r="A64" s="12" t="str">
        <f ca="1">IFERROR(__xludf.DUMMYFUNCTION("""COMPUTED_VALUE"""),"Solar Industries")</f>
        <v>Solar Industries</v>
      </c>
      <c r="B64" s="13">
        <f ca="1">IFERROR(__xludf.DUMMYFUNCTION("""COMPUTED_VALUE"""),38859.14)</f>
        <v>38859.14</v>
      </c>
      <c r="C64" s="12">
        <f ca="1">IFERROR(__xludf.DUMMYFUNCTION("""COMPUTED_VALUE"""),4338)</f>
        <v>4338</v>
      </c>
      <c r="D64" s="12">
        <f ca="1">IFERROR(__xludf.DUMMYFUNCTION("""COMPUTED_VALUE"""),63.66)</f>
        <v>63.66</v>
      </c>
      <c r="E64" s="12">
        <f ca="1">IFERROR(__xludf.DUMMYFUNCTION("""COMPUTED_VALUE"""),4535.95)</f>
        <v>4535.95</v>
      </c>
      <c r="F64" s="14">
        <f ca="1">IFERROR(__xludf.DUMMYFUNCTION("""COMPUTED_VALUE"""),0.0436402517664435)</f>
        <v>4.3640251766443497E-2</v>
      </c>
      <c r="G64" s="12">
        <f ca="1">IFERROR(__xludf.DUMMYFUNCTION("""COMPUTED_VALUE"""),2160.05)</f>
        <v>2160.0500000000002</v>
      </c>
      <c r="H64" s="14">
        <f ca="1">IFERROR(__xludf.DUMMYFUNCTION("""COMPUTED_VALUE"""),1.00828684521191)</f>
        <v>1.00828684521191</v>
      </c>
      <c r="I64" s="12">
        <f ca="1">IFERROR(__xludf.DUMMYFUNCTION("""COMPUTED_VALUE"""),4340.15)</f>
        <v>4340.1499999999996</v>
      </c>
      <c r="J64" s="14">
        <f ca="1">IFERROR(__xludf.DUMMYFUNCTION("""COMPUTED_VALUE"""),-0.000495374583827664)</f>
        <v>-4.9537458382766398E-4</v>
      </c>
      <c r="K64" s="12" t="str">
        <f ca="1"/>
        <v>Defence</v>
      </c>
      <c r="L64" s="12" t="str">
        <f ca="1"/>
        <v>BOM:532725</v>
      </c>
      <c r="M64" s="12" t="str">
        <f ca="1"/>
        <v>No</v>
      </c>
      <c r="N64" s="12" t="str">
        <f ca="1"/>
        <v>No</v>
      </c>
      <c r="O64" s="12" t="str">
        <f ca="1"/>
        <v>Good Stock</v>
      </c>
      <c r="P64" s="12" t="str">
        <f ca="1"/>
        <v>Large Cap</v>
      </c>
    </row>
    <row r="65" spans="1:16" ht="13.2">
      <c r="A65" s="12" t="str">
        <f ca="1">IFERROR(__xludf.DUMMYFUNCTION("""COMPUTED_VALUE"""),"Tata Elxsi")</f>
        <v>Tata Elxsi</v>
      </c>
      <c r="B65" s="13">
        <f ca="1">IFERROR(__xludf.DUMMYFUNCTION("""COMPUTED_VALUE"""),38754.622389)</f>
        <v>38754.622388999996</v>
      </c>
      <c r="C65" s="12">
        <f ca="1">IFERROR(__xludf.DUMMYFUNCTION("""COMPUTED_VALUE"""),6223)</f>
        <v>6223</v>
      </c>
      <c r="D65" s="12">
        <f ca="1">IFERROR(__xludf.DUMMYFUNCTION("""COMPUTED_VALUE"""),57.85)</f>
        <v>57.85</v>
      </c>
      <c r="E65" s="12">
        <f ca="1">IFERROR(__xludf.DUMMYFUNCTION("""COMPUTED_VALUE"""),10760)</f>
        <v>10760</v>
      </c>
      <c r="F65" s="14">
        <f ca="1">IFERROR(__xludf.DUMMYFUNCTION("""COMPUTED_VALUE"""),0.421654275092936)</f>
        <v>0.42165427509293602</v>
      </c>
      <c r="G65" s="12">
        <f ca="1">IFERROR(__xludf.DUMMYFUNCTION("""COMPUTED_VALUE"""),5709.05)</f>
        <v>5709.05</v>
      </c>
      <c r="H65" s="14">
        <f ca="1">IFERROR(__xludf.DUMMYFUNCTION("""COMPUTED_VALUE"""),0.0900237342465033)</f>
        <v>9.0023734246503298E-2</v>
      </c>
      <c r="I65" s="12">
        <f ca="1">IFERROR(__xludf.DUMMYFUNCTION("""COMPUTED_VALUE"""),6196.65)</f>
        <v>6196.65</v>
      </c>
      <c r="J65" s="14">
        <f ca="1">IFERROR(__xludf.DUMMYFUNCTION("""COMPUTED_VALUE"""),0.00425229761241967)</f>
        <v>4.25229761241967E-3</v>
      </c>
      <c r="K65" s="12" t="str">
        <f ca="1"/>
        <v>IT-Software</v>
      </c>
      <c r="L65" s="12" t="str">
        <f ca="1"/>
        <v>TATAELXSI</v>
      </c>
      <c r="M65" s="12" t="str">
        <f ca="1"/>
        <v>No</v>
      </c>
      <c r="N65" s="12" t="str">
        <f ca="1"/>
        <v>No</v>
      </c>
      <c r="O65" s="12" t="str">
        <f ca="1"/>
        <v>Good Stock</v>
      </c>
      <c r="P65" s="12" t="str">
        <f ca="1"/>
        <v>Large Cap</v>
      </c>
    </row>
    <row r="66" spans="1:16" ht="13.2">
      <c r="A66" s="12" t="str">
        <f ca="1">IFERROR(__xludf.DUMMYFUNCTION("""COMPUTED_VALUE"""),"Mphasis")</f>
        <v>Mphasis</v>
      </c>
      <c r="B66" s="13">
        <f ca="1">IFERROR(__xludf.DUMMYFUNCTION("""COMPUTED_VALUE"""),38348.8672779)</f>
        <v>38348.867277899997</v>
      </c>
      <c r="C66" s="12">
        <f ca="1">IFERROR(__xludf.DUMMYFUNCTION("""COMPUTED_VALUE"""),2035.55)</f>
        <v>2035.55</v>
      </c>
      <c r="D66" s="12">
        <f ca="1">IFERROR(__xludf.DUMMYFUNCTION("""COMPUTED_VALUE"""),24.59)</f>
        <v>24.59</v>
      </c>
      <c r="E66" s="12">
        <f ca="1">IFERROR(__xludf.DUMMYFUNCTION("""COMPUTED_VALUE"""),3466.4)</f>
        <v>3466.4</v>
      </c>
      <c r="F66" s="14">
        <f ca="1">IFERROR(__xludf.DUMMYFUNCTION("""COMPUTED_VALUE"""),0.412776944380336)</f>
        <v>0.41277694438033602</v>
      </c>
      <c r="G66" s="12">
        <f ca="1">IFERROR(__xludf.DUMMYFUNCTION("""COMPUTED_VALUE"""),1897.35)</f>
        <v>1897.35</v>
      </c>
      <c r="H66" s="14">
        <f ca="1">IFERROR(__xludf.DUMMYFUNCTION("""COMPUTED_VALUE"""),0.0728384325506627)</f>
        <v>7.2838432550662705E-2</v>
      </c>
      <c r="I66" s="12">
        <f ca="1">IFERROR(__xludf.DUMMYFUNCTION("""COMPUTED_VALUE"""),2013.55)</f>
        <v>2013.55</v>
      </c>
      <c r="J66" s="14">
        <f ca="1">IFERROR(__xludf.DUMMYFUNCTION("""COMPUTED_VALUE"""),0.0109259765091505)</f>
        <v>1.09259765091505E-2</v>
      </c>
      <c r="K66" s="12" t="str">
        <f ca="1"/>
        <v>IT</v>
      </c>
      <c r="L66" s="12" t="str">
        <f ca="1"/>
        <v>BOM:526299</v>
      </c>
      <c r="M66" s="12" t="str">
        <f ca="1"/>
        <v>No</v>
      </c>
      <c r="N66" s="12" t="str">
        <f ca="1"/>
        <v>No</v>
      </c>
      <c r="O66" s="12" t="str">
        <f ca="1"/>
        <v>Good Stock</v>
      </c>
      <c r="P66" s="12" t="str">
        <f ca="1"/>
        <v>Large Cap</v>
      </c>
    </row>
    <row r="67" spans="1:16" ht="13.2">
      <c r="A67" s="12" t="str">
        <f ca="1">IFERROR(__xludf.DUMMYFUNCTION("""COMPUTED_VALUE"""),"Bandhan Bank")</f>
        <v>Bandhan Bank</v>
      </c>
      <c r="B67" s="13">
        <f ca="1">IFERROR(__xludf.DUMMYFUNCTION("""COMPUTED_VALUE"""),38329.8286)</f>
        <v>38329.828600000001</v>
      </c>
      <c r="C67" s="12">
        <f ca="1">IFERROR(__xludf.DUMMYFUNCTION("""COMPUTED_VALUE"""),237.75)</f>
        <v>237.75</v>
      </c>
      <c r="D67" s="12">
        <f ca="1">IFERROR(__xludf.DUMMYFUNCTION("""COMPUTED_VALUE"""),9.94)</f>
        <v>9.94</v>
      </c>
      <c r="E67" s="12">
        <f ca="1">IFERROR(__xludf.DUMMYFUNCTION("""COMPUTED_VALUE"""),349.55)</f>
        <v>349.55</v>
      </c>
      <c r="F67" s="14">
        <f ca="1">IFERROR(__xludf.DUMMYFUNCTION("""COMPUTED_VALUE"""),0.319839794020884)</f>
        <v>0.31983979402088403</v>
      </c>
      <c r="G67" s="12">
        <f ca="1">IFERROR(__xludf.DUMMYFUNCTION("""COMPUTED_VALUE"""),209.55)</f>
        <v>209.55</v>
      </c>
      <c r="H67" s="14">
        <f ca="1">IFERROR(__xludf.DUMMYFUNCTION("""COMPUTED_VALUE"""),0.134574087329992)</f>
        <v>0.13457408732999199</v>
      </c>
      <c r="I67" s="12">
        <f ca="1">IFERROR(__xludf.DUMMYFUNCTION("""COMPUTED_VALUE"""),239.25)</f>
        <v>239.25</v>
      </c>
      <c r="J67" s="14">
        <f ca="1">IFERROR(__xludf.DUMMYFUNCTION("""COMPUTED_VALUE"""),-0.00626959247648902)</f>
        <v>-6.2695924764890202E-3</v>
      </c>
      <c r="K67" s="12" t="str">
        <f ca="1"/>
        <v>Bank</v>
      </c>
      <c r="L67" s="12" t="str">
        <f ca="1"/>
        <v>BANDHANBNK</v>
      </c>
      <c r="M67" s="12" t="str">
        <f ca="1"/>
        <v>No</v>
      </c>
      <c r="N67" s="12" t="str">
        <f ca="1"/>
        <v>No</v>
      </c>
      <c r="O67" s="12" t="str">
        <f ca="1"/>
        <v>Good Stock</v>
      </c>
      <c r="P67" s="12" t="str">
        <f ca="1"/>
        <v>Large Cap</v>
      </c>
    </row>
    <row r="68" spans="1:16" ht="13.2">
      <c r="A68" s="12" t="str">
        <f ca="1">IFERROR(__xludf.DUMMYFUNCTION("""COMPUTED_VALUE"""),"MRF")</f>
        <v>MRF</v>
      </c>
      <c r="B68" s="13">
        <f ca="1">IFERROR(__xludf.DUMMYFUNCTION("""COMPUTED_VALUE"""),38048.54)</f>
        <v>38048.54</v>
      </c>
      <c r="C68" s="12">
        <f ca="1">IFERROR(__xludf.DUMMYFUNCTION("""COMPUTED_VALUE"""),89700)</f>
        <v>89700</v>
      </c>
      <c r="D68" s="12">
        <f ca="1">IFERROR(__xludf.DUMMYFUNCTION("""COMPUTED_VALUE"""),66.97)</f>
        <v>66.97</v>
      </c>
      <c r="E68" s="12">
        <f ca="1">IFERROR(__xludf.DUMMYFUNCTION("""COMPUTED_VALUE"""),95954.35)</f>
        <v>95954.35</v>
      </c>
      <c r="F68" s="14">
        <f ca="1">IFERROR(__xludf.DUMMYFUNCTION("""COMPUTED_VALUE"""),0.0651804738399041)</f>
        <v>6.5180473839904093E-2</v>
      </c>
      <c r="G68" s="12">
        <f ca="1">IFERROR(__xludf.DUMMYFUNCTION("""COMPUTED_VALUE"""),62944.5)</f>
        <v>62944.5</v>
      </c>
      <c r="H68" s="14">
        <f ca="1">IFERROR(__xludf.DUMMYFUNCTION("""COMPUTED_VALUE"""),0.425064938159807)</f>
        <v>0.425064938159807</v>
      </c>
      <c r="I68" s="12">
        <f ca="1">IFERROR(__xludf.DUMMYFUNCTION("""COMPUTED_VALUE"""),89498.35)</f>
        <v>89498.35</v>
      </c>
      <c r="J68" s="14">
        <f ca="1">IFERROR(__xludf.DUMMYFUNCTION("""COMPUTED_VALUE"""),0.00225311416355714)</f>
        <v>2.2531141635571401E-3</v>
      </c>
      <c r="K68" s="12" t="str">
        <f ca="1"/>
        <v>Tyre</v>
      </c>
      <c r="L68" s="12" t="str">
        <f ca="1"/>
        <v>BOM:500290</v>
      </c>
      <c r="M68" s="12" t="str">
        <f ca="1"/>
        <v>No</v>
      </c>
      <c r="N68" s="12" t="str">
        <f ca="1"/>
        <v>No</v>
      </c>
      <c r="O68" s="12" t="str">
        <f ca="1"/>
        <v/>
      </c>
      <c r="P68" s="12" t="str">
        <f ca="1"/>
        <v>Large Cap</v>
      </c>
    </row>
    <row r="69" spans="1:16" ht="13.2">
      <c r="A69" s="12" t="str">
        <f ca="1">IFERROR(__xludf.DUMMYFUNCTION("""COMPUTED_VALUE"""),"L&amp;T Technology")</f>
        <v>L&amp;T Technology</v>
      </c>
      <c r="B69" s="13">
        <f ca="1">IFERROR(__xludf.DUMMYFUNCTION("""COMPUTED_VALUE"""),36421.231513)</f>
        <v>36421.231512999999</v>
      </c>
      <c r="C69" s="12">
        <f ca="1">IFERROR(__xludf.DUMMYFUNCTION("""COMPUTED_VALUE"""),3446.95)</f>
        <v>3446.95</v>
      </c>
      <c r="D69" s="12">
        <f ca="1">IFERROR(__xludf.DUMMYFUNCTION("""COMPUTED_VALUE"""),34.13)</f>
        <v>34.130000000000003</v>
      </c>
      <c r="E69" s="12">
        <f ca="1">IFERROR(__xludf.DUMMYFUNCTION("""COMPUTED_VALUE"""),5714)</f>
        <v>5714</v>
      </c>
      <c r="F69" s="14">
        <f ca="1">IFERROR(__xludf.DUMMYFUNCTION("""COMPUTED_VALUE"""),0.396753587679384)</f>
        <v>0.39675358767938401</v>
      </c>
      <c r="G69" s="12">
        <f ca="1">IFERROR(__xludf.DUMMYFUNCTION("""COMPUTED_VALUE"""),2923.35)</f>
        <v>2923.35</v>
      </c>
      <c r="H69" s="14">
        <f ca="1">IFERROR(__xludf.DUMMYFUNCTION("""COMPUTED_VALUE"""),0.179109583183676)</f>
        <v>0.17910958318367601</v>
      </c>
      <c r="I69" s="12">
        <f ca="1">IFERROR(__xludf.DUMMYFUNCTION("""COMPUTED_VALUE"""),3640.5)</f>
        <v>3640.5</v>
      </c>
      <c r="J69" s="14">
        <f ca="1">IFERROR(__xludf.DUMMYFUNCTION("""COMPUTED_VALUE"""),-0.0531657739321522)</f>
        <v>-5.3165773932152202E-2</v>
      </c>
      <c r="K69" s="12" t="str">
        <f ca="1"/>
        <v>Technology</v>
      </c>
      <c r="L69" s="12" t="str">
        <f ca="1"/>
        <v>BOM:540115</v>
      </c>
      <c r="M69" s="12" t="str">
        <f ca="1"/>
        <v>No</v>
      </c>
      <c r="N69" s="12" t="str">
        <f ca="1"/>
        <v>No</v>
      </c>
      <c r="O69" s="12" t="str">
        <f ca="1"/>
        <v>Good Stock</v>
      </c>
      <c r="P69" s="12" t="str">
        <f ca="1"/>
        <v>Large Cap</v>
      </c>
    </row>
    <row r="70" spans="1:16" ht="13.2">
      <c r="A70" s="12" t="str">
        <f ca="1">IFERROR(__xludf.DUMMYFUNCTION("""COMPUTED_VALUE"""),"Honeywell Auto")</f>
        <v>Honeywell Auto</v>
      </c>
      <c r="B70" s="13">
        <f ca="1">IFERROR(__xludf.DUMMYFUNCTION("""COMPUTED_VALUE"""),35109.687833)</f>
        <v>35109.687833000004</v>
      </c>
      <c r="C70" s="12">
        <f ca="1">IFERROR(__xludf.DUMMYFUNCTION("""COMPUTED_VALUE"""),39710)</f>
        <v>39710</v>
      </c>
      <c r="D70" s="12">
        <f ca="1">IFERROR(__xludf.DUMMYFUNCTION("""COMPUTED_VALUE"""),91.84)</f>
        <v>91.84</v>
      </c>
      <c r="E70" s="12">
        <f ca="1">IFERROR(__xludf.DUMMYFUNCTION("""COMPUTED_VALUE"""),46397.7)</f>
        <v>46397.7</v>
      </c>
      <c r="F70" s="14">
        <f ca="1">IFERROR(__xludf.DUMMYFUNCTION("""COMPUTED_VALUE"""),0.144138610319045)</f>
        <v>0.14413861031904501</v>
      </c>
      <c r="G70" s="12">
        <f ca="1">IFERROR(__xludf.DUMMYFUNCTION("""COMPUTED_VALUE"""),30185.35)</f>
        <v>30185.35</v>
      </c>
      <c r="H70" s="14">
        <f ca="1">IFERROR(__xludf.DUMMYFUNCTION("""COMPUTED_VALUE"""),0.315538829266515)</f>
        <v>0.315538829266515</v>
      </c>
      <c r="I70" s="12">
        <f ca="1">IFERROR(__xludf.DUMMYFUNCTION("""COMPUTED_VALUE"""),39677.1)</f>
        <v>39677.1</v>
      </c>
      <c r="J70" s="14">
        <f ca="1">IFERROR(__xludf.DUMMYFUNCTION("""COMPUTED_VALUE"""),0.000829193665867753)</f>
        <v>8.2919366586775296E-4</v>
      </c>
      <c r="K70" s="12" t="str">
        <f ca="1"/>
        <v>Automobile Ancilliary</v>
      </c>
      <c r="L70" s="12" t="str">
        <f ca="1"/>
        <v>HONAUT</v>
      </c>
      <c r="M70" s="12" t="str">
        <f ca="1"/>
        <v>No</v>
      </c>
      <c r="N70" s="12" t="str">
        <f ca="1"/>
        <v>No</v>
      </c>
      <c r="O70" s="12" t="str">
        <f ca="1"/>
        <v/>
      </c>
      <c r="P70" s="12" t="str">
        <f ca="1"/>
        <v>Large Cap</v>
      </c>
    </row>
    <row r="71" spans="1:16" ht="13.2">
      <c r="A71" s="12" t="str">
        <f ca="1">IFERROR(__xludf.DUMMYFUNCTION("""COMPUTED_VALUE"""),"Jubilant FoodWorks")</f>
        <v>Jubilant FoodWorks</v>
      </c>
      <c r="B71" s="13">
        <f ca="1">IFERROR(__xludf.DUMMYFUNCTION("""COMPUTED_VALUE"""),32766.2786899)</f>
        <v>32766.278689899998</v>
      </c>
      <c r="C71" s="12">
        <f ca="1">IFERROR(__xludf.DUMMYFUNCTION("""COMPUTED_VALUE"""),498.25)</f>
        <v>498.25</v>
      </c>
      <c r="D71" s="12">
        <f ca="1">IFERROR(__xludf.DUMMYFUNCTION("""COMPUTED_VALUE"""),69.25)</f>
        <v>69.25</v>
      </c>
      <c r="E71" s="12">
        <f ca="1">IFERROR(__xludf.DUMMYFUNCTION("""COMPUTED_VALUE"""),806.4)</f>
        <v>806.4</v>
      </c>
      <c r="F71" s="14">
        <f ca="1">IFERROR(__xludf.DUMMYFUNCTION("""COMPUTED_VALUE"""),0.382130456349206)</f>
        <v>0.382130456349206</v>
      </c>
      <c r="G71" s="12">
        <f ca="1">IFERROR(__xludf.DUMMYFUNCTION("""COMPUTED_VALUE"""),451.2)</f>
        <v>451.2</v>
      </c>
      <c r="H71" s="14">
        <f ca="1">IFERROR(__xludf.DUMMYFUNCTION("""COMPUTED_VALUE"""),0.104277482269503)</f>
        <v>0.10427748226950299</v>
      </c>
      <c r="I71" s="12">
        <f ca="1">IFERROR(__xludf.DUMMYFUNCTION("""COMPUTED_VALUE"""),488.55)</f>
        <v>488.55</v>
      </c>
      <c r="J71" s="14">
        <f ca="1">IFERROR(__xludf.DUMMYFUNCTION("""COMPUTED_VALUE"""),0.0198546719885374)</f>
        <v>1.9854671988537399E-2</v>
      </c>
      <c r="K71" s="12" t="str">
        <f ca="1"/>
        <v>Food</v>
      </c>
      <c r="L71" s="12" t="str">
        <f ca="1"/>
        <v>JUBLFOOD</v>
      </c>
      <c r="M71" s="12" t="str">
        <f ca="1"/>
        <v>No</v>
      </c>
      <c r="N71" s="12" t="str">
        <f ca="1"/>
        <v>No</v>
      </c>
      <c r="O71" s="12" t="str">
        <f ca="1"/>
        <v/>
      </c>
      <c r="P71" s="12" t="str">
        <f ca="1"/>
        <v>Large Cap</v>
      </c>
    </row>
    <row r="72" spans="1:16" ht="13.2">
      <c r="A72" s="12" t="str">
        <f ca="1">IFERROR(__xludf.DUMMYFUNCTION("""COMPUTED_VALUE"""),"APL Apollo")</f>
        <v>APL Apollo</v>
      </c>
      <c r="B72" s="13">
        <f ca="1">IFERROR(__xludf.DUMMYFUNCTION("""COMPUTED_VALUE"""),31477.05)</f>
        <v>31477.05</v>
      </c>
      <c r="C72" s="12">
        <f ca="1">IFERROR(__xludf.DUMMYFUNCTION("""COMPUTED_VALUE"""),1136)</f>
        <v>1136</v>
      </c>
      <c r="D72" s="12">
        <f ca="1">IFERROR(__xludf.DUMMYFUNCTION("""COMPUTED_VALUE"""),54.9)</f>
        <v>54.9</v>
      </c>
      <c r="E72" s="12">
        <f ca="1">IFERROR(__xludf.DUMMYFUNCTION("""COMPUTED_VALUE"""),1193.85)</f>
        <v>1193.8499999999999</v>
      </c>
      <c r="F72" s="14">
        <f ca="1">IFERROR(__xludf.DUMMYFUNCTION("""COMPUTED_VALUE"""),0.048456673786489)</f>
        <v>4.8456673786488998E-2</v>
      </c>
      <c r="G72" s="12">
        <f ca="1">IFERROR(__xludf.DUMMYFUNCTION("""COMPUTED_VALUE"""),771)</f>
        <v>771</v>
      </c>
      <c r="H72" s="14">
        <f ca="1">IFERROR(__xludf.DUMMYFUNCTION("""COMPUTED_VALUE"""),0.473411154345006)</f>
        <v>0.47341115434500602</v>
      </c>
      <c r="I72" s="12">
        <f ca="1">IFERROR(__xludf.DUMMYFUNCTION("""COMPUTED_VALUE"""),1127.95)</f>
        <v>1127.95</v>
      </c>
      <c r="J72" s="14">
        <f ca="1">IFERROR(__xludf.DUMMYFUNCTION("""COMPUTED_VALUE"""),0.00713684117203772)</f>
        <v>7.1368411720377197E-3</v>
      </c>
      <c r="K72" s="12" t="str">
        <f ca="1"/>
        <v>Steel</v>
      </c>
      <c r="L72" s="12" t="str">
        <f ca="1"/>
        <v>BOM:533758</v>
      </c>
      <c r="M72" s="12" t="str">
        <f ca="1"/>
        <v>No</v>
      </c>
      <c r="N72" s="12" t="str">
        <f ca="1"/>
        <v>No</v>
      </c>
      <c r="O72" s="12" t="str">
        <f ca="1"/>
        <v>Good Stock</v>
      </c>
      <c r="P72" s="12" t="str">
        <f ca="1"/>
        <v>Large Cap</v>
      </c>
    </row>
    <row r="73" spans="1:16" ht="13.2">
      <c r="A73" s="12" t="str">
        <f ca="1">IFERROR(__xludf.DUMMYFUNCTION("""COMPUTED_VALUE"""),"Supreme Industries")</f>
        <v>Supreme Industries</v>
      </c>
      <c r="B73" s="13">
        <f ca="1">IFERROR(__xludf.DUMMYFUNCTION("""COMPUTED_VALUE"""),31369.92)</f>
        <v>31369.919999999998</v>
      </c>
      <c r="C73" s="12">
        <f ca="1">IFERROR(__xludf.DUMMYFUNCTION("""COMPUTED_VALUE"""),2461)</f>
        <v>2461</v>
      </c>
      <c r="D73" s="12">
        <f ca="1">IFERROR(__xludf.DUMMYFUNCTION("""COMPUTED_VALUE"""),36.12)</f>
        <v>36.119999999999997</v>
      </c>
      <c r="E73" s="12">
        <f ca="1">IFERROR(__xludf.DUMMYFUNCTION("""COMPUTED_VALUE"""),2607.65)</f>
        <v>2607.65</v>
      </c>
      <c r="F73" s="14">
        <f ca="1">IFERROR(__xludf.DUMMYFUNCTION("""COMPUTED_VALUE"""),0.0562383755488658)</f>
        <v>5.62383755488658E-2</v>
      </c>
      <c r="G73" s="12">
        <f ca="1">IFERROR(__xludf.DUMMYFUNCTION("""COMPUTED_VALUE"""),1666.25)</f>
        <v>1666.25</v>
      </c>
      <c r="H73" s="14">
        <f ca="1">IFERROR(__xludf.DUMMYFUNCTION("""COMPUTED_VALUE"""),0.476969242310577)</f>
        <v>0.47696924231057702</v>
      </c>
      <c r="I73" s="12">
        <f ca="1">IFERROR(__xludf.DUMMYFUNCTION("""COMPUTED_VALUE"""),2452.7)</f>
        <v>2452.6999999999998</v>
      </c>
      <c r="J73" s="14">
        <f ca="1">IFERROR(__xludf.DUMMYFUNCTION("""COMPUTED_VALUE"""),0.00338402576752158)</f>
        <v>3.3840257675215799E-3</v>
      </c>
      <c r="K73" s="12" t="str">
        <f ca="1"/>
        <v>Plastic</v>
      </c>
      <c r="L73" s="12" t="str">
        <f ca="1"/>
        <v>SUPREMEIND</v>
      </c>
      <c r="M73" s="12" t="str">
        <f ca="1"/>
        <v>No</v>
      </c>
      <c r="N73" s="12" t="str">
        <f ca="1"/>
        <v>No</v>
      </c>
      <c r="O73" s="12" t="str">
        <f ca="1"/>
        <v>Good Stock</v>
      </c>
      <c r="P73" s="12" t="str">
        <f ca="1"/>
        <v>Large Cap</v>
      </c>
    </row>
    <row r="74" spans="1:16" ht="13.2">
      <c r="A74" s="12" t="str">
        <f ca="1">IFERROR(__xludf.DUMMYFUNCTION("""COMPUTED_VALUE"""),"Gujarat Gas")</f>
        <v>Gujarat Gas</v>
      </c>
      <c r="B74" s="13">
        <f ca="1">IFERROR(__xludf.DUMMYFUNCTION("""COMPUTED_VALUE"""),31008.5328948)</f>
        <v>31008.532894799999</v>
      </c>
      <c r="C74" s="12">
        <f ca="1">IFERROR(__xludf.DUMMYFUNCTION("""COMPUTED_VALUE"""),450.2)</f>
        <v>450.2</v>
      </c>
      <c r="D74" s="12">
        <f ca="1">IFERROR(__xludf.DUMMYFUNCTION("""COMPUTED_VALUE"""),22.9)</f>
        <v>22.9</v>
      </c>
      <c r="E74" s="12">
        <f ca="1">IFERROR(__xludf.DUMMYFUNCTION("""COMPUTED_VALUE"""),721.8)</f>
        <v>721.8</v>
      </c>
      <c r="F74" s="14">
        <f ca="1">IFERROR(__xludf.DUMMYFUNCTION("""COMPUTED_VALUE"""),0.376281518426156)</f>
        <v>0.37628151842615598</v>
      </c>
      <c r="G74" s="12">
        <f ca="1">IFERROR(__xludf.DUMMYFUNCTION("""COMPUTED_VALUE"""),403.55)</f>
        <v>403.55</v>
      </c>
      <c r="H74" s="14">
        <f ca="1">IFERROR(__xludf.DUMMYFUNCTION("""COMPUTED_VALUE"""),0.11559905835708)</f>
        <v>0.11559905835708</v>
      </c>
      <c r="I74" s="12">
        <f ca="1">IFERROR(__xludf.DUMMYFUNCTION("""COMPUTED_VALUE"""),466.8)</f>
        <v>466.8</v>
      </c>
      <c r="J74" s="14">
        <f ca="1">IFERROR(__xludf.DUMMYFUNCTION("""COMPUTED_VALUE"""),-0.0355612682090831)</f>
        <v>-3.5561268209083098E-2</v>
      </c>
      <c r="K74" s="12" t="str">
        <f ca="1"/>
        <v>Utility</v>
      </c>
      <c r="L74" s="12" t="str">
        <f ca="1"/>
        <v>GUJGASLTD</v>
      </c>
      <c r="M74" s="12" t="str">
        <f ca="1"/>
        <v>No</v>
      </c>
      <c r="N74" s="12" t="str">
        <f ca="1"/>
        <v>No</v>
      </c>
      <c r="O74" s="12" t="str">
        <f ca="1"/>
        <v>Good Stock</v>
      </c>
      <c r="P74" s="12" t="str">
        <f ca="1"/>
        <v>Large Cap</v>
      </c>
    </row>
    <row r="75" spans="1:16" ht="13.2">
      <c r="A75" s="12" t="str">
        <f ca="1">IFERROR(__xludf.DUMMYFUNCTION("""COMPUTED_VALUE"""),"Gujarat Florochemical")</f>
        <v>Gujarat Florochemical</v>
      </c>
      <c r="B75" s="13">
        <f ca="1">IFERROR(__xludf.DUMMYFUNCTION("""COMPUTED_VALUE"""),30664.6275)</f>
        <v>30664.627499999999</v>
      </c>
      <c r="C75" s="12">
        <f ca="1">IFERROR(__xludf.DUMMYFUNCTION("""COMPUTED_VALUE"""),2793.5)</f>
        <v>2793.5</v>
      </c>
      <c r="D75" s="12">
        <f ca="1">IFERROR(__xludf.DUMMYFUNCTION("""COMPUTED_VALUE"""),28.23)</f>
        <v>28.23</v>
      </c>
      <c r="E75" s="12">
        <f ca="1">IFERROR(__xludf.DUMMYFUNCTION("""COMPUTED_VALUE"""),4172.95)</f>
        <v>4172.95</v>
      </c>
      <c r="F75" s="14">
        <f ca="1">IFERROR(__xludf.DUMMYFUNCTION("""COMPUTED_VALUE"""),0.330569501192202)</f>
        <v>0.33056950119220202</v>
      </c>
      <c r="G75" s="12">
        <f ca="1">IFERROR(__xludf.DUMMYFUNCTION("""COMPUTED_VALUE"""),2105.15)</f>
        <v>2105.15</v>
      </c>
      <c r="H75" s="14">
        <f ca="1">IFERROR(__xludf.DUMMYFUNCTION("""COMPUTED_VALUE"""),0.326983825380614)</f>
        <v>0.32698382538061399</v>
      </c>
      <c r="I75" s="12">
        <f ca="1">IFERROR(__xludf.DUMMYFUNCTION("""COMPUTED_VALUE"""),2841.6)</f>
        <v>2841.6</v>
      </c>
      <c r="J75" s="14">
        <f ca="1">IFERROR(__xludf.DUMMYFUNCTION("""COMPUTED_VALUE"""),-0.0169270833333333)</f>
        <v>-1.6927083333333301E-2</v>
      </c>
      <c r="K75" s="12" t="str">
        <f ca="1"/>
        <v>chemical</v>
      </c>
      <c r="L75" s="12" t="str">
        <f ca="1"/>
        <v>BOM:542812</v>
      </c>
      <c r="M75" s="12" t="str">
        <f ca="1"/>
        <v>No</v>
      </c>
      <c r="N75" s="12" t="str">
        <f ca="1"/>
        <v>No</v>
      </c>
      <c r="O75" s="12" t="str">
        <f ca="1"/>
        <v>Good Stock</v>
      </c>
      <c r="P75" s="12" t="str">
        <f ca="1"/>
        <v>Large Cap</v>
      </c>
    </row>
    <row r="76" spans="1:16" ht="13.2">
      <c r="A76" s="12" t="str">
        <f ca="1">IFERROR(__xludf.DUMMYFUNCTION("""COMPUTED_VALUE"""),"Persistent System")</f>
        <v>Persistent System</v>
      </c>
      <c r="B76" s="13">
        <f ca="1">IFERROR(__xludf.DUMMYFUNCTION("""COMPUTED_VALUE"""),30617.09)</f>
        <v>30617.09</v>
      </c>
      <c r="C76" s="12">
        <f ca="1">IFERROR(__xludf.DUMMYFUNCTION("""COMPUTED_VALUE"""),4009)</f>
        <v>4009</v>
      </c>
      <c r="D76" s="12">
        <f ca="1">IFERROR(__xludf.DUMMYFUNCTION("""COMPUTED_VALUE"""),37.59)</f>
        <v>37.590000000000003</v>
      </c>
      <c r="E76" s="12">
        <f ca="1">IFERROR(__xludf.DUMMYFUNCTION("""COMPUTED_VALUE"""),4954)</f>
        <v>4954</v>
      </c>
      <c r="F76" s="14">
        <f ca="1">IFERROR(__xludf.DUMMYFUNCTION("""COMPUTED_VALUE"""),0.190754945498587)</f>
        <v>0.19075494549858699</v>
      </c>
      <c r="G76" s="12">
        <f ca="1">IFERROR(__xludf.DUMMYFUNCTION("""COMPUTED_VALUE"""),3092.05)</f>
        <v>3092.05</v>
      </c>
      <c r="H76" s="14">
        <f ca="1">IFERROR(__xludf.DUMMYFUNCTION("""COMPUTED_VALUE"""),0.296550831972316)</f>
        <v>0.29655083197231602</v>
      </c>
      <c r="I76" s="12">
        <f ca="1">IFERROR(__xludf.DUMMYFUNCTION("""COMPUTED_VALUE"""),3978.2)</f>
        <v>3978.2</v>
      </c>
      <c r="J76" s="14">
        <f ca="1">IFERROR(__xludf.DUMMYFUNCTION("""COMPUTED_VALUE"""),0.00774219496254592)</f>
        <v>7.7421949625459197E-3</v>
      </c>
      <c r="K76" s="12" t="str">
        <f ca="1"/>
        <v>IT</v>
      </c>
      <c r="L76" s="12" t="str">
        <f ca="1"/>
        <v>PERSISTENT</v>
      </c>
      <c r="M76" s="12" t="str">
        <f ca="1"/>
        <v>No</v>
      </c>
      <c r="N76" s="12" t="str">
        <f ca="1"/>
        <v>No</v>
      </c>
      <c r="O76" s="12" t="str">
        <f ca="1"/>
        <v>Good Stock</v>
      </c>
      <c r="P76" s="12" t="str">
        <f ca="1"/>
        <v>Large Cap</v>
      </c>
    </row>
    <row r="77" spans="1:16" ht="13.2">
      <c r="A77" s="12" t="str">
        <f ca="1">IFERROR(__xludf.DUMMYFUNCTION("""COMPUTED_VALUE"""),"Federal Bank")</f>
        <v>Federal Bank</v>
      </c>
      <c r="B77" s="13">
        <f ca="1">IFERROR(__xludf.DUMMYFUNCTION("""COMPUTED_VALUE"""),29278.4915846)</f>
        <v>29278.4915846</v>
      </c>
      <c r="C77" s="12">
        <f ca="1">IFERROR(__xludf.DUMMYFUNCTION("""COMPUTED_VALUE"""),138.45)</f>
        <v>138.44999999999999</v>
      </c>
      <c r="D77" s="12">
        <f ca="1">IFERROR(__xludf.DUMMYFUNCTION("""COMPUTED_VALUE"""),11.78)</f>
        <v>11.78</v>
      </c>
      <c r="E77" s="12">
        <f ca="1">IFERROR(__xludf.DUMMYFUNCTION("""COMPUTED_VALUE"""),142.25)</f>
        <v>142.25</v>
      </c>
      <c r="F77" s="14">
        <f ca="1">IFERROR(__xludf.DUMMYFUNCTION("""COMPUTED_VALUE"""),0.0267135325131811)</f>
        <v>2.67135325131811E-2</v>
      </c>
      <c r="G77" s="12">
        <f ca="1">IFERROR(__xludf.DUMMYFUNCTION("""COMPUTED_VALUE"""),82.5)</f>
        <v>82.5</v>
      </c>
      <c r="H77" s="14">
        <f ca="1">IFERROR(__xludf.DUMMYFUNCTION("""COMPUTED_VALUE"""),0.678181818181818)</f>
        <v>0.678181818181818</v>
      </c>
      <c r="I77" s="12">
        <f ca="1">IFERROR(__xludf.DUMMYFUNCTION("""COMPUTED_VALUE"""),135.05)</f>
        <v>135.05000000000001</v>
      </c>
      <c r="J77" s="14">
        <f ca="1">IFERROR(__xludf.DUMMYFUNCTION("""COMPUTED_VALUE"""),0.0251758607922989)</f>
        <v>2.5175860792298901E-2</v>
      </c>
      <c r="K77" s="12" t="str">
        <f ca="1"/>
        <v>Bank</v>
      </c>
      <c r="L77" s="12" t="str">
        <f ca="1"/>
        <v>BOM:500469</v>
      </c>
      <c r="M77" s="12" t="str">
        <f ca="1"/>
        <v>No</v>
      </c>
      <c r="N77" s="12" t="str">
        <f ca="1"/>
        <v>No</v>
      </c>
      <c r="O77" s="12" t="str">
        <f ca="1"/>
        <v>Good Stock</v>
      </c>
      <c r="P77" s="12" t="str">
        <f ca="1"/>
        <v>Large Cap</v>
      </c>
    </row>
    <row r="78" spans="1:16" ht="13.2">
      <c r="A78" s="12" t="str">
        <f ca="1">IFERROR(__xludf.DUMMYFUNCTION("""COMPUTED_VALUE"""),"Indraprastha Gas")</f>
        <v>Indraprastha Gas</v>
      </c>
      <c r="B78" s="13">
        <f ca="1">IFERROR(__xludf.DUMMYFUNCTION("""COMPUTED_VALUE"""),29162.03)</f>
        <v>29162.03</v>
      </c>
      <c r="C78" s="12">
        <f ca="1">IFERROR(__xludf.DUMMYFUNCTION("""COMPUTED_VALUE"""),416.85)</f>
        <v>416.85</v>
      </c>
      <c r="D78" s="12">
        <f ca="1">IFERROR(__xludf.DUMMYFUNCTION("""COMPUTED_VALUE"""),17.03)</f>
        <v>17.03</v>
      </c>
      <c r="E78" s="12">
        <f ca="1">IFERROR(__xludf.DUMMYFUNCTION("""COMPUTED_VALUE"""),466.65)</f>
        <v>466.65</v>
      </c>
      <c r="F78" s="14">
        <f ca="1">IFERROR(__xludf.DUMMYFUNCTION("""COMPUTED_VALUE"""),0.106718097074895)</f>
        <v>0.106718097074895</v>
      </c>
      <c r="G78" s="12">
        <f ca="1">IFERROR(__xludf.DUMMYFUNCTION("""COMPUTED_VALUE"""),322.1)</f>
        <v>322.10000000000002</v>
      </c>
      <c r="H78" s="14">
        <f ca="1">IFERROR(__xludf.DUMMYFUNCTION("""COMPUTED_VALUE"""),0.294163303321949)</f>
        <v>0.29416330332194901</v>
      </c>
      <c r="I78" s="12">
        <f ca="1">IFERROR(__xludf.DUMMYFUNCTION("""COMPUTED_VALUE"""),418.6)</f>
        <v>418.6</v>
      </c>
      <c r="J78" s="14">
        <f ca="1">IFERROR(__xludf.DUMMYFUNCTION("""COMPUTED_VALUE"""),-0.00418060200668896)</f>
        <v>-4.1806020066889604E-3</v>
      </c>
      <c r="K78" s="12" t="str">
        <f ca="1"/>
        <v>Utility</v>
      </c>
      <c r="L78" s="12" t="str">
        <f ca="1"/>
        <v>BOM:532514</v>
      </c>
      <c r="M78" s="12" t="str">
        <f ca="1"/>
        <v>No</v>
      </c>
      <c r="N78" s="12" t="str">
        <f ca="1"/>
        <v>No</v>
      </c>
      <c r="O78" s="12" t="str">
        <f ca="1"/>
        <v>Good Stock</v>
      </c>
      <c r="P78" s="12" t="str">
        <f ca="1"/>
        <v>Large Cap</v>
      </c>
    </row>
    <row r="79" spans="1:16" ht="13.2">
      <c r="A79" s="12" t="str">
        <f ca="1">IFERROR(__xludf.DUMMYFUNCTION("""COMPUTED_VALUE"""),"Max Financials")</f>
        <v>Max Financials</v>
      </c>
      <c r="B79" s="13">
        <f ca="1">IFERROR(__xludf.DUMMYFUNCTION("""COMPUTED_VALUE"""),27569.4122639)</f>
        <v>27569.412263900002</v>
      </c>
      <c r="C79" s="12">
        <f ca="1">IFERROR(__xludf.DUMMYFUNCTION("""COMPUTED_VALUE"""),799.4)</f>
        <v>799.4</v>
      </c>
      <c r="D79" s="12">
        <f ca="1">IFERROR(__xludf.DUMMYFUNCTION("""COMPUTED_VALUE"""),88.04)</f>
        <v>88.04</v>
      </c>
      <c r="E79" s="12">
        <f ca="1">IFERROR(__xludf.DUMMYFUNCTION("""COMPUTED_VALUE"""),1065)</f>
        <v>1065</v>
      </c>
      <c r="F79" s="14">
        <f ca="1">IFERROR(__xludf.DUMMYFUNCTION("""COMPUTED_VALUE"""),0.249389671361502)</f>
        <v>0.249389671361502</v>
      </c>
      <c r="G79" s="12">
        <f ca="1">IFERROR(__xludf.DUMMYFUNCTION("""COMPUTED_VALUE"""),627.8)</f>
        <v>627.79999999999995</v>
      </c>
      <c r="H79" s="14">
        <f ca="1">IFERROR(__xludf.DUMMYFUNCTION("""COMPUTED_VALUE"""),0.273335457151959)</f>
        <v>0.273335457151959</v>
      </c>
      <c r="I79" s="12">
        <f ca="1">IFERROR(__xludf.DUMMYFUNCTION("""COMPUTED_VALUE"""),796.25)</f>
        <v>796.25</v>
      </c>
      <c r="J79" s="14">
        <f ca="1">IFERROR(__xludf.DUMMYFUNCTION("""COMPUTED_VALUE"""),0.00395604395604392)</f>
        <v>3.9560439560439196E-3</v>
      </c>
      <c r="K79" s="12" t="str">
        <f ca="1"/>
        <v>Financial Servcies</v>
      </c>
      <c r="L79" s="12" t="str">
        <f ca="1"/>
        <v>BOM:500271</v>
      </c>
      <c r="M79" s="12" t="str">
        <f ca="1"/>
        <v>No</v>
      </c>
      <c r="N79" s="12" t="str">
        <f ca="1"/>
        <v>No</v>
      </c>
      <c r="O79" s="12" t="str">
        <f ca="1"/>
        <v/>
      </c>
      <c r="P79" s="12" t="str">
        <f ca="1"/>
        <v>Medium Cap</v>
      </c>
    </row>
    <row r="80" spans="1:16" ht="13.2">
      <c r="A80" s="12" t="str">
        <f ca="1">IFERROR(__xludf.DUMMYFUNCTION("""COMPUTED_VALUE"""),"Voltas")</f>
        <v>Voltas</v>
      </c>
      <c r="B80" s="13">
        <f ca="1">IFERROR(__xludf.DUMMYFUNCTION("""COMPUTED_VALUE"""),26702.2965179)</f>
        <v>26702.296517899998</v>
      </c>
      <c r="C80" s="12">
        <f ca="1">IFERROR(__xludf.DUMMYFUNCTION("""COMPUTED_VALUE"""),805.9)</f>
        <v>805.9</v>
      </c>
      <c r="D80" s="12">
        <f ca="1">IFERROR(__xludf.DUMMYFUNCTION("""COMPUTED_VALUE"""),70.1)</f>
        <v>70.099999999999994</v>
      </c>
      <c r="E80" s="12">
        <f ca="1">IFERROR(__xludf.DUMMYFUNCTION("""COMPUTED_VALUE"""),1347.75)</f>
        <v>1347.75</v>
      </c>
      <c r="F80" s="14">
        <f ca="1">IFERROR(__xludf.DUMMYFUNCTION("""COMPUTED_VALUE"""),0.402040437766648)</f>
        <v>0.402040437766648</v>
      </c>
      <c r="G80" s="12">
        <f ca="1">IFERROR(__xludf.DUMMYFUNCTION("""COMPUTED_VALUE"""),770.55)</f>
        <v>770.55</v>
      </c>
      <c r="H80" s="14">
        <f ca="1">IFERROR(__xludf.DUMMYFUNCTION("""COMPUTED_VALUE"""),0.0458763221075855)</f>
        <v>4.58763221075855E-2</v>
      </c>
      <c r="I80" s="12">
        <f ca="1">IFERROR(__xludf.DUMMYFUNCTION("""COMPUTED_VALUE"""),808.15)</f>
        <v>808.15</v>
      </c>
      <c r="J80" s="14">
        <f ca="1">IFERROR(__xludf.DUMMYFUNCTION("""COMPUTED_VALUE"""),-0.00278413660830291)</f>
        <v>-2.7841366083029102E-3</v>
      </c>
      <c r="K80" s="12" t="str">
        <f ca="1"/>
        <v>Consumer Electrical</v>
      </c>
      <c r="L80" s="12" t="str">
        <f ca="1"/>
        <v>BOM:500575</v>
      </c>
      <c r="M80" s="12" t="str">
        <f ca="1"/>
        <v>No</v>
      </c>
      <c r="N80" s="12" t="str">
        <f ca="1"/>
        <v>No</v>
      </c>
      <c r="O80" s="12" t="str">
        <f ca="1"/>
        <v/>
      </c>
      <c r="P80" s="12" t="str">
        <f ca="1"/>
        <v>Medium Cap</v>
      </c>
    </row>
    <row r="81" spans="1:16" ht="13.2">
      <c r="A81" s="12" t="str">
        <f ca="1">IFERROR(__xludf.DUMMYFUNCTION("""COMPUTED_VALUE"""),"Deepak Nitrite")</f>
        <v>Deepak Nitrite</v>
      </c>
      <c r="B81" s="13">
        <f ca="1">IFERROR(__xludf.DUMMYFUNCTION("""COMPUTED_VALUE"""),26525.721745)</f>
        <v>26525.721744999999</v>
      </c>
      <c r="C81" s="12">
        <f ca="1">IFERROR(__xludf.DUMMYFUNCTION("""COMPUTED_VALUE"""),1944.05)</f>
        <v>1944.05</v>
      </c>
      <c r="D81" s="12">
        <f ca="1">IFERROR(__xludf.DUMMYFUNCTION("""COMPUTED_VALUE"""),28.86)</f>
        <v>28.86</v>
      </c>
      <c r="E81" s="12">
        <f ca="1">IFERROR(__xludf.DUMMYFUNCTION("""COMPUTED_VALUE"""),2690.05)</f>
        <v>2690.05</v>
      </c>
      <c r="F81" s="14">
        <f ca="1">IFERROR(__xludf.DUMMYFUNCTION("""COMPUTED_VALUE"""),0.277318265459749)</f>
        <v>0.27731826545974902</v>
      </c>
      <c r="G81" s="12">
        <f ca="1">IFERROR(__xludf.DUMMYFUNCTION("""COMPUTED_VALUE"""),1681.15)</f>
        <v>1681.15</v>
      </c>
      <c r="H81" s="14">
        <f ca="1">IFERROR(__xludf.DUMMYFUNCTION("""COMPUTED_VALUE"""),0.15638104868691)</f>
        <v>0.15638104868691</v>
      </c>
      <c r="I81" s="12">
        <f ca="1">IFERROR(__xludf.DUMMYFUNCTION("""COMPUTED_VALUE"""),1941.8)</f>
        <v>1941.8</v>
      </c>
      <c r="J81" s="14">
        <f ca="1">IFERROR(__xludf.DUMMYFUNCTION("""COMPUTED_VALUE"""),0.0011587187145947)</f>
        <v>1.1587187145947E-3</v>
      </c>
      <c r="K81" s="12" t="str">
        <f ca="1"/>
        <v>Chemical</v>
      </c>
      <c r="L81" s="12" t="str">
        <f ca="1"/>
        <v>DEEPAKNTR</v>
      </c>
      <c r="M81" s="12" t="str">
        <f ca="1"/>
        <v>No</v>
      </c>
      <c r="N81" s="12" t="str">
        <f ca="1"/>
        <v>No</v>
      </c>
      <c r="O81" s="12" t="str">
        <f ca="1"/>
        <v>Good Stock</v>
      </c>
      <c r="P81" s="12" t="str">
        <f ca="1"/>
        <v>Medium Cap</v>
      </c>
    </row>
    <row r="82" spans="1:16" ht="13.2">
      <c r="A82" s="12" t="str">
        <f ca="1">IFERROR(__xludf.DUMMYFUNCTION("""COMPUTED_VALUE"""),"Coromandel International")</f>
        <v>Coromandel International</v>
      </c>
      <c r="B82" s="13">
        <f ca="1">IFERROR(__xludf.DUMMYFUNCTION("""COMPUTED_VALUE"""),25664.11)</f>
        <v>25664.11</v>
      </c>
      <c r="C82" s="12">
        <f ca="1">IFERROR(__xludf.DUMMYFUNCTION("""COMPUTED_VALUE"""),872)</f>
        <v>872</v>
      </c>
      <c r="D82" s="12">
        <f ca="1">IFERROR(__xludf.DUMMYFUNCTION("""COMPUTED_VALUE"""),13.43)</f>
        <v>13.43</v>
      </c>
      <c r="E82" s="12">
        <f ca="1">IFERROR(__xludf.DUMMYFUNCTION("""COMPUTED_VALUE"""),1094)</f>
        <v>1094</v>
      </c>
      <c r="F82" s="14">
        <f ca="1">IFERROR(__xludf.DUMMYFUNCTION("""COMPUTED_VALUE"""),0.202925045703839)</f>
        <v>0.20292504570383901</v>
      </c>
      <c r="G82" s="12">
        <f ca="1">IFERROR(__xludf.DUMMYFUNCTION("""COMPUTED_VALUE"""),729.55)</f>
        <v>729.55</v>
      </c>
      <c r="H82" s="14">
        <f ca="1">IFERROR(__xludf.DUMMYFUNCTION("""COMPUTED_VALUE"""),0.195257350421492)</f>
        <v>0.195257350421492</v>
      </c>
      <c r="I82" s="12">
        <f ca="1">IFERROR(__xludf.DUMMYFUNCTION("""COMPUTED_VALUE"""),881.85)</f>
        <v>881.85</v>
      </c>
      <c r="J82" s="14">
        <f ca="1">IFERROR(__xludf.DUMMYFUNCTION("""COMPUTED_VALUE"""),-0.0111697000623689)</f>
        <v>-1.1169700062368899E-2</v>
      </c>
      <c r="K82" s="12" t="str">
        <f ca="1"/>
        <v>Agrochemical</v>
      </c>
      <c r="L82" s="12" t="str">
        <f ca="1"/>
        <v>COROMANDEL</v>
      </c>
      <c r="M82" s="12" t="str">
        <f ca="1"/>
        <v>No</v>
      </c>
      <c r="N82" s="12" t="str">
        <f ca="1"/>
        <v>No</v>
      </c>
      <c r="O82" s="12" t="str">
        <f ca="1"/>
        <v>Good Stock</v>
      </c>
      <c r="P82" s="12" t="str">
        <f ca="1"/>
        <v>Medium Cap</v>
      </c>
    </row>
    <row r="83" spans="1:16" ht="13.2">
      <c r="A83" s="12" t="str">
        <f ca="1">IFERROR(__xludf.DUMMYFUNCTION("""COMPUTED_VALUE"""),"Aurobindo Pharma")</f>
        <v>Aurobindo Pharma</v>
      </c>
      <c r="B83" s="13">
        <f ca="1">IFERROR(__xludf.DUMMYFUNCTION("""COMPUTED_VALUE"""),25505.6859247)</f>
        <v>25505.685924699999</v>
      </c>
      <c r="C83" s="12">
        <f ca="1">IFERROR(__xludf.DUMMYFUNCTION("""COMPUTED_VALUE"""),435.3)</f>
        <v>435.3</v>
      </c>
      <c r="D83" s="12">
        <f ca="1">IFERROR(__xludf.DUMMYFUNCTION("""COMPUTED_VALUE"""),12.08)</f>
        <v>12.08</v>
      </c>
      <c r="E83" s="12">
        <f ca="1">IFERROR(__xludf.DUMMYFUNCTION("""COMPUTED_VALUE"""),727.95)</f>
        <v>727.95</v>
      </c>
      <c r="F83" s="14">
        <f ca="1">IFERROR(__xludf.DUMMYFUNCTION("""COMPUTED_VALUE"""),0.402019369462188)</f>
        <v>0.40201936946218803</v>
      </c>
      <c r="G83" s="12">
        <f ca="1">IFERROR(__xludf.DUMMYFUNCTION("""COMPUTED_VALUE"""),429.2)</f>
        <v>429.2</v>
      </c>
      <c r="H83" s="14">
        <f ca="1">IFERROR(__xludf.DUMMYFUNCTION("""COMPUTED_VALUE"""),0.0142124883504194)</f>
        <v>1.4212488350419401E-2</v>
      </c>
      <c r="I83" s="12">
        <f ca="1">IFERROR(__xludf.DUMMYFUNCTION("""COMPUTED_VALUE"""),446.35)</f>
        <v>446.35</v>
      </c>
      <c r="J83" s="14">
        <f ca="1">IFERROR(__xludf.DUMMYFUNCTION("""COMPUTED_VALUE"""),-0.0247563571188529)</f>
        <v>-2.4756357118852899E-2</v>
      </c>
      <c r="K83" s="12" t="str">
        <f ca="1"/>
        <v>Pharma</v>
      </c>
      <c r="L83" s="12" t="str">
        <f ca="1"/>
        <v>AUROPHARMA</v>
      </c>
      <c r="M83" s="12" t="str">
        <f ca="1"/>
        <v>No</v>
      </c>
      <c r="N83" s="12" t="str">
        <f ca="1"/>
        <v>No</v>
      </c>
      <c r="O83" s="12" t="str">
        <f ca="1"/>
        <v>Good Stock</v>
      </c>
      <c r="P83" s="12" t="str">
        <f ca="1"/>
        <v>Medium Cap</v>
      </c>
    </row>
    <row r="84" spans="1:16" ht="13.2">
      <c r="A84" s="12" t="str">
        <f ca="1">IFERROR(__xludf.DUMMYFUNCTION("""COMPUTED_VALUE"""),"3M India")</f>
        <v>3M India</v>
      </c>
      <c r="B84" s="13">
        <f ca="1">IFERROR(__xludf.DUMMYFUNCTION("""COMPUTED_VALUE"""),25229.93)</f>
        <v>25229.93</v>
      </c>
      <c r="C84" s="12">
        <f ca="1">IFERROR(__xludf.DUMMYFUNCTION("""COMPUTED_VALUE"""),22300)</f>
        <v>22300</v>
      </c>
      <c r="D84" s="12">
        <f ca="1">IFERROR(__xludf.DUMMYFUNCTION("""COMPUTED_VALUE"""),68.24)</f>
        <v>68.239999999999995</v>
      </c>
      <c r="E84" s="12">
        <f ca="1">IFERROR(__xludf.DUMMYFUNCTION("""COMPUTED_VALUE"""),26943)</f>
        <v>26943</v>
      </c>
      <c r="F84" s="14">
        <f ca="1">IFERROR(__xludf.DUMMYFUNCTION("""COMPUTED_VALUE"""),0.172326763908993)</f>
        <v>0.17232676390899301</v>
      </c>
      <c r="G84" s="12">
        <f ca="1">IFERROR(__xludf.DUMMYFUNCTION("""COMPUTED_VALUE"""),17273)</f>
        <v>17273</v>
      </c>
      <c r="H84" s="14">
        <f ca="1">IFERROR(__xludf.DUMMYFUNCTION("""COMPUTED_VALUE"""),0.29103224685926)</f>
        <v>0.29103224685925999</v>
      </c>
      <c r="I84" s="12">
        <f ca="1">IFERROR(__xludf.DUMMYFUNCTION("""COMPUTED_VALUE"""),22335.4)</f>
        <v>22335.4</v>
      </c>
      <c r="J84" s="14">
        <f ca="1">IFERROR(__xludf.DUMMYFUNCTION("""COMPUTED_VALUE"""),-0.00158492796189015)</f>
        <v>-1.5849279618901501E-3</v>
      </c>
      <c r="K84" s="12" t="str">
        <f ca="1"/>
        <v>Technology</v>
      </c>
      <c r="L84" s="12" t="str">
        <f ca="1"/>
        <v>3MINDIA</v>
      </c>
      <c r="M84" s="12" t="str">
        <f ca="1"/>
        <v>No</v>
      </c>
      <c r="N84" s="12" t="str">
        <f ca="1"/>
        <v>No</v>
      </c>
      <c r="O84" s="12" t="str">
        <f ca="1"/>
        <v/>
      </c>
      <c r="P84" s="12" t="str">
        <f ca="1"/>
        <v>Medium Cap</v>
      </c>
    </row>
    <row r="85" spans="1:16" ht="13.2">
      <c r="A85" s="12" t="str">
        <f ca="1">IFERROR(__xludf.DUMMYFUNCTION("""COMPUTED_VALUE"""),"sona comstar")</f>
        <v>sona comstar</v>
      </c>
      <c r="B85" s="13">
        <f ca="1">IFERROR(__xludf.DUMMYFUNCTION("""COMPUTED_VALUE"""),24962.9162175)</f>
        <v>24962.916217499998</v>
      </c>
      <c r="C85" s="12">
        <f ca="1">IFERROR(__xludf.DUMMYFUNCTION("""COMPUTED_VALUE"""),426)</f>
        <v>426</v>
      </c>
      <c r="D85" s="12">
        <f ca="1">IFERROR(__xludf.DUMMYFUNCTION("""COMPUTED_VALUE"""),69.24)</f>
        <v>69.239999999999995</v>
      </c>
      <c r="E85" s="12">
        <f ca="1">IFERROR(__xludf.DUMMYFUNCTION("""COMPUTED_VALUE"""),795)</f>
        <v>795</v>
      </c>
      <c r="F85" s="14">
        <f ca="1">IFERROR(__xludf.DUMMYFUNCTION("""COMPUTED_VALUE"""),0.464150943396226)</f>
        <v>0.46415094339622598</v>
      </c>
      <c r="G85" s="12">
        <f ca="1">IFERROR(__xludf.DUMMYFUNCTION("""COMPUTED_VALUE"""),397.35)</f>
        <v>397.35</v>
      </c>
      <c r="H85" s="14">
        <f ca="1">IFERROR(__xludf.DUMMYFUNCTION("""COMPUTED_VALUE"""),0.0721026802567005)</f>
        <v>7.2102680256700497E-2</v>
      </c>
      <c r="I85" s="12">
        <f ca="1">IFERROR(__xludf.DUMMYFUNCTION("""COMPUTED_VALUE"""),428.65)</f>
        <v>428.65</v>
      </c>
      <c r="J85" s="14">
        <f ca="1">IFERROR(__xludf.DUMMYFUNCTION("""COMPUTED_VALUE"""),-0.00618219993001277)</f>
        <v>-6.1821999300127701E-3</v>
      </c>
      <c r="K85" s="12" t="str">
        <f ca="1"/>
        <v>automobile</v>
      </c>
      <c r="L85" s="12" t="str">
        <f ca="1"/>
        <v>BOM:543300</v>
      </c>
      <c r="M85" s="12" t="str">
        <f ca="1"/>
        <v>No</v>
      </c>
      <c r="N85" s="12" t="str">
        <f ca="1"/>
        <v>No</v>
      </c>
      <c r="O85" s="12" t="str">
        <f ca="1"/>
        <v/>
      </c>
      <c r="P85" s="12" t="str">
        <f ca="1"/>
        <v>Medium Cap</v>
      </c>
    </row>
    <row r="86" spans="1:16" ht="13.2">
      <c r="A86" s="12" t="str">
        <f ca="1">IFERROR(__xludf.DUMMYFUNCTION("""COMPUTED_VALUE"""),"Tata Chemical")</f>
        <v>Tata Chemical</v>
      </c>
      <c r="B86" s="13">
        <f ca="1">IFERROR(__xludf.DUMMYFUNCTION("""COMPUTED_VALUE"""),24851.46731)</f>
        <v>24851.46731</v>
      </c>
      <c r="C86" s="12">
        <f ca="1">IFERROR(__xludf.DUMMYFUNCTION("""COMPUTED_VALUE"""),975.8)</f>
        <v>975.8</v>
      </c>
      <c r="D86" s="12">
        <f ca="1">IFERROR(__xludf.DUMMYFUNCTION("""COMPUTED_VALUE"""),12.65)</f>
        <v>12.65</v>
      </c>
      <c r="E86" s="12">
        <f ca="1">IFERROR(__xludf.DUMMYFUNCTION("""COMPUTED_VALUE"""),1214.65)</f>
        <v>1214.6500000000001</v>
      </c>
      <c r="F86" s="14">
        <f ca="1">IFERROR(__xludf.DUMMYFUNCTION("""COMPUTED_VALUE"""),0.19664100769769)</f>
        <v>0.19664100769769</v>
      </c>
      <c r="G86" s="12">
        <f ca="1">IFERROR(__xludf.DUMMYFUNCTION("""COMPUTED_VALUE"""),773.9)</f>
        <v>773.9</v>
      </c>
      <c r="H86" s="14">
        <f ca="1">IFERROR(__xludf.DUMMYFUNCTION("""COMPUTED_VALUE"""),0.260886419434035)</f>
        <v>0.26088641943403501</v>
      </c>
      <c r="I86" s="12">
        <f ca="1">IFERROR(__xludf.DUMMYFUNCTION("""COMPUTED_VALUE"""),972.55)</f>
        <v>972.55</v>
      </c>
      <c r="J86" s="14">
        <f ca="1">IFERROR(__xludf.DUMMYFUNCTION("""COMPUTED_VALUE"""),0.0033417305022878)</f>
        <v>3.3417305022878001E-3</v>
      </c>
      <c r="K86" s="12" t="str">
        <f ca="1"/>
        <v>Chemical</v>
      </c>
      <c r="L86" s="12" t="str">
        <f ca="1"/>
        <v>BOM:500770</v>
      </c>
      <c r="M86" s="12" t="str">
        <f ca="1"/>
        <v>No</v>
      </c>
      <c r="N86" s="12" t="str">
        <f ca="1"/>
        <v>No</v>
      </c>
      <c r="O86" s="12" t="str">
        <f ca="1"/>
        <v>Good Stock</v>
      </c>
      <c r="P86" s="12" t="str">
        <f ca="1"/>
        <v>Medium Cap</v>
      </c>
    </row>
    <row r="87" spans="1:16" ht="13.2">
      <c r="A87" s="12" t="str">
        <f ca="1">IFERROR(__xludf.DUMMYFUNCTION("""COMPUTED_VALUE"""),"Sumitomo Chemicals")</f>
        <v>Sumitomo Chemicals</v>
      </c>
      <c r="B87" s="13">
        <f ca="1">IFERROR(__xludf.DUMMYFUNCTION("""COMPUTED_VALUE"""),24637.83)</f>
        <v>24637.83</v>
      </c>
      <c r="C87" s="12">
        <f ca="1">IFERROR(__xludf.DUMMYFUNCTION("""COMPUTED_VALUE"""),493.2)</f>
        <v>493.2</v>
      </c>
      <c r="D87" s="12">
        <f ca="1">IFERROR(__xludf.DUMMYFUNCTION("""COMPUTED_VALUE"""),48.9)</f>
        <v>48.9</v>
      </c>
      <c r="E87" s="12">
        <f ca="1">IFERROR(__xludf.DUMMYFUNCTION("""COMPUTED_VALUE"""),540.8)</f>
        <v>540.79999999999995</v>
      </c>
      <c r="F87" s="14">
        <f ca="1">IFERROR(__xludf.DUMMYFUNCTION("""COMPUTED_VALUE"""),0.0880177514792898)</f>
        <v>8.8017751479289794E-2</v>
      </c>
      <c r="G87" s="12">
        <f ca="1">IFERROR(__xludf.DUMMYFUNCTION("""COMPUTED_VALUE"""),351.5)</f>
        <v>351.5</v>
      </c>
      <c r="H87" s="14">
        <f ca="1">IFERROR(__xludf.DUMMYFUNCTION("""COMPUTED_VALUE"""),0.403129445234708)</f>
        <v>0.40312944523470801</v>
      </c>
      <c r="I87" s="12">
        <f ca="1">IFERROR(__xludf.DUMMYFUNCTION("""COMPUTED_VALUE"""),487.95)</f>
        <v>487.95</v>
      </c>
      <c r="J87" s="14">
        <f ca="1">IFERROR(__xludf.DUMMYFUNCTION("""COMPUTED_VALUE"""),0.0107592991085152)</f>
        <v>1.07592991085152E-2</v>
      </c>
      <c r="K87" s="12" t="str">
        <f ca="1"/>
        <v>Agrochemical</v>
      </c>
      <c r="L87" s="12" t="str">
        <f ca="1"/>
        <v>SUMICHEM</v>
      </c>
      <c r="M87" s="12" t="str">
        <f ca="1"/>
        <v>No</v>
      </c>
      <c r="N87" s="12" t="str">
        <f ca="1"/>
        <v>No</v>
      </c>
      <c r="O87" s="12" t="str">
        <f ca="1"/>
        <v>Good Stock</v>
      </c>
      <c r="P87" s="12" t="str">
        <f ca="1"/>
        <v>Medium Cap</v>
      </c>
    </row>
    <row r="88" spans="1:16" ht="13.2">
      <c r="A88" s="12" t="str">
        <f ca="1">IFERROR(__xludf.DUMMYFUNCTION("""COMPUTED_VALUE"""),"Gland Pharma")</f>
        <v>Gland Pharma</v>
      </c>
      <c r="B88" s="13">
        <f ca="1">IFERROR(__xludf.DUMMYFUNCTION("""COMPUTED_VALUE"""),23948.9713712)</f>
        <v>23948.971371200001</v>
      </c>
      <c r="C88" s="12">
        <f ca="1">IFERROR(__xludf.DUMMYFUNCTION("""COMPUTED_VALUE"""),1453.65)</f>
        <v>1453.65</v>
      </c>
      <c r="D88" s="12">
        <f ca="1">IFERROR(__xludf.DUMMYFUNCTION("""COMPUTED_VALUE"""),23.28)</f>
        <v>23.28</v>
      </c>
      <c r="E88" s="12">
        <f ca="1">IFERROR(__xludf.DUMMYFUNCTION("""COMPUTED_VALUE"""),3773.95)</f>
        <v>3773.95</v>
      </c>
      <c r="F88" s="14">
        <f ca="1">IFERROR(__xludf.DUMMYFUNCTION("""COMPUTED_VALUE"""),0.614820016163436)</f>
        <v>0.61482001616343596</v>
      </c>
      <c r="G88" s="12">
        <f ca="1">IFERROR(__xludf.DUMMYFUNCTION("""COMPUTED_VALUE"""),1450)</f>
        <v>1450</v>
      </c>
      <c r="H88" s="14">
        <f ca="1">IFERROR(__xludf.DUMMYFUNCTION("""COMPUTED_VALUE"""),0.0025172413793104)</f>
        <v>2.5172413793103999E-3</v>
      </c>
      <c r="I88" s="12">
        <f ca="1">IFERROR(__xludf.DUMMYFUNCTION("""COMPUTED_VALUE"""),1497.85)</f>
        <v>1497.85</v>
      </c>
      <c r="J88" s="14">
        <f ca="1">IFERROR(__xludf.DUMMYFUNCTION("""COMPUTED_VALUE"""),-0.0295089628467468)</f>
        <v>-2.9508962846746801E-2</v>
      </c>
      <c r="K88" s="12" t="str">
        <f ca="1"/>
        <v>Pharma</v>
      </c>
      <c r="L88" s="12" t="str">
        <f ca="1"/>
        <v>BOM:543245</v>
      </c>
      <c r="M88" s="12" t="str">
        <f ca="1"/>
        <v>No</v>
      </c>
      <c r="N88" s="12" t="str">
        <f ca="1"/>
        <v>No</v>
      </c>
      <c r="O88" s="12" t="str">
        <f ca="1"/>
        <v>Good Stock</v>
      </c>
      <c r="P88" s="12" t="str">
        <f ca="1"/>
        <v>Medium Cap</v>
      </c>
    </row>
    <row r="89" spans="1:16" ht="13.2">
      <c r="A89" s="12" t="str">
        <f ca="1">IFERROR(__xludf.DUMMYFUNCTION("""COMPUTED_VALUE"""),"Coforge")</f>
        <v>Coforge</v>
      </c>
      <c r="B89" s="13">
        <f ca="1">IFERROR(__xludf.DUMMYFUNCTION("""COMPUTED_VALUE"""),23631.8479052)</f>
        <v>23631.8479052</v>
      </c>
      <c r="C89" s="12">
        <f ca="1">IFERROR(__xludf.DUMMYFUNCTION("""COMPUTED_VALUE"""),3868.05)</f>
        <v>3868.05</v>
      </c>
      <c r="D89" s="12">
        <f ca="1">IFERROR(__xludf.DUMMYFUNCTION("""COMPUTED_VALUE"""),32.39)</f>
        <v>32.39</v>
      </c>
      <c r="E89" s="12">
        <f ca="1">IFERROR(__xludf.DUMMYFUNCTION("""COMPUTED_VALUE"""),5862.1)</f>
        <v>5862.1</v>
      </c>
      <c r="F89" s="14">
        <f ca="1">IFERROR(__xludf.DUMMYFUNCTION("""COMPUTED_VALUE"""),0.340159669742924)</f>
        <v>0.340159669742924</v>
      </c>
      <c r="G89" s="12">
        <f ca="1">IFERROR(__xludf.DUMMYFUNCTION("""COMPUTED_VALUE"""),3210)</f>
        <v>3210</v>
      </c>
      <c r="H89" s="14">
        <f ca="1">IFERROR(__xludf.DUMMYFUNCTION("""COMPUTED_VALUE"""),0.205)</f>
        <v>0.20499999999999999</v>
      </c>
      <c r="I89" s="12">
        <f ca="1">IFERROR(__xludf.DUMMYFUNCTION("""COMPUTED_VALUE"""),3902.65)</f>
        <v>3902.65</v>
      </c>
      <c r="J89" s="14">
        <f ca="1">IFERROR(__xludf.DUMMYFUNCTION("""COMPUTED_VALUE"""),-0.00886577069427181)</f>
        <v>-8.8657706942718104E-3</v>
      </c>
      <c r="K89" s="12" t="str">
        <f ca="1"/>
        <v>Technology</v>
      </c>
      <c r="L89" s="12" t="str">
        <f ca="1"/>
        <v>BOM:532541</v>
      </c>
      <c r="M89" s="12" t="str">
        <f ca="1"/>
        <v>No</v>
      </c>
      <c r="N89" s="12" t="str">
        <f ca="1"/>
        <v>No</v>
      </c>
      <c r="O89" s="12" t="str">
        <f ca="1"/>
        <v>Good Stock</v>
      </c>
      <c r="P89" s="12" t="str">
        <f ca="1"/>
        <v>Medium Cap</v>
      </c>
    </row>
    <row r="90" spans="1:16" ht="13.2">
      <c r="A90" s="12" t="str">
        <f ca="1">IFERROR(__xludf.DUMMYFUNCTION("""COMPUTED_VALUE"""),"Atul Ltd")</f>
        <v>Atul Ltd</v>
      </c>
      <c r="B90" s="13">
        <f ca="1">IFERROR(__xludf.DUMMYFUNCTION("""COMPUTED_VALUE"""),22715.5217056)</f>
        <v>22715.5217056</v>
      </c>
      <c r="C90" s="12">
        <f ca="1">IFERROR(__xludf.DUMMYFUNCTION("""COMPUTED_VALUE"""),7701.2)</f>
        <v>7701.2</v>
      </c>
      <c r="D90" s="12">
        <f ca="1">IFERROR(__xludf.DUMMYFUNCTION("""COMPUTED_VALUE"""),37.5)</f>
        <v>37.5</v>
      </c>
      <c r="E90" s="12">
        <f ca="1">IFERROR(__xludf.DUMMYFUNCTION("""COMPUTED_VALUE"""),10859)</f>
        <v>10859</v>
      </c>
      <c r="F90" s="14">
        <f ca="1">IFERROR(__xludf.DUMMYFUNCTION("""COMPUTED_VALUE"""),0.29080025785063)</f>
        <v>0.29080025785063002</v>
      </c>
      <c r="G90" s="12">
        <f ca="1">IFERROR(__xludf.DUMMYFUNCTION("""COMPUTED_VALUE"""),7602.15)</f>
        <v>7602.15</v>
      </c>
      <c r="H90" s="14">
        <f ca="1">IFERROR(__xludf.DUMMYFUNCTION("""COMPUTED_VALUE"""),0.0130292088422354)</f>
        <v>1.30292088422354E-2</v>
      </c>
      <c r="I90" s="12">
        <f ca="1">IFERROR(__xludf.DUMMYFUNCTION("""COMPUTED_VALUE"""),7679.85)</f>
        <v>7679.85</v>
      </c>
      <c r="J90" s="14">
        <f ca="1">IFERROR(__xludf.DUMMYFUNCTION("""COMPUTED_VALUE"""),0.00278000221358482)</f>
        <v>2.7800022135848201E-3</v>
      </c>
      <c r="K90" s="12" t="str">
        <f ca="1"/>
        <v>Chemical</v>
      </c>
      <c r="L90" s="12" t="str">
        <f ca="1"/>
        <v>BOM:500027</v>
      </c>
      <c r="M90" s="12" t="str">
        <f ca="1"/>
        <v>No</v>
      </c>
      <c r="N90" s="12" t="str">
        <f ca="1"/>
        <v>No</v>
      </c>
      <c r="O90" s="12" t="str">
        <f ca="1"/>
        <v>Good Stock</v>
      </c>
      <c r="P90" s="12" t="str">
        <f ca="1"/>
        <v>Medium Cap</v>
      </c>
    </row>
    <row r="91" spans="1:16" ht="13.2">
      <c r="A91" s="12" t="str">
        <f ca="1">IFERROR(__xludf.DUMMYFUNCTION("""COMPUTED_VALUE"""),"J K Cement")</f>
        <v>J K Cement</v>
      </c>
      <c r="B91" s="13">
        <f ca="1">IFERROR(__xludf.DUMMYFUNCTION("""COMPUTED_VALUE"""),22430.59)</f>
        <v>22430.59</v>
      </c>
      <c r="C91" s="12">
        <f ca="1">IFERROR(__xludf.DUMMYFUNCTION("""COMPUTED_VALUE"""),2900.45)</f>
        <v>2900.45</v>
      </c>
      <c r="D91" s="12">
        <f ca="1">IFERROR(__xludf.DUMMYFUNCTION("""COMPUTED_VALUE"""),36.07)</f>
        <v>36.07</v>
      </c>
      <c r="E91" s="12">
        <f ca="1">IFERROR(__xludf.DUMMYFUNCTION("""COMPUTED_VALUE"""),3646.25)</f>
        <v>3646.25</v>
      </c>
      <c r="F91" s="14">
        <f ca="1">IFERROR(__xludf.DUMMYFUNCTION("""COMPUTED_VALUE"""),0.204538909838875)</f>
        <v>0.20453890983887499</v>
      </c>
      <c r="G91" s="12">
        <f ca="1">IFERROR(__xludf.DUMMYFUNCTION("""COMPUTED_VALUE"""),2005)</f>
        <v>2005</v>
      </c>
      <c r="H91" s="14">
        <f ca="1">IFERROR(__xludf.DUMMYFUNCTION("""COMPUTED_VALUE"""),0.446608478802992)</f>
        <v>0.44660847880299198</v>
      </c>
      <c r="I91" s="12">
        <f ca="1">IFERROR(__xludf.DUMMYFUNCTION("""COMPUTED_VALUE"""),2905.9)</f>
        <v>2905.9</v>
      </c>
      <c r="J91" s="14">
        <f ca="1">IFERROR(__xludf.DUMMYFUNCTION("""COMPUTED_VALUE"""),-0.00187549468323076)</f>
        <v>-1.8754946832307601E-3</v>
      </c>
      <c r="K91" s="12" t="str">
        <f ca="1"/>
        <v>Cement</v>
      </c>
      <c r="L91" s="12" t="str">
        <f ca="1"/>
        <v>BOM:532644</v>
      </c>
      <c r="M91" s="12" t="str">
        <f ca="1"/>
        <v>No</v>
      </c>
      <c r="N91" s="12" t="str">
        <f ca="1"/>
        <v>No</v>
      </c>
      <c r="O91" s="12" t="str">
        <f ca="1"/>
        <v>Good Stock</v>
      </c>
      <c r="P91" s="12" t="str">
        <f ca="1"/>
        <v>Medium Cap</v>
      </c>
    </row>
    <row r="92" spans="1:16" ht="13.2">
      <c r="A92" s="12" t="str">
        <f ca="1">IFERROR(__xludf.DUMMYFUNCTION("""COMPUTED_VALUE"""),"Kansai Nerolac")</f>
        <v>Kansai Nerolac</v>
      </c>
      <c r="B92" s="13">
        <f ca="1">IFERROR(__xludf.DUMMYFUNCTION("""COMPUTED_VALUE"""),22276.241535)</f>
        <v>22276.241535000001</v>
      </c>
      <c r="C92" s="12">
        <f ca="1">IFERROR(__xludf.DUMMYFUNCTION("""COMPUTED_VALUE"""),415)</f>
        <v>415</v>
      </c>
      <c r="D92" s="12">
        <f ca="1">IFERROR(__xludf.DUMMYFUNCTION("""COMPUTED_VALUE"""),52.87)</f>
        <v>52.87</v>
      </c>
      <c r="E92" s="12">
        <f ca="1">IFERROR(__xludf.DUMMYFUNCTION("""COMPUTED_VALUE"""),624)</f>
        <v>624</v>
      </c>
      <c r="F92" s="14">
        <f ca="1">IFERROR(__xludf.DUMMYFUNCTION("""COMPUTED_VALUE"""),0.334935897435897)</f>
        <v>0.33493589743589702</v>
      </c>
      <c r="G92" s="12">
        <f ca="1">IFERROR(__xludf.DUMMYFUNCTION("""COMPUTED_VALUE"""),358.15)</f>
        <v>358.15</v>
      </c>
      <c r="H92" s="14">
        <f ca="1">IFERROR(__xludf.DUMMYFUNCTION("""COMPUTED_VALUE"""),0.158732374703336)</f>
        <v>0.15873237470333601</v>
      </c>
      <c r="I92" s="12">
        <f ca="1">IFERROR(__xludf.DUMMYFUNCTION("""COMPUTED_VALUE"""),413.05)</f>
        <v>413.05</v>
      </c>
      <c r="J92" s="14">
        <f ca="1">IFERROR(__xludf.DUMMYFUNCTION("""COMPUTED_VALUE"""),0.0047209780898196)</f>
        <v>4.7209780898196003E-3</v>
      </c>
      <c r="K92" s="12" t="str">
        <f ca="1"/>
        <v>Paint</v>
      </c>
      <c r="L92" s="12" t="str">
        <f ca="1"/>
        <v>KANSAINER</v>
      </c>
      <c r="M92" s="12" t="str">
        <f ca="1"/>
        <v>No</v>
      </c>
      <c r="N92" s="12" t="str">
        <f ca="1"/>
        <v>No</v>
      </c>
      <c r="O92" s="12" t="str">
        <f ca="1"/>
        <v>Good Stock</v>
      </c>
      <c r="P92" s="12" t="str">
        <f ca="1"/>
        <v>Medium Cap</v>
      </c>
    </row>
    <row r="93" spans="1:16" ht="13.2">
      <c r="A93" s="12" t="str">
        <f ca="1">IFERROR(__xludf.DUMMYFUNCTION("""COMPUTED_VALUE"""),"Crisil")</f>
        <v>Crisil</v>
      </c>
      <c r="B93" s="13">
        <f ca="1">IFERROR(__xludf.DUMMYFUNCTION("""COMPUTED_VALUE"""),22166.9)</f>
        <v>22166.9</v>
      </c>
      <c r="C93" s="12">
        <f ca="1">IFERROR(__xludf.DUMMYFUNCTION("""COMPUTED_VALUE"""),3020)</f>
        <v>3020</v>
      </c>
      <c r="D93" s="12">
        <f ca="1">IFERROR(__xludf.DUMMYFUNCTION("""COMPUTED_VALUE"""),38.36)</f>
        <v>38.36</v>
      </c>
      <c r="E93" s="12">
        <f ca="1">IFERROR(__xludf.DUMMYFUNCTION("""COMPUTED_VALUE"""),3863.55)</f>
        <v>3863.55</v>
      </c>
      <c r="F93" s="14">
        <f ca="1">IFERROR(__xludf.DUMMYFUNCTION("""COMPUTED_VALUE"""),0.218335468675182)</f>
        <v>0.218335468675182</v>
      </c>
      <c r="G93" s="12">
        <f ca="1">IFERROR(__xludf.DUMMYFUNCTION("""COMPUTED_VALUE"""),2540)</f>
        <v>2540</v>
      </c>
      <c r="H93" s="14">
        <f ca="1">IFERROR(__xludf.DUMMYFUNCTION("""COMPUTED_VALUE"""),0.188976377952755)</f>
        <v>0.18897637795275499</v>
      </c>
      <c r="I93" s="12">
        <f ca="1">IFERROR(__xludf.DUMMYFUNCTION("""COMPUTED_VALUE"""),3044.5)</f>
        <v>3044.5</v>
      </c>
      <c r="J93" s="14">
        <f ca="1">IFERROR(__xludf.DUMMYFUNCTION("""COMPUTED_VALUE"""),-0.00804729840696337)</f>
        <v>-8.0472984069633706E-3</v>
      </c>
      <c r="K93" s="12" t="str">
        <f ca="1"/>
        <v>Reserach</v>
      </c>
      <c r="L93" s="12" t="str">
        <f ca="1"/>
        <v>CRISIL</v>
      </c>
      <c r="M93" s="12" t="str">
        <f ca="1"/>
        <v>No</v>
      </c>
      <c r="N93" s="12" t="str">
        <f ca="1"/>
        <v>No</v>
      </c>
      <c r="O93" s="12" t="str">
        <f ca="1"/>
        <v>Good Stock</v>
      </c>
      <c r="P93" s="12" t="str">
        <f ca="1"/>
        <v>Medium Cap</v>
      </c>
    </row>
    <row r="94" spans="1:16" ht="13.2">
      <c r="A94" s="12" t="str">
        <f ca="1">IFERROR(__xludf.DUMMYFUNCTION("""COMPUTED_VALUE"""),"LIC Housing Finance")</f>
        <v>LIC Housing Finance</v>
      </c>
      <c r="B94" s="13">
        <f ca="1">IFERROR(__xludf.DUMMYFUNCTION("""COMPUTED_VALUE"""),22159.2659823)</f>
        <v>22159.265982299999</v>
      </c>
      <c r="C94" s="12">
        <f ca="1">IFERROR(__xludf.DUMMYFUNCTION("""COMPUTED_VALUE"""),402.9)</f>
        <v>402.9</v>
      </c>
      <c r="D94" s="12">
        <f ca="1">IFERROR(__xludf.DUMMYFUNCTION("""COMPUTED_VALUE"""),6.85)</f>
        <v>6.85</v>
      </c>
      <c r="E94" s="12">
        <f ca="1">IFERROR(__xludf.DUMMYFUNCTION("""COMPUTED_VALUE"""),443.5)</f>
        <v>443.5</v>
      </c>
      <c r="F94" s="14">
        <f ca="1">IFERROR(__xludf.DUMMYFUNCTION("""COMPUTED_VALUE"""),0.0915445321307779)</f>
        <v>9.15445321307779E-2</v>
      </c>
      <c r="G94" s="12">
        <f ca="1">IFERROR(__xludf.DUMMYFUNCTION("""COMPUTED_VALUE"""),291.75)</f>
        <v>291.75</v>
      </c>
      <c r="H94" s="14">
        <f ca="1">IFERROR(__xludf.DUMMYFUNCTION("""COMPUTED_VALUE"""),0.380976863753213)</f>
        <v>0.38097686375321299</v>
      </c>
      <c r="I94" s="12">
        <f ca="1">IFERROR(__xludf.DUMMYFUNCTION("""COMPUTED_VALUE"""),400.2)</f>
        <v>400.2</v>
      </c>
      <c r="J94" s="14">
        <f ca="1">IFERROR(__xludf.DUMMYFUNCTION("""COMPUTED_VALUE"""),0.00674662668665664)</f>
        <v>6.7466266866566399E-3</v>
      </c>
      <c r="K94" s="12" t="str">
        <f ca="1"/>
        <v>NBFC</v>
      </c>
      <c r="L94" s="12" t="str">
        <f ca="1"/>
        <v>BOM:500253</v>
      </c>
      <c r="M94" s="12" t="str">
        <f ca="1"/>
        <v>No</v>
      </c>
      <c r="N94" s="12" t="str">
        <f ca="1"/>
        <v>No</v>
      </c>
      <c r="O94" s="12" t="str">
        <f ca="1"/>
        <v>Good Stock</v>
      </c>
      <c r="P94" s="12" t="str">
        <f ca="1"/>
        <v>Medium Cap</v>
      </c>
    </row>
    <row r="95" spans="1:16" ht="13.2">
      <c r="A95" s="12" t="str">
        <f ca="1">IFERROR(__xludf.DUMMYFUNCTION("""COMPUTED_VALUE"""),"IPCA Lab")</f>
        <v>IPCA Lab</v>
      </c>
      <c r="B95" s="13">
        <f ca="1">IFERROR(__xludf.DUMMYFUNCTION("""COMPUTED_VALUE"""),22090.03)</f>
        <v>22090.03</v>
      </c>
      <c r="C95" s="12">
        <f ca="1">IFERROR(__xludf.DUMMYFUNCTION("""COMPUTED_VALUE"""),872.85)</f>
        <v>872.85</v>
      </c>
      <c r="D95" s="12">
        <f ca="1">IFERROR(__xludf.DUMMYFUNCTION("""COMPUTED_VALUE"""),42.96)</f>
        <v>42.96</v>
      </c>
      <c r="E95" s="12">
        <f ca="1">IFERROR(__xludf.DUMMYFUNCTION("""COMPUTED_VALUE"""),1095)</f>
        <v>1095</v>
      </c>
      <c r="F95" s="14">
        <f ca="1">IFERROR(__xludf.DUMMYFUNCTION("""COMPUTED_VALUE"""),0.202876712328767)</f>
        <v>0.202876712328767</v>
      </c>
      <c r="G95" s="12">
        <f ca="1">IFERROR(__xludf.DUMMYFUNCTION("""COMPUTED_VALUE"""),830)</f>
        <v>830</v>
      </c>
      <c r="H95" s="14">
        <f ca="1">IFERROR(__xludf.DUMMYFUNCTION("""COMPUTED_VALUE"""),0.0516265060240964)</f>
        <v>5.1626506024096401E-2</v>
      </c>
      <c r="I95" s="12">
        <f ca="1">IFERROR(__xludf.DUMMYFUNCTION("""COMPUTED_VALUE"""),868.6)</f>
        <v>868.6</v>
      </c>
      <c r="J95" s="14">
        <f ca="1">IFERROR(__xludf.DUMMYFUNCTION("""COMPUTED_VALUE"""),0.00489293115358047)</f>
        <v>4.8929311535804701E-3</v>
      </c>
      <c r="K95" s="12" t="str">
        <f ca="1"/>
        <v>Pharma</v>
      </c>
      <c r="L95" s="12" t="str">
        <f ca="1"/>
        <v>IPCALAB</v>
      </c>
      <c r="M95" s="12" t="str">
        <f ca="1"/>
        <v>No</v>
      </c>
      <c r="N95" s="12" t="str">
        <f ca="1"/>
        <v>No</v>
      </c>
      <c r="O95" s="12" t="str">
        <f ca="1"/>
        <v>Good Stock</v>
      </c>
      <c r="P95" s="12" t="str">
        <f ca="1"/>
        <v>Medium Cap</v>
      </c>
    </row>
    <row r="96" spans="1:16" ht="13.2">
      <c r="A96" s="12" t="str">
        <f ca="1">IFERROR(__xludf.DUMMYFUNCTION("""COMPUTED_VALUE"""),"Dixon Technologies")</f>
        <v>Dixon Technologies</v>
      </c>
      <c r="B96" s="13">
        <f ca="1">IFERROR(__xludf.DUMMYFUNCTION("""COMPUTED_VALUE"""),21650.114525)</f>
        <v>21650.114525000001</v>
      </c>
      <c r="C96" s="12">
        <f ca="1">IFERROR(__xludf.DUMMYFUNCTION("""COMPUTED_VALUE"""),3635)</f>
        <v>3635</v>
      </c>
      <c r="D96" s="12">
        <f ca="1">IFERROR(__xludf.DUMMYFUNCTION("""COMPUTED_VALUE"""),93.72)</f>
        <v>93.72</v>
      </c>
      <c r="E96" s="12">
        <f ca="1">IFERROR(__xludf.DUMMYFUNCTION("""COMPUTED_VALUE"""),5444.1)</f>
        <v>5444.1</v>
      </c>
      <c r="F96" s="14">
        <f ca="1">IFERROR(__xludf.DUMMYFUNCTION("""COMPUTED_VALUE"""),0.332304696827758)</f>
        <v>0.33230469682775798</v>
      </c>
      <c r="G96" s="12">
        <f ca="1">IFERROR(__xludf.DUMMYFUNCTION("""COMPUTED_VALUE"""),3180.55)</f>
        <v>3180.55</v>
      </c>
      <c r="H96" s="14">
        <f ca="1">IFERROR(__xludf.DUMMYFUNCTION("""COMPUTED_VALUE"""),0.14288409237396)</f>
        <v>0.14288409237395999</v>
      </c>
      <c r="I96" s="12">
        <f ca="1">IFERROR(__xludf.DUMMYFUNCTION("""COMPUTED_VALUE"""),3651.05)</f>
        <v>3651.05</v>
      </c>
      <c r="J96" s="14">
        <f ca="1">IFERROR(__xludf.DUMMYFUNCTION("""COMPUTED_VALUE"""),-0.00439599567247783)</f>
        <v>-4.3959956724778301E-3</v>
      </c>
      <c r="K96" s="12" t="str">
        <f ca="1"/>
        <v>Manufacturing</v>
      </c>
      <c r="L96" s="12" t="str">
        <f ca="1"/>
        <v>DIXON</v>
      </c>
      <c r="M96" s="12" t="str">
        <f ca="1"/>
        <v>No</v>
      </c>
      <c r="N96" s="12" t="str">
        <f ca="1"/>
        <v>No</v>
      </c>
      <c r="O96" s="12" t="str">
        <f ca="1"/>
        <v/>
      </c>
      <c r="P96" s="12" t="str">
        <f ca="1"/>
        <v>Medium Cap</v>
      </c>
    </row>
    <row r="97" spans="1:16" ht="13.2">
      <c r="A97" s="12" t="str">
        <f ca="1">IFERROR(__xludf.DUMMYFUNCTION("""COMPUTED_VALUE"""),"Crompton Greves")</f>
        <v>Crompton Greves</v>
      </c>
      <c r="B97" s="13">
        <f ca="1">IFERROR(__xludf.DUMMYFUNCTION("""COMPUTED_VALUE"""),21451.6044776)</f>
        <v>21451.604477600002</v>
      </c>
      <c r="C97" s="12">
        <f ca="1">IFERROR(__xludf.DUMMYFUNCTION("""COMPUTED_VALUE"""),337.35)</f>
        <v>337.35</v>
      </c>
      <c r="D97" s="12">
        <f ca="1">IFERROR(__xludf.DUMMYFUNCTION("""COMPUTED_VALUE"""),36.77)</f>
        <v>36.770000000000003</v>
      </c>
      <c r="E97" s="12">
        <f ca="1">IFERROR(__xludf.DUMMYFUNCTION("""COMPUTED_VALUE"""),451.95)</f>
        <v>451.95</v>
      </c>
      <c r="F97" s="14">
        <f ca="1">IFERROR(__xludf.DUMMYFUNCTION("""COMPUTED_VALUE"""),0.253567872552273)</f>
        <v>0.25356787255227298</v>
      </c>
      <c r="G97" s="12">
        <f ca="1">IFERROR(__xludf.DUMMYFUNCTION("""COMPUTED_VALUE"""),312)</f>
        <v>312</v>
      </c>
      <c r="H97" s="14">
        <f ca="1">IFERROR(__xludf.DUMMYFUNCTION("""COMPUTED_VALUE"""),0.08125)</f>
        <v>8.1250000000000003E-2</v>
      </c>
      <c r="I97" s="12">
        <f ca="1">IFERROR(__xludf.DUMMYFUNCTION("""COMPUTED_VALUE"""),338)</f>
        <v>338</v>
      </c>
      <c r="J97" s="14">
        <f ca="1">IFERROR(__xludf.DUMMYFUNCTION("""COMPUTED_VALUE"""),-0.00192307692307685)</f>
        <v>-1.9230769230768499E-3</v>
      </c>
      <c r="K97" s="12" t="str">
        <f ca="1"/>
        <v>Consumer Electrical</v>
      </c>
      <c r="L97" s="12" t="str">
        <f ca="1"/>
        <v>CROMPTON</v>
      </c>
      <c r="M97" s="12" t="str">
        <f ca="1"/>
        <v>No</v>
      </c>
      <c r="N97" s="12" t="str">
        <f ca="1"/>
        <v>No</v>
      </c>
      <c r="O97" s="12" t="str">
        <f ca="1"/>
        <v>Good Stock</v>
      </c>
      <c r="P97" s="12" t="str">
        <f ca="1"/>
        <v>Medium Cap</v>
      </c>
    </row>
    <row r="98" spans="1:16" ht="13.2">
      <c r="A98" s="12" t="str">
        <f ca="1">IFERROR(__xludf.DUMMYFUNCTION("""COMPUTED_VALUE"""),"Aarti Industries")</f>
        <v>Aarti Industries</v>
      </c>
      <c r="B98" s="13">
        <f ca="1">IFERROR(__xludf.DUMMYFUNCTION("""COMPUTED_VALUE"""),21081.42)</f>
        <v>21081.42</v>
      </c>
      <c r="C98" s="12">
        <f ca="1">IFERROR(__xludf.DUMMYFUNCTION("""COMPUTED_VALUE"""),581.8)</f>
        <v>581.79999999999995</v>
      </c>
      <c r="D98" s="12">
        <f ca="1">IFERROR(__xludf.DUMMYFUNCTION("""COMPUTED_VALUE"""),17.2)</f>
        <v>17.2</v>
      </c>
      <c r="E98" s="12">
        <f ca="1">IFERROR(__xludf.DUMMYFUNCTION("""COMPUTED_VALUE"""),1118)</f>
        <v>1118</v>
      </c>
      <c r="F98" s="14">
        <f ca="1">IFERROR(__xludf.DUMMYFUNCTION("""COMPUTED_VALUE"""),0.479606440071556)</f>
        <v>0.47960644007155601</v>
      </c>
      <c r="G98" s="12">
        <f ca="1">IFERROR(__xludf.DUMMYFUNCTION("""COMPUTED_VALUE"""),579)</f>
        <v>579</v>
      </c>
      <c r="H98" s="14">
        <f ca="1">IFERROR(__xludf.DUMMYFUNCTION("""COMPUTED_VALUE"""),0.00483592400690838)</f>
        <v>4.8359240069083802E-3</v>
      </c>
      <c r="I98" s="12">
        <f ca="1">IFERROR(__xludf.DUMMYFUNCTION("""COMPUTED_VALUE"""),592.4)</f>
        <v>592.4</v>
      </c>
      <c r="J98" s="14">
        <f ca="1">IFERROR(__xludf.DUMMYFUNCTION("""COMPUTED_VALUE"""),-0.0178933153274814)</f>
        <v>-1.78933153274814E-2</v>
      </c>
      <c r="K98" s="12" t="str">
        <f ca="1"/>
        <v>Chemical</v>
      </c>
      <c r="L98" s="12" t="str">
        <f ca="1"/>
        <v>AARTIIND</v>
      </c>
      <c r="M98" s="12" t="str">
        <f ca="1"/>
        <v>No</v>
      </c>
      <c r="N98" s="12" t="str">
        <f ca="1"/>
        <v>No</v>
      </c>
      <c r="O98" s="12" t="str">
        <f ca="1"/>
        <v>Good Stock</v>
      </c>
      <c r="P98" s="12" t="str">
        <f ca="1"/>
        <v>Medium Cap</v>
      </c>
    </row>
    <row r="99" spans="1:16" ht="13.2">
      <c r="A99" s="12" t="str">
        <f ca="1">IFERROR(__xludf.DUMMYFUNCTION("""COMPUTED_VALUE"""),"Bayer Cropscience")</f>
        <v>Bayer Cropscience</v>
      </c>
      <c r="B99" s="13">
        <f ca="1">IFERROR(__xludf.DUMMYFUNCTION("""COMPUTED_VALUE"""),21050.0222911)</f>
        <v>21050.022291099998</v>
      </c>
      <c r="C99" s="12">
        <f ca="1">IFERROR(__xludf.DUMMYFUNCTION("""COMPUTED_VALUE"""),4669.05)</f>
        <v>4669.05</v>
      </c>
      <c r="D99" s="12">
        <f ca="1">IFERROR(__xludf.DUMMYFUNCTION("""COMPUTED_VALUE"""),29.86)</f>
        <v>29.86</v>
      </c>
      <c r="E99" s="12">
        <f ca="1">IFERROR(__xludf.DUMMYFUNCTION("""COMPUTED_VALUE"""),5667.75)</f>
        <v>5667.75</v>
      </c>
      <c r="F99" s="14">
        <f ca="1">IFERROR(__xludf.DUMMYFUNCTION("""COMPUTED_VALUE"""),0.176207489744607)</f>
        <v>0.17620748974460701</v>
      </c>
      <c r="G99" s="12">
        <f ca="1">IFERROR(__xludf.DUMMYFUNCTION("""COMPUTED_VALUE"""),4218.05)</f>
        <v>4218.05</v>
      </c>
      <c r="H99" s="14">
        <f ca="1">IFERROR(__xludf.DUMMYFUNCTION("""COMPUTED_VALUE"""),0.106921444743424)</f>
        <v>0.10692144474342399</v>
      </c>
      <c r="I99" s="12">
        <f ca="1">IFERROR(__xludf.DUMMYFUNCTION("""COMPUTED_VALUE"""),4647.55)</f>
        <v>4647.55</v>
      </c>
      <c r="J99" s="14">
        <f ca="1">IFERROR(__xludf.DUMMYFUNCTION("""COMPUTED_VALUE"""),0.00462609331798474)</f>
        <v>4.6260933179847396E-3</v>
      </c>
      <c r="K99" s="12" t="str">
        <f ca="1"/>
        <v>Agrochemical</v>
      </c>
      <c r="L99" s="12" t="str">
        <f ca="1"/>
        <v>BAYERCROP</v>
      </c>
      <c r="M99" s="12" t="str">
        <f ca="1"/>
        <v>No</v>
      </c>
      <c r="N99" s="12" t="str">
        <f ca="1"/>
        <v>No</v>
      </c>
      <c r="O99" s="12" t="str">
        <f ca="1"/>
        <v>Good Stock</v>
      </c>
      <c r="P99" s="12" t="str">
        <f ca="1"/>
        <v>Medium Cap</v>
      </c>
    </row>
    <row r="100" spans="1:16" ht="13.2">
      <c r="A100" s="12" t="str">
        <f ca="1">IFERROR(__xludf.DUMMYFUNCTION("""COMPUTED_VALUE"""),"Vinita Organics")</f>
        <v>Vinita Organics</v>
      </c>
      <c r="B100" s="13">
        <f ca="1">IFERROR(__xludf.DUMMYFUNCTION("""COMPUTED_VALUE"""),20604.2)</f>
        <v>20604.2</v>
      </c>
      <c r="C100" s="12">
        <f ca="1">IFERROR(__xludf.DUMMYFUNCTION("""COMPUTED_VALUE"""),2000)</f>
        <v>2000</v>
      </c>
      <c r="D100" s="12">
        <f ca="1">IFERROR(__xludf.DUMMYFUNCTION("""COMPUTED_VALUE"""),51.19)</f>
        <v>51.19</v>
      </c>
      <c r="E100" s="12">
        <f ca="1">IFERROR(__xludf.DUMMYFUNCTION("""COMPUTED_VALUE"""),2377)</f>
        <v>2377</v>
      </c>
      <c r="F100" s="14">
        <f ca="1">IFERROR(__xludf.DUMMYFUNCTION("""COMPUTED_VALUE"""),0.158603281447202)</f>
        <v>0.15860328144720201</v>
      </c>
      <c r="G100" s="12">
        <f ca="1">IFERROR(__xludf.DUMMYFUNCTION("""COMPUTED_VALUE"""),1674.2)</f>
        <v>1674.2</v>
      </c>
      <c r="H100" s="14">
        <f ca="1">IFERROR(__xludf.DUMMYFUNCTION("""COMPUTED_VALUE"""),0.194600406164138)</f>
        <v>0.19460040616413801</v>
      </c>
      <c r="I100" s="12">
        <f ca="1">IFERROR(__xludf.DUMMYFUNCTION("""COMPUTED_VALUE"""),2014.85)</f>
        <v>2014.85</v>
      </c>
      <c r="J100" s="14">
        <f ca="1">IFERROR(__xludf.DUMMYFUNCTION("""COMPUTED_VALUE"""),-0.00737027570290587)</f>
        <v>-7.3702757029058697E-3</v>
      </c>
      <c r="K100" s="12" t="str">
        <f ca="1"/>
        <v>Chemical</v>
      </c>
      <c r="L100" s="12" t="str">
        <f ca="1"/>
        <v>VINATIORGA</v>
      </c>
      <c r="M100" s="12" t="str">
        <f ca="1"/>
        <v>No</v>
      </c>
      <c r="N100" s="12" t="str">
        <f ca="1"/>
        <v>No</v>
      </c>
      <c r="O100" s="12" t="str">
        <f ca="1"/>
        <v>Good Stock</v>
      </c>
      <c r="P100" s="12" t="str">
        <f ca="1"/>
        <v>Medium Cap</v>
      </c>
    </row>
    <row r="101" spans="1:16" ht="13.2">
      <c r="A101" s="12" t="str">
        <f ca="1">IFERROR(__xludf.DUMMYFUNCTION("""COMPUTED_VALUE"""),"Bata India")</f>
        <v>Bata India</v>
      </c>
      <c r="B101" s="13">
        <f ca="1">IFERROR(__xludf.DUMMYFUNCTION("""COMPUTED_VALUE"""),20286.8999472)</f>
        <v>20286.8999472</v>
      </c>
      <c r="C101" s="12">
        <f ca="1">IFERROR(__xludf.DUMMYFUNCTION("""COMPUTED_VALUE"""),1580)</f>
        <v>1580</v>
      </c>
      <c r="D101" s="12">
        <f ca="1">IFERROR(__xludf.DUMMYFUNCTION("""COMPUTED_VALUE"""),65.53)</f>
        <v>65.53</v>
      </c>
      <c r="E101" s="12">
        <f ca="1">IFERROR(__xludf.DUMMYFUNCTION("""COMPUTED_VALUE"""),2122)</f>
        <v>2122</v>
      </c>
      <c r="F101" s="14">
        <f ca="1">IFERROR(__xludf.DUMMYFUNCTION("""COMPUTED_VALUE"""),0.255419415645617)</f>
        <v>0.25541941564561699</v>
      </c>
      <c r="G101" s="12">
        <f ca="1">IFERROR(__xludf.DUMMYFUNCTION("""COMPUTED_VALUE"""),1551.1)</f>
        <v>1551.1</v>
      </c>
      <c r="H101" s="14">
        <f ca="1">IFERROR(__xludf.DUMMYFUNCTION("""COMPUTED_VALUE"""),0.0186319386242022)</f>
        <v>1.8631938624202201E-2</v>
      </c>
      <c r="I101" s="12">
        <f ca="1">IFERROR(__xludf.DUMMYFUNCTION("""COMPUTED_VALUE"""),1636.6)</f>
        <v>1636.6</v>
      </c>
      <c r="J101" s="14">
        <f ca="1">IFERROR(__xludf.DUMMYFUNCTION("""COMPUTED_VALUE"""),-0.0345838934376145)</f>
        <v>-3.4583893437614498E-2</v>
      </c>
      <c r="K101" s="12" t="str">
        <f ca="1"/>
        <v>Footwear</v>
      </c>
      <c r="L101" s="12" t="str">
        <f ca="1"/>
        <v>BATAINDIA</v>
      </c>
      <c r="M101" s="12" t="str">
        <f ca="1"/>
        <v>No</v>
      </c>
      <c r="N101" s="12" t="str">
        <f ca="1"/>
        <v>No</v>
      </c>
      <c r="O101" s="12" t="str">
        <f ca="1"/>
        <v/>
      </c>
      <c r="P101" s="12" t="str">
        <f ca="1"/>
        <v>Medium Cap</v>
      </c>
    </row>
    <row r="102" spans="1:16" ht="13.2">
      <c r="A102" s="12" t="str">
        <f ca="1">IFERROR(__xludf.DUMMYFUNCTION("""COMPUTED_VALUE"""),"Navin Flourine")</f>
        <v>Navin Flourine</v>
      </c>
      <c r="B102" s="13">
        <f ca="1">IFERROR(__xludf.DUMMYFUNCTION("""COMPUTED_VALUE"""),20217.231452)</f>
        <v>20217.231452</v>
      </c>
      <c r="C102" s="12">
        <f ca="1">IFERROR(__xludf.DUMMYFUNCTION("""COMPUTED_VALUE"""),4080.6)</f>
        <v>4080.6</v>
      </c>
      <c r="D102" s="12">
        <f ca="1">IFERROR(__xludf.DUMMYFUNCTION("""COMPUTED_VALUE"""),73.24)</f>
        <v>73.239999999999995</v>
      </c>
      <c r="E102" s="12">
        <f ca="1">IFERROR(__xludf.DUMMYFUNCTION("""COMPUTED_VALUE"""),4847.35)</f>
        <v>4847.3500000000004</v>
      </c>
      <c r="F102" s="14">
        <f ca="1">IFERROR(__xludf.DUMMYFUNCTION("""COMPUTED_VALUE"""),0.15817921132165)</f>
        <v>0.15817921132165</v>
      </c>
      <c r="G102" s="12">
        <f ca="1">IFERROR(__xludf.DUMMYFUNCTION("""COMPUTED_VALUE"""),3361.45)</f>
        <v>3361.45</v>
      </c>
      <c r="H102" s="14">
        <f ca="1">IFERROR(__xludf.DUMMYFUNCTION("""COMPUTED_VALUE"""),0.213940412619554)</f>
        <v>0.21394041261955399</v>
      </c>
      <c r="I102" s="12">
        <f ca="1">IFERROR(__xludf.DUMMYFUNCTION("""COMPUTED_VALUE"""),4127.1)</f>
        <v>4127.1000000000004</v>
      </c>
      <c r="J102" s="14">
        <f ca="1">IFERROR(__xludf.DUMMYFUNCTION("""COMPUTED_VALUE"""),-0.0112669913498583)</f>
        <v>-1.1266991349858301E-2</v>
      </c>
      <c r="K102" s="12" t="str">
        <f ca="1"/>
        <v>Chemical</v>
      </c>
      <c r="L102" s="12" t="str">
        <f ca="1"/>
        <v>BOM:532504</v>
      </c>
      <c r="M102" s="12" t="str">
        <f ca="1"/>
        <v>No</v>
      </c>
      <c r="N102" s="12" t="str">
        <f ca="1"/>
        <v>No</v>
      </c>
      <c r="O102" s="12" t="str">
        <f ca="1"/>
        <v/>
      </c>
      <c r="P102" s="12" t="str">
        <f ca="1"/>
        <v>Medium Cap</v>
      </c>
    </row>
    <row r="103" spans="1:16" ht="13.2">
      <c r="A103" s="12" t="str">
        <f ca="1">IFERROR(__xludf.DUMMYFUNCTION("""COMPUTED_VALUE"""),"Endurance Technology")</f>
        <v>Endurance Technology</v>
      </c>
      <c r="B103" s="13">
        <f ca="1">IFERROR(__xludf.DUMMYFUNCTION("""COMPUTED_VALUE"""),19679.44)</f>
        <v>19679.439999999999</v>
      </c>
      <c r="C103" s="12">
        <f ca="1">IFERROR(__xludf.DUMMYFUNCTION("""COMPUTED_VALUE"""),1398.5)</f>
        <v>1398.5</v>
      </c>
      <c r="D103" s="12">
        <f ca="1">IFERROR(__xludf.DUMMYFUNCTION("""COMPUTED_VALUE"""),42.23)</f>
        <v>42.23</v>
      </c>
      <c r="E103" s="12">
        <f ca="1">IFERROR(__xludf.DUMMYFUNCTION("""COMPUTED_VALUE"""),1736.15)</f>
        <v>1736.15</v>
      </c>
      <c r="F103" s="14">
        <f ca="1">IFERROR(__xludf.DUMMYFUNCTION("""COMPUTED_VALUE"""),0.194482043602223)</f>
        <v>0.19448204360222299</v>
      </c>
      <c r="G103" s="12">
        <f ca="1">IFERROR(__xludf.DUMMYFUNCTION("""COMPUTED_VALUE"""),1047.2)</f>
        <v>1047.2</v>
      </c>
      <c r="H103" s="14">
        <f ca="1">IFERROR(__xludf.DUMMYFUNCTION("""COMPUTED_VALUE"""),0.335466004583651)</f>
        <v>0.335466004583651</v>
      </c>
      <c r="I103" s="12">
        <f ca="1">IFERROR(__xludf.DUMMYFUNCTION("""COMPUTED_VALUE"""),1401.15)</f>
        <v>1401.15</v>
      </c>
      <c r="J103" s="14">
        <f ca="1">IFERROR(__xludf.DUMMYFUNCTION("""COMPUTED_VALUE"""),-0.00189130357206586)</f>
        <v>-1.89130357206586E-3</v>
      </c>
      <c r="K103" s="12" t="str">
        <f ca="1"/>
        <v>Automobile Ancilliary</v>
      </c>
      <c r="L103" s="12" t="str">
        <f ca="1"/>
        <v>ENDURANCE</v>
      </c>
      <c r="M103" s="12" t="str">
        <f ca="1"/>
        <v>No</v>
      </c>
      <c r="N103" s="12" t="str">
        <f ca="1"/>
        <v>No</v>
      </c>
      <c r="O103" s="12" t="str">
        <f ca="1"/>
        <v>Good Stock</v>
      </c>
      <c r="P103" s="12" t="str">
        <f ca="1"/>
        <v>Medium Cap</v>
      </c>
    </row>
    <row r="104" spans="1:16" ht="13.2">
      <c r="A104" s="12" t="str">
        <f ca="1">IFERROR(__xludf.DUMMYFUNCTION("""COMPUTED_VALUE"""),"Pfizer")</f>
        <v>Pfizer</v>
      </c>
      <c r="B104" s="13">
        <f ca="1">IFERROR(__xludf.DUMMYFUNCTION("""COMPUTED_VALUE"""),19278.55)</f>
        <v>19278.55</v>
      </c>
      <c r="C104" s="12">
        <f ca="1">IFERROR(__xludf.DUMMYFUNCTION("""COMPUTED_VALUE"""),4224.9)</f>
        <v>4224.8999999999996</v>
      </c>
      <c r="D104" s="12">
        <f ca="1">IFERROR(__xludf.DUMMYFUNCTION("""COMPUTED_VALUE"""),31.52)</f>
        <v>31.52</v>
      </c>
      <c r="E104" s="12">
        <f ca="1">IFERROR(__xludf.DUMMYFUNCTION("""COMPUTED_VALUE"""),4946.1)</f>
        <v>4946.1000000000004</v>
      </c>
      <c r="F104" s="14">
        <f ca="1">IFERROR(__xludf.DUMMYFUNCTION("""COMPUTED_VALUE"""),0.145811851761994)</f>
        <v>0.14581185176199399</v>
      </c>
      <c r="G104" s="12">
        <f ca="1">IFERROR(__xludf.DUMMYFUNCTION("""COMPUTED_VALUE"""),4056)</f>
        <v>4056</v>
      </c>
      <c r="H104" s="14">
        <f ca="1">IFERROR(__xludf.DUMMYFUNCTION("""COMPUTED_VALUE"""),0.0416420118343194)</f>
        <v>4.1642011834319398E-2</v>
      </c>
      <c r="I104" s="12">
        <f ca="1">IFERROR(__xludf.DUMMYFUNCTION("""COMPUTED_VALUE"""),4254)</f>
        <v>4254</v>
      </c>
      <c r="J104" s="14">
        <f ca="1">IFERROR(__xludf.DUMMYFUNCTION("""COMPUTED_VALUE"""),-0.00684062059238372)</f>
        <v>-6.8406205923837197E-3</v>
      </c>
      <c r="K104" s="12" t="str">
        <f ca="1"/>
        <v>Pharma</v>
      </c>
      <c r="L104" s="12" t="str">
        <f ca="1"/>
        <v>BOM:500680</v>
      </c>
      <c r="M104" s="12" t="str">
        <f ca="1"/>
        <v>No</v>
      </c>
      <c r="N104" s="12" t="str">
        <f ca="1"/>
        <v>No</v>
      </c>
      <c r="O104" s="12" t="str">
        <f ca="1"/>
        <v>Good Stock</v>
      </c>
      <c r="P104" s="12" t="str">
        <f ca="1"/>
        <v>Medium Cap</v>
      </c>
    </row>
    <row r="105" spans="1:16" ht="13.2">
      <c r="A105" s="12" t="str">
        <f ca="1">IFERROR(__xludf.DUMMYFUNCTION("""COMPUTED_VALUE"""),"Lauras Lab")</f>
        <v>Lauras Lab</v>
      </c>
      <c r="B105" s="13">
        <f ca="1">IFERROR(__xludf.DUMMYFUNCTION("""COMPUTED_VALUE"""),19213.8702946)</f>
        <v>19213.870294600001</v>
      </c>
      <c r="C105" s="12">
        <f ca="1">IFERROR(__xludf.DUMMYFUNCTION("""COMPUTED_VALUE"""),357.4)</f>
        <v>357.4</v>
      </c>
      <c r="D105" s="12">
        <f ca="1">IFERROR(__xludf.DUMMYFUNCTION("""COMPUTED_VALUE"""),22.19)</f>
        <v>22.19</v>
      </c>
      <c r="E105" s="12">
        <f ca="1">IFERROR(__xludf.DUMMYFUNCTION("""COMPUTED_VALUE"""),626.3)</f>
        <v>626.29999999999995</v>
      </c>
      <c r="F105" s="14">
        <f ca="1">IFERROR(__xludf.DUMMYFUNCTION("""COMPUTED_VALUE"""),0.42934695832668)</f>
        <v>0.42934695832668002</v>
      </c>
      <c r="G105" s="12">
        <f ca="1">IFERROR(__xludf.DUMMYFUNCTION("""COMPUTED_VALUE"""),354)</f>
        <v>354</v>
      </c>
      <c r="H105" s="14">
        <f ca="1">IFERROR(__xludf.DUMMYFUNCTION("""COMPUTED_VALUE"""),0.00960451977401123)</f>
        <v>9.6045197740112307E-3</v>
      </c>
      <c r="I105" s="12">
        <f ca="1">IFERROR(__xludf.DUMMYFUNCTION("""COMPUTED_VALUE"""),360.4)</f>
        <v>360.4</v>
      </c>
      <c r="J105" s="14">
        <f ca="1">IFERROR(__xludf.DUMMYFUNCTION("""COMPUTED_VALUE"""),-0.00832408435072142)</f>
        <v>-8.3240843507214196E-3</v>
      </c>
      <c r="K105" s="12" t="str">
        <f ca="1"/>
        <v>Pharma</v>
      </c>
      <c r="L105" s="12" t="str">
        <f ca="1"/>
        <v>LAURUSLABS</v>
      </c>
      <c r="M105" s="12" t="str">
        <f ca="1"/>
        <v>No</v>
      </c>
      <c r="N105" s="12" t="str">
        <f ca="1"/>
        <v>No</v>
      </c>
      <c r="O105" s="12" t="str">
        <f ca="1"/>
        <v>Good Stock</v>
      </c>
      <c r="P105" s="12" t="str">
        <f ca="1"/>
        <v>Medium Cap</v>
      </c>
    </row>
    <row r="106" spans="1:16" ht="13.2">
      <c r="A106" s="12" t="str">
        <f ca="1">IFERROR(__xludf.DUMMYFUNCTION("""COMPUTED_VALUE"""),"KPIT")</f>
        <v>KPIT</v>
      </c>
      <c r="B106" s="13">
        <f ca="1">IFERROR(__xludf.DUMMYFUNCTION("""COMPUTED_VALUE"""),18827.9516699)</f>
        <v>18827.951669900001</v>
      </c>
      <c r="C106" s="12">
        <f ca="1">IFERROR(__xludf.DUMMYFUNCTION("""COMPUTED_VALUE"""),696.3)</f>
        <v>696.3</v>
      </c>
      <c r="D106" s="12">
        <f ca="1">IFERROR(__xludf.DUMMYFUNCTION("""COMPUTED_VALUE"""),59.82)</f>
        <v>59.82</v>
      </c>
      <c r="E106" s="12">
        <f ca="1">IFERROR(__xludf.DUMMYFUNCTION("""COMPUTED_VALUE"""),764.25)</f>
        <v>764.25</v>
      </c>
      <c r="F106" s="14">
        <f ca="1">IFERROR(__xludf.DUMMYFUNCTION("""COMPUTED_VALUE"""),0.0889106967615309)</f>
        <v>8.8910696761530905E-2</v>
      </c>
      <c r="G106" s="12">
        <f ca="1">IFERROR(__xludf.DUMMYFUNCTION("""COMPUTED_VALUE"""),440)</f>
        <v>440</v>
      </c>
      <c r="H106" s="14">
        <f ca="1">IFERROR(__xludf.DUMMYFUNCTION("""COMPUTED_VALUE"""),0.582499999999999)</f>
        <v>0.58249999999999902</v>
      </c>
      <c r="I106" s="12">
        <f ca="1">IFERROR(__xludf.DUMMYFUNCTION("""COMPUTED_VALUE"""),692.45)</f>
        <v>692.45</v>
      </c>
      <c r="J106" s="14">
        <f ca="1">IFERROR(__xludf.DUMMYFUNCTION("""COMPUTED_VALUE"""),0.00555996822875284)</f>
        <v>5.5599682287528398E-3</v>
      </c>
      <c r="K106" s="12" t="str">
        <f ca="1"/>
        <v>IT</v>
      </c>
      <c r="L106" s="12" t="str">
        <f ca="1"/>
        <v>BOM:542651</v>
      </c>
      <c r="M106" s="12" t="str">
        <f ca="1"/>
        <v>No</v>
      </c>
      <c r="N106" s="12" t="str">
        <f ca="1"/>
        <v>No</v>
      </c>
      <c r="O106" s="12" t="str">
        <f ca="1"/>
        <v>Good Stock</v>
      </c>
      <c r="P106" s="12" t="str">
        <f ca="1"/>
        <v>Medium Cap</v>
      </c>
    </row>
    <row r="107" spans="1:16" ht="13.2">
      <c r="A107" s="12" t="str">
        <f ca="1">IFERROR(__xludf.DUMMYFUNCTION("""COMPUTED_VALUE"""),"Whirlpool")</f>
        <v>Whirlpool</v>
      </c>
      <c r="B107" s="13">
        <f ca="1">IFERROR(__xludf.DUMMYFUNCTION("""COMPUTED_VALUE"""),18318.3733666)</f>
        <v>18318.373366600001</v>
      </c>
      <c r="C107" s="12">
        <f ca="1">IFERROR(__xludf.DUMMYFUNCTION("""COMPUTED_VALUE"""),1441.55)</f>
        <v>1441.55</v>
      </c>
      <c r="D107" s="12">
        <f ca="1">IFERROR(__xludf.DUMMYFUNCTION("""COMPUTED_VALUE"""),70.52)</f>
        <v>70.52</v>
      </c>
      <c r="E107" s="12">
        <f ca="1">IFERROR(__xludf.DUMMYFUNCTION("""COMPUTED_VALUE"""),1917)</f>
        <v>1917</v>
      </c>
      <c r="F107" s="14">
        <f ca="1">IFERROR(__xludf.DUMMYFUNCTION("""COMPUTED_VALUE"""),0.248017736045905)</f>
        <v>0.24801773604590499</v>
      </c>
      <c r="G107" s="12">
        <f ca="1">IFERROR(__xludf.DUMMYFUNCTION("""COMPUTED_VALUE"""),1365.1)</f>
        <v>1365.1</v>
      </c>
      <c r="H107" s="14">
        <f ca="1">IFERROR(__xludf.DUMMYFUNCTION("""COMPUTED_VALUE"""),0.056003223207091)</f>
        <v>5.6003223207091002E-2</v>
      </c>
      <c r="I107" s="12">
        <f ca="1">IFERROR(__xludf.DUMMYFUNCTION("""COMPUTED_VALUE"""),1480.7)</f>
        <v>1480.7</v>
      </c>
      <c r="J107" s="14">
        <f ca="1">IFERROR(__xludf.DUMMYFUNCTION("""COMPUTED_VALUE"""),-0.0264401972040251)</f>
        <v>-2.6440197204025101E-2</v>
      </c>
      <c r="K107" s="12" t="str">
        <f ca="1"/>
        <v>Consumer Electrical</v>
      </c>
      <c r="L107" s="12" t="str">
        <f ca="1"/>
        <v>WHIRLPOOL</v>
      </c>
      <c r="M107" s="12" t="str">
        <f ca="1"/>
        <v>No</v>
      </c>
      <c r="N107" s="12" t="str">
        <f ca="1"/>
        <v>No</v>
      </c>
      <c r="O107" s="12" t="str">
        <f ca="1"/>
        <v/>
      </c>
      <c r="P107" s="12" t="str">
        <f ca="1"/>
        <v>Medium Cap</v>
      </c>
    </row>
    <row r="108" spans="1:16" ht="13.2">
      <c r="A108" s="12" t="str">
        <f ca="1">IFERROR(__xludf.DUMMYFUNCTION("""COMPUTED_VALUE"""),"Dr Lal Path Lab")</f>
        <v>Dr Lal Path Lab</v>
      </c>
      <c r="B108" s="13">
        <f ca="1">IFERROR(__xludf.DUMMYFUNCTION("""COMPUTED_VALUE"""),17986.0053514)</f>
        <v>17986.005351399999</v>
      </c>
      <c r="C108" s="12">
        <f ca="1">IFERROR(__xludf.DUMMYFUNCTION("""COMPUTED_VALUE"""),2174.05)</f>
        <v>2174.0500000000002</v>
      </c>
      <c r="D108" s="12">
        <f ca="1">IFERROR(__xludf.DUMMYFUNCTION("""COMPUTED_VALUE"""),72.77)</f>
        <v>72.77</v>
      </c>
      <c r="E108" s="12">
        <f ca="1">IFERROR(__xludf.DUMMYFUNCTION("""COMPUTED_VALUE"""),3769.95)</f>
        <v>3769.95</v>
      </c>
      <c r="F108" s="14">
        <f ca="1">IFERROR(__xludf.DUMMYFUNCTION("""COMPUTED_VALUE"""),0.423321264207748)</f>
        <v>0.42332126420774802</v>
      </c>
      <c r="G108" s="12">
        <f ca="1">IFERROR(__xludf.DUMMYFUNCTION("""COMPUTED_VALUE"""),1805.55)</f>
        <v>1805.55</v>
      </c>
      <c r="H108" s="14">
        <f ca="1">IFERROR(__xludf.DUMMYFUNCTION("""COMPUTED_VALUE"""),0.204092935670571)</f>
        <v>0.20409293567057099</v>
      </c>
      <c r="I108" s="12">
        <f ca="1">IFERROR(__xludf.DUMMYFUNCTION("""COMPUTED_VALUE"""),2171.85)</f>
        <v>2171.85</v>
      </c>
      <c r="J108" s="14">
        <f ca="1">IFERROR(__xludf.DUMMYFUNCTION("""COMPUTED_VALUE"""),0.00101296130027408)</f>
        <v>1.0129613002740801E-3</v>
      </c>
      <c r="K108" s="12" t="str">
        <f ca="1"/>
        <v>Healthcare</v>
      </c>
      <c r="L108" s="12" t="str">
        <f ca="1"/>
        <v>LALPATHLAB</v>
      </c>
      <c r="M108" s="12" t="str">
        <f ca="1"/>
        <v>No</v>
      </c>
      <c r="N108" s="12" t="str">
        <f ca="1"/>
        <v>No</v>
      </c>
      <c r="O108" s="12" t="str">
        <f ca="1"/>
        <v/>
      </c>
      <c r="P108" s="12" t="str">
        <f ca="1"/>
        <v>Medium Cap</v>
      </c>
    </row>
    <row r="109" spans="1:16" ht="13.2">
      <c r="A109" s="12" t="str">
        <f ca="1">IFERROR(__xludf.DUMMYFUNCTION("""COMPUTED_VALUE"""),"Kajaria Ceramic")</f>
        <v>Kajaria Ceramic</v>
      </c>
      <c r="B109" s="13">
        <f ca="1">IFERROR(__xludf.DUMMYFUNCTION("""COMPUTED_VALUE"""),17802.1935)</f>
        <v>17802.193500000001</v>
      </c>
      <c r="C109" s="12">
        <f ca="1">IFERROR(__xludf.DUMMYFUNCTION("""COMPUTED_VALUE"""),1118)</f>
        <v>1118</v>
      </c>
      <c r="D109" s="12">
        <f ca="1">IFERROR(__xludf.DUMMYFUNCTION("""COMPUTED_VALUE"""),46.87)</f>
        <v>46.87</v>
      </c>
      <c r="E109" s="12">
        <f ca="1">IFERROR(__xludf.DUMMYFUNCTION("""COMPUTED_VALUE"""),1374.55)</f>
        <v>1374.55</v>
      </c>
      <c r="F109" s="14">
        <f ca="1">IFERROR(__xludf.DUMMYFUNCTION("""COMPUTED_VALUE"""),0.186642901313157)</f>
        <v>0.186642901313157</v>
      </c>
      <c r="G109" s="12">
        <f ca="1">IFERROR(__xludf.DUMMYFUNCTION("""COMPUTED_VALUE"""),885.3)</f>
        <v>885.3</v>
      </c>
      <c r="H109" s="14">
        <f ca="1">IFERROR(__xludf.DUMMYFUNCTION("""COMPUTED_VALUE"""),0.262848751835536)</f>
        <v>0.26284875183553602</v>
      </c>
      <c r="I109" s="12">
        <f ca="1">IFERROR(__xludf.DUMMYFUNCTION("""COMPUTED_VALUE"""),1112.5)</f>
        <v>1112.5</v>
      </c>
      <c r="J109" s="14">
        <f ca="1">IFERROR(__xludf.DUMMYFUNCTION("""COMPUTED_VALUE"""),0.0049438202247191)</f>
        <v>4.9438202247190999E-3</v>
      </c>
      <c r="K109" s="12" t="str">
        <f ca="1"/>
        <v>Ceramic</v>
      </c>
      <c r="L109" s="12" t="str">
        <f ca="1"/>
        <v>KAJARIACER</v>
      </c>
      <c r="M109" s="12" t="str">
        <f ca="1"/>
        <v>No</v>
      </c>
      <c r="N109" s="12" t="str">
        <f ca="1"/>
        <v>No</v>
      </c>
      <c r="O109" s="12" t="str">
        <f ca="1"/>
        <v>Good Stock</v>
      </c>
      <c r="P109" s="12" t="str">
        <f ca="1"/>
        <v>Medium Cap</v>
      </c>
    </row>
    <row r="110" spans="1:16" ht="13.2">
      <c r="A110" s="12" t="str">
        <f ca="1">IFERROR(__xludf.DUMMYFUNCTION("""COMPUTED_VALUE"""),"Fine Organics")</f>
        <v>Fine Organics</v>
      </c>
      <c r="B110" s="13">
        <f ca="1">IFERROR(__xludf.DUMMYFUNCTION("""COMPUTED_VALUE"""),17277.2)</f>
        <v>17277.2</v>
      </c>
      <c r="C110" s="12">
        <f ca="1">IFERROR(__xludf.DUMMYFUNCTION("""COMPUTED_VALUE"""),5630)</f>
        <v>5630</v>
      </c>
      <c r="D110" s="12">
        <f ca="1">IFERROR(__xludf.DUMMYFUNCTION("""COMPUTED_VALUE"""),32.19)</f>
        <v>32.19</v>
      </c>
      <c r="E110" s="12">
        <f ca="1">IFERROR(__xludf.DUMMYFUNCTION("""COMPUTED_VALUE"""),7328.75)</f>
        <v>7328.75</v>
      </c>
      <c r="F110" s="14">
        <f ca="1">IFERROR(__xludf.DUMMYFUNCTION("""COMPUTED_VALUE"""),0.231792597646256)</f>
        <v>0.23179259764625601</v>
      </c>
      <c r="G110" s="12">
        <f ca="1">IFERROR(__xludf.DUMMYFUNCTION("""COMPUTED_VALUE"""),3457.1)</f>
        <v>3457.1</v>
      </c>
      <c r="H110" s="14">
        <f ca="1">IFERROR(__xludf.DUMMYFUNCTION("""COMPUTED_VALUE"""),0.628532585114691)</f>
        <v>0.62853258511469101</v>
      </c>
      <c r="I110" s="12">
        <f ca="1">IFERROR(__xludf.DUMMYFUNCTION("""COMPUTED_VALUE"""),5672.25)</f>
        <v>5672.25</v>
      </c>
      <c r="J110" s="14">
        <f ca="1">IFERROR(__xludf.DUMMYFUNCTION("""COMPUTED_VALUE"""),-0.00744854334699634)</f>
        <v>-7.4485433469963398E-3</v>
      </c>
      <c r="K110" s="12" t="str">
        <f ca="1"/>
        <v>Chemical</v>
      </c>
      <c r="L110" s="12" t="str">
        <f ca="1"/>
        <v>FINEORG</v>
      </c>
      <c r="M110" s="12" t="str">
        <f ca="1"/>
        <v>No</v>
      </c>
      <c r="N110" s="12" t="str">
        <f ca="1"/>
        <v>No</v>
      </c>
      <c r="O110" s="12" t="str">
        <f ca="1"/>
        <v>Good Stock</v>
      </c>
      <c r="P110" s="12" t="str">
        <f ca="1"/>
        <v>Medium Cap</v>
      </c>
    </row>
    <row r="111" spans="1:16" ht="13.2">
      <c r="A111" s="12" t="str">
        <f ca="1">IFERROR(__xludf.DUMMYFUNCTION("""COMPUTED_VALUE"""),"Trident")</f>
        <v>Trident</v>
      </c>
      <c r="B111" s="13">
        <f ca="1">IFERROR(__xludf.DUMMYFUNCTION("""COMPUTED_VALUE"""),16896.24225)</f>
        <v>16896.242249999999</v>
      </c>
      <c r="C111" s="12">
        <f ca="1">IFERROR(__xludf.DUMMYFUNCTION("""COMPUTED_VALUE"""),33.75)</f>
        <v>33.75</v>
      </c>
      <c r="D111" s="12">
        <f ca="1">IFERROR(__xludf.DUMMYFUNCTION("""COMPUTED_VALUE"""),30.44)</f>
        <v>30.44</v>
      </c>
      <c r="E111" s="12">
        <f ca="1">IFERROR(__xludf.DUMMYFUNCTION("""COMPUTED_VALUE"""),70.9)</f>
        <v>70.900000000000006</v>
      </c>
      <c r="F111" s="14">
        <f ca="1">IFERROR(__xludf.DUMMYFUNCTION("""COMPUTED_VALUE"""),0.523977433004231)</f>
        <v>0.52397743300423105</v>
      </c>
      <c r="G111" s="12">
        <f ca="1">IFERROR(__xludf.DUMMYFUNCTION("""COMPUTED_VALUE"""),30.45)</f>
        <v>30.45</v>
      </c>
      <c r="H111" s="14">
        <f ca="1">IFERROR(__xludf.DUMMYFUNCTION("""COMPUTED_VALUE"""),0.108374384236453)</f>
        <v>0.108374384236453</v>
      </c>
      <c r="I111" s="12">
        <f ca="1">IFERROR(__xludf.DUMMYFUNCTION("""COMPUTED_VALUE"""),33.65)</f>
        <v>33.65</v>
      </c>
      <c r="J111" s="14">
        <f ca="1">IFERROR(__xludf.DUMMYFUNCTION("""COMPUTED_VALUE"""),0.00297176820208028)</f>
        <v>2.9717682020802801E-3</v>
      </c>
      <c r="K111" s="12" t="str">
        <f ca="1"/>
        <v>Textile</v>
      </c>
      <c r="L111" s="12" t="str">
        <f ca="1"/>
        <v>BOM:521064</v>
      </c>
      <c r="M111" s="12" t="str">
        <f ca="1"/>
        <v>No</v>
      </c>
      <c r="N111" s="12" t="str">
        <f ca="1"/>
        <v>No</v>
      </c>
      <c r="O111" s="12" t="str">
        <f ca="1"/>
        <v>Good Stock</v>
      </c>
      <c r="P111" s="12" t="str">
        <f ca="1"/>
        <v>Medium Cap</v>
      </c>
    </row>
    <row r="112" spans="1:16" ht="13.2">
      <c r="A112" s="12" t="str">
        <f ca="1">IFERROR(__xludf.DUMMYFUNCTION("""COMPUTED_VALUE"""),"Nippon AMC")</f>
        <v>Nippon AMC</v>
      </c>
      <c r="B112" s="13">
        <f ca="1">IFERROR(__xludf.DUMMYFUNCTION("""COMPUTED_VALUE"""),15766.33509)</f>
        <v>15766.33509</v>
      </c>
      <c r="C112" s="12">
        <f ca="1">IFERROR(__xludf.DUMMYFUNCTION("""COMPUTED_VALUE"""),252.6)</f>
        <v>252.6</v>
      </c>
      <c r="D112" s="12">
        <f ca="1">IFERROR(__xludf.DUMMYFUNCTION("""COMPUTED_VALUE"""),23.69)</f>
        <v>23.69</v>
      </c>
      <c r="E112" s="12">
        <f ca="1">IFERROR(__xludf.DUMMYFUNCTION("""COMPUTED_VALUE"""),375.2)</f>
        <v>375.2</v>
      </c>
      <c r="F112" s="14">
        <f ca="1">IFERROR(__xludf.DUMMYFUNCTION("""COMPUTED_VALUE"""),0.326759061833688)</f>
        <v>0.32675906183368802</v>
      </c>
      <c r="G112" s="12">
        <f ca="1">IFERROR(__xludf.DUMMYFUNCTION("""COMPUTED_VALUE"""),241.05)</f>
        <v>241.05</v>
      </c>
      <c r="H112" s="14">
        <f ca="1">IFERROR(__xludf.DUMMYFUNCTION("""COMPUTED_VALUE"""),0.0479153702551337)</f>
        <v>4.7915370255133698E-2</v>
      </c>
      <c r="I112" s="12">
        <f ca="1">IFERROR(__xludf.DUMMYFUNCTION("""COMPUTED_VALUE"""),251.9)</f>
        <v>251.9</v>
      </c>
      <c r="J112" s="14">
        <f ca="1">IFERROR(__xludf.DUMMYFUNCTION("""COMPUTED_VALUE"""),0.0027788805081381)</f>
        <v>2.7788805081380998E-3</v>
      </c>
      <c r="K112" s="12" t="str">
        <f ca="1"/>
        <v>AMC</v>
      </c>
      <c r="L112" s="12" t="str">
        <f ca="1"/>
        <v>BOM:540767</v>
      </c>
      <c r="M112" s="12" t="str">
        <f ca="1"/>
        <v>No</v>
      </c>
      <c r="N112" s="12" t="str">
        <f ca="1"/>
        <v>No</v>
      </c>
      <c r="O112" s="12" t="str">
        <f ca="1"/>
        <v>Good Stock</v>
      </c>
      <c r="P112" s="12" t="str">
        <f ca="1"/>
        <v>Medium Cap</v>
      </c>
    </row>
    <row r="113" spans="1:16" ht="13.2">
      <c r="A113" s="12" t="str">
        <f ca="1">IFERROR(__xludf.DUMMYFUNCTION("""COMPUTED_VALUE"""),"Exide Battery")</f>
        <v>Exide Battery</v>
      </c>
      <c r="B113" s="13">
        <f ca="1">IFERROR(__xludf.DUMMYFUNCTION("""COMPUTED_VALUE"""),15554.9906858)</f>
        <v>15554.990685799999</v>
      </c>
      <c r="C113" s="12">
        <f ca="1">IFERROR(__xludf.DUMMYFUNCTION("""COMPUTED_VALUE"""),182.85)</f>
        <v>182.85</v>
      </c>
      <c r="D113" s="12">
        <f ca="1">IFERROR(__xludf.DUMMYFUNCTION("""COMPUTED_VALUE"""),3.39)</f>
        <v>3.39</v>
      </c>
      <c r="E113" s="12">
        <f ca="1">IFERROR(__xludf.DUMMYFUNCTION("""COMPUTED_VALUE"""),194.2)</f>
        <v>194.2</v>
      </c>
      <c r="F113" s="14">
        <f ca="1">IFERROR(__xludf.DUMMYFUNCTION("""COMPUTED_VALUE"""),0.0584449021627188)</f>
        <v>5.8444902162718797E-2</v>
      </c>
      <c r="G113" s="12">
        <f ca="1">IFERROR(__xludf.DUMMYFUNCTION("""COMPUTED_VALUE"""),130.25)</f>
        <v>130.25</v>
      </c>
      <c r="H113" s="14">
        <f ca="1">IFERROR(__xludf.DUMMYFUNCTION("""COMPUTED_VALUE"""),0.40383877159309)</f>
        <v>0.40383877159309001</v>
      </c>
      <c r="I113" s="12">
        <f ca="1">IFERROR(__xludf.DUMMYFUNCTION("""COMPUTED_VALUE"""),182.65)</f>
        <v>182.65</v>
      </c>
      <c r="J113" s="14">
        <f ca="1">IFERROR(__xludf.DUMMYFUNCTION("""COMPUTED_VALUE"""),0.00109499041883377)</f>
        <v>1.0949904188337701E-3</v>
      </c>
      <c r="K113" s="12" t="str">
        <f ca="1"/>
        <v>Automobile Ancilliary</v>
      </c>
      <c r="L113" s="12" t="str">
        <f ca="1"/>
        <v>EXIDEIND</v>
      </c>
      <c r="M113" s="12" t="str">
        <f ca="1"/>
        <v>No</v>
      </c>
      <c r="N113" s="12" t="str">
        <f ca="1"/>
        <v>No</v>
      </c>
      <c r="O113" s="12" t="str">
        <f ca="1"/>
        <v>Good Stock</v>
      </c>
      <c r="P113" s="12" t="str">
        <f ca="1"/>
        <v>Medium Cap</v>
      </c>
    </row>
    <row r="114" spans="1:16" ht="13.2">
      <c r="A114" s="12" t="str">
        <f ca="1">IFERROR(__xludf.DUMMYFUNCTION("""COMPUTED_VALUE"""),"clean science")</f>
        <v>clean science</v>
      </c>
      <c r="B114" s="13">
        <f ca="1">IFERROR(__xludf.DUMMYFUNCTION("""COMPUTED_VALUE"""),15538.83)</f>
        <v>15538.83</v>
      </c>
      <c r="C114" s="12">
        <f ca="1">IFERROR(__xludf.DUMMYFUNCTION("""COMPUTED_VALUE"""),1463.5)</f>
        <v>1463.5</v>
      </c>
      <c r="D114" s="12">
        <f ca="1">IFERROR(__xludf.DUMMYFUNCTION("""COMPUTED_VALUE"""),61.9)</f>
        <v>61.9</v>
      </c>
      <c r="E114" s="12">
        <f ca="1">IFERROR(__xludf.DUMMYFUNCTION("""COMPUTED_VALUE"""),2624)</f>
        <v>2624</v>
      </c>
      <c r="F114" s="14">
        <f ca="1">IFERROR(__xludf.DUMMYFUNCTION("""COMPUTED_VALUE"""),0.442263719512195)</f>
        <v>0.44226371951219501</v>
      </c>
      <c r="G114" s="12">
        <f ca="1">IFERROR(__xludf.DUMMYFUNCTION("""COMPUTED_VALUE"""),1410.1)</f>
        <v>1410.1</v>
      </c>
      <c r="H114" s="14">
        <f ca="1">IFERROR(__xludf.DUMMYFUNCTION("""COMPUTED_VALUE"""),0.0378696546344231)</f>
        <v>3.78696546344231E-2</v>
      </c>
      <c r="I114" s="12">
        <f ca="1">IFERROR(__xludf.DUMMYFUNCTION("""COMPUTED_VALUE"""),1471.05)</f>
        <v>1471.05</v>
      </c>
      <c r="J114" s="14">
        <f ca="1">IFERROR(__xludf.DUMMYFUNCTION("""COMPUTED_VALUE"""),-0.00513238843003293)</f>
        <v>-5.1323884300329302E-3</v>
      </c>
      <c r="K114" s="12" t="str">
        <f ca="1"/>
        <v>Chemical</v>
      </c>
      <c r="L114" s="12" t="str">
        <f ca="1"/>
        <v>BOM:543318</v>
      </c>
      <c r="M114" s="12" t="str">
        <f ca="1"/>
        <v>No</v>
      </c>
      <c r="N114" s="12" t="str">
        <f ca="1"/>
        <v>No</v>
      </c>
      <c r="O114" s="12" t="str">
        <f ca="1"/>
        <v>Good Stock</v>
      </c>
      <c r="P114" s="12" t="str">
        <f ca="1"/>
        <v>Medium Cap</v>
      </c>
    </row>
    <row r="115" spans="1:16" ht="13.2">
      <c r="A115" s="12" t="str">
        <f ca="1">IFERROR(__xludf.DUMMYFUNCTION("""COMPUTED_VALUE"""),"Alkyl Amine")</f>
        <v>Alkyl Amine</v>
      </c>
      <c r="B115" s="13">
        <f ca="1">IFERROR(__xludf.DUMMYFUNCTION("""COMPUTED_VALUE"""),13811.7)</f>
        <v>13811.7</v>
      </c>
      <c r="C115" s="12">
        <f ca="1">IFERROR(__xludf.DUMMYFUNCTION("""COMPUTED_VALUE"""),2714.9)</f>
        <v>2714.9</v>
      </c>
      <c r="D115" s="12">
        <f ca="1">IFERROR(__xludf.DUMMYFUNCTION("""COMPUTED_VALUE"""),61.31)</f>
        <v>61.31</v>
      </c>
      <c r="E115" s="12">
        <f ca="1">IFERROR(__xludf.DUMMYFUNCTION("""COMPUTED_VALUE"""),3797.6)</f>
        <v>3797.6</v>
      </c>
      <c r="F115" s="14">
        <f ca="1">IFERROR(__xludf.DUMMYFUNCTION("""COMPUTED_VALUE"""),0.285101116494628)</f>
        <v>0.28510111649462799</v>
      </c>
      <c r="G115" s="12">
        <f ca="1">IFERROR(__xludf.DUMMYFUNCTION("""COMPUTED_VALUE"""),2506.2)</f>
        <v>2506.1999999999998</v>
      </c>
      <c r="H115" s="14">
        <f ca="1">IFERROR(__xludf.DUMMYFUNCTION("""COMPUTED_VALUE"""),0.0832734817652223)</f>
        <v>8.3273481765222299E-2</v>
      </c>
      <c r="I115" s="12">
        <f ca="1">IFERROR(__xludf.DUMMYFUNCTION("""COMPUTED_VALUE"""),2750.75)</f>
        <v>2750.75</v>
      </c>
      <c r="J115" s="14">
        <f ca="1">IFERROR(__xludf.DUMMYFUNCTION("""COMPUTED_VALUE"""),-0.0130328092338452)</f>
        <v>-1.30328092338452E-2</v>
      </c>
      <c r="K115" s="12" t="str">
        <f ca="1"/>
        <v>Chemical</v>
      </c>
      <c r="L115" s="12" t="str">
        <f ca="1"/>
        <v>ALKYLAMINE</v>
      </c>
      <c r="M115" s="12" t="str">
        <f ca="1"/>
        <v>No</v>
      </c>
      <c r="N115" s="12" t="str">
        <f ca="1"/>
        <v>No</v>
      </c>
      <c r="O115" s="12" t="str">
        <f ca="1"/>
        <v>Good Stock</v>
      </c>
      <c r="P115" s="12" t="str">
        <f ca="1"/>
        <v>Medium Cap</v>
      </c>
    </row>
    <row r="116" spans="1:16" ht="13.2">
      <c r="A116" s="12" t="str">
        <f ca="1">IFERROR(__xludf.DUMMYFUNCTION("""COMPUTED_VALUE"""),"Indiamart Intermesh")</f>
        <v>Indiamart Intermesh</v>
      </c>
      <c r="B116" s="13">
        <f ca="1">IFERROR(__xludf.DUMMYFUNCTION("""COMPUTED_VALUE"""),13709.808)</f>
        <v>13709.808000000001</v>
      </c>
      <c r="C116" s="12">
        <f ca="1">IFERROR(__xludf.DUMMYFUNCTION("""COMPUTED_VALUE"""),4477)</f>
        <v>4477</v>
      </c>
      <c r="D116" s="12">
        <f ca="1">IFERROR(__xludf.DUMMYFUNCTION("""COMPUTED_VALUE"""),56.62)</f>
        <v>56.62</v>
      </c>
      <c r="E116" s="12">
        <f ca="1">IFERROR(__xludf.DUMMYFUNCTION("""COMPUTED_VALUE"""),6898.75)</f>
        <v>6898.75</v>
      </c>
      <c r="F116" s="14">
        <f ca="1">IFERROR(__xludf.DUMMYFUNCTION("""COMPUTED_VALUE"""),0.351041855408588)</f>
        <v>0.35104185540858801</v>
      </c>
      <c r="G116" s="12">
        <f ca="1">IFERROR(__xludf.DUMMYFUNCTION("""COMPUTED_VALUE"""),3676)</f>
        <v>3676</v>
      </c>
      <c r="H116" s="14">
        <f ca="1">IFERROR(__xludf.DUMMYFUNCTION("""COMPUTED_VALUE"""),0.217899891186071)</f>
        <v>0.217899891186071</v>
      </c>
      <c r="I116" s="12">
        <f ca="1">IFERROR(__xludf.DUMMYFUNCTION("""COMPUTED_VALUE"""),4446.55)</f>
        <v>4446.55</v>
      </c>
      <c r="J116" s="14">
        <f ca="1">IFERROR(__xludf.DUMMYFUNCTION("""COMPUTED_VALUE"""),0.00684800575727245)</f>
        <v>6.8480057572724504E-3</v>
      </c>
      <c r="K116" s="12" t="str">
        <f ca="1"/>
        <v>Technology</v>
      </c>
      <c r="L116" s="12" t="str">
        <f ca="1"/>
        <v>INDIAMART</v>
      </c>
      <c r="M116" s="12" t="str">
        <f ca="1"/>
        <v>No</v>
      </c>
      <c r="N116" s="12" t="str">
        <f ca="1"/>
        <v>No</v>
      </c>
      <c r="O116" s="12" t="str">
        <f ca="1"/>
        <v>Good Stock</v>
      </c>
      <c r="P116" s="12" t="str">
        <f ca="1"/>
        <v>Medium Cap</v>
      </c>
    </row>
    <row r="117" spans="1:16" ht="13.2">
      <c r="A117" s="12" t="str">
        <f ca="1">IFERROR(__xludf.DUMMYFUNCTION("""COMPUTED_VALUE"""),"Affle India")</f>
        <v>Affle India</v>
      </c>
      <c r="B117" s="13">
        <f ca="1">IFERROR(__xludf.DUMMYFUNCTION("""COMPUTED_VALUE"""),13659)</f>
        <v>13659</v>
      </c>
      <c r="C117" s="12">
        <f ca="1">IFERROR(__xludf.DUMMYFUNCTION("""COMPUTED_VALUE"""),1024)</f>
        <v>1024</v>
      </c>
      <c r="D117" s="12">
        <f ca="1">IFERROR(__xludf.DUMMYFUNCTION("""COMPUTED_VALUE"""),55.83)</f>
        <v>55.83</v>
      </c>
      <c r="E117" s="12">
        <f ca="1">IFERROR(__xludf.DUMMYFUNCTION("""COMPUTED_VALUE"""),1511)</f>
        <v>1511</v>
      </c>
      <c r="F117" s="14">
        <f ca="1">IFERROR(__xludf.DUMMYFUNCTION("""COMPUTED_VALUE"""),0.322303110522832)</f>
        <v>0.322303110522832</v>
      </c>
      <c r="G117" s="12">
        <f ca="1">IFERROR(__xludf.DUMMYFUNCTION("""COMPUTED_VALUE"""),871.55)</f>
        <v>871.55</v>
      </c>
      <c r="H117" s="14">
        <f ca="1">IFERROR(__xludf.DUMMYFUNCTION("""COMPUTED_VALUE"""),0.174918249096437)</f>
        <v>0.174918249096437</v>
      </c>
      <c r="I117" s="12">
        <f ca="1">IFERROR(__xludf.DUMMYFUNCTION("""COMPUTED_VALUE"""),1035.55)</f>
        <v>1035.55</v>
      </c>
      <c r="J117" s="14">
        <f ca="1">IFERROR(__xludf.DUMMYFUNCTION("""COMPUTED_VALUE"""),-0.0111534933127323)</f>
        <v>-1.1153493312732301E-2</v>
      </c>
      <c r="K117" s="12" t="str">
        <f ca="1"/>
        <v>Technology</v>
      </c>
      <c r="L117" s="12" t="str">
        <f ca="1"/>
        <v>AFFLE</v>
      </c>
      <c r="M117" s="12" t="str">
        <f ca="1"/>
        <v>No</v>
      </c>
      <c r="N117" s="12" t="str">
        <f ca="1"/>
        <v>No</v>
      </c>
      <c r="O117" s="12" t="str">
        <f ca="1"/>
        <v>Good Stock</v>
      </c>
      <c r="P117" s="12" t="str">
        <f ca="1"/>
        <v>Low Cap</v>
      </c>
    </row>
    <row r="118" spans="1:16" ht="13.2">
      <c r="A118" s="12" t="str">
        <f ca="1">IFERROR(__xludf.DUMMYFUNCTION("""COMPUTED_VALUE"""),"KEI Industries")</f>
        <v>KEI Industries</v>
      </c>
      <c r="B118" s="13">
        <f ca="1">IFERROR(__xludf.DUMMYFUNCTION("""COMPUTED_VALUE"""),12966.0743501)</f>
        <v>12966.0743501</v>
      </c>
      <c r="C118" s="12">
        <f ca="1">IFERROR(__xludf.DUMMYFUNCTION("""COMPUTED_VALUE"""),1436.05)</f>
        <v>1436.05</v>
      </c>
      <c r="D118" s="12">
        <f ca="1">IFERROR(__xludf.DUMMYFUNCTION("""COMPUTED_VALUE"""),30.59)</f>
        <v>30.59</v>
      </c>
      <c r="E118" s="12">
        <f ca="1">IFERROR(__xludf.DUMMYFUNCTION("""COMPUTED_VALUE"""),1662.45)</f>
        <v>1662.45</v>
      </c>
      <c r="F118" s="14">
        <f ca="1">IFERROR(__xludf.DUMMYFUNCTION("""COMPUTED_VALUE"""),0.136184546903666)</f>
        <v>0.13618454690366599</v>
      </c>
      <c r="G118" s="12">
        <f ca="1">IFERROR(__xludf.DUMMYFUNCTION("""COMPUTED_VALUE"""),905.2)</f>
        <v>905.2</v>
      </c>
      <c r="H118" s="14">
        <f ca="1">IFERROR(__xludf.DUMMYFUNCTION("""COMPUTED_VALUE"""),0.586444984533804)</f>
        <v>0.586444984533804</v>
      </c>
      <c r="I118" s="12">
        <f ca="1">IFERROR(__xludf.DUMMYFUNCTION("""COMPUTED_VALUE"""),1435.2)</f>
        <v>1435.2</v>
      </c>
      <c r="J118" s="14">
        <f ca="1">IFERROR(__xludf.DUMMYFUNCTION("""COMPUTED_VALUE"""),0.000592251950947539)</f>
        <v>5.9225195094753905E-4</v>
      </c>
      <c r="K118" s="12" t="str">
        <f ca="1"/>
        <v>Consumer Electrical</v>
      </c>
      <c r="L118" s="12" t="str">
        <f ca="1"/>
        <v>BOM:517569</v>
      </c>
      <c r="M118" s="12" t="str">
        <f ca="1"/>
        <v>No</v>
      </c>
      <c r="N118" s="12" t="str">
        <f ca="1"/>
        <v>No</v>
      </c>
      <c r="O118" s="12" t="str">
        <f ca="1"/>
        <v>Good Stock</v>
      </c>
      <c r="P118" s="12" t="str">
        <f ca="1"/>
        <v>Low Cap</v>
      </c>
    </row>
    <row r="119" spans="1:16" ht="13.2">
      <c r="A119" s="12" t="str">
        <f ca="1">IFERROR(__xludf.DUMMYFUNCTION("""COMPUTED_VALUE"""),"IEX")</f>
        <v>IEX</v>
      </c>
      <c r="B119" s="13">
        <f ca="1">IFERROR(__xludf.DUMMYFUNCTION("""COMPUTED_VALUE"""),12685.7721399)</f>
        <v>12685.7721399</v>
      </c>
      <c r="C119" s="12">
        <f ca="1">IFERROR(__xludf.DUMMYFUNCTION("""COMPUTED_VALUE"""),141.55)</f>
        <v>141.55000000000001</v>
      </c>
      <c r="D119" s="12">
        <f ca="1">IFERROR(__xludf.DUMMYFUNCTION("""COMPUTED_VALUE"""),41.14)</f>
        <v>41.14</v>
      </c>
      <c r="E119" s="12">
        <f ca="1">IFERROR(__xludf.DUMMYFUNCTION("""COMPUTED_VALUE"""),271.95)</f>
        <v>271.95</v>
      </c>
      <c r="F119" s="14">
        <f ca="1">IFERROR(__xludf.DUMMYFUNCTION("""COMPUTED_VALUE"""),0.479499908071336)</f>
        <v>0.47949990807133602</v>
      </c>
      <c r="G119" s="12">
        <f ca="1">IFERROR(__xludf.DUMMYFUNCTION("""COMPUTED_VALUE"""),129.25)</f>
        <v>129.25</v>
      </c>
      <c r="H119" s="14">
        <f ca="1">IFERROR(__xludf.DUMMYFUNCTION("""COMPUTED_VALUE"""),0.0951644100580271)</f>
        <v>9.5164410058027102E-2</v>
      </c>
      <c r="I119" s="12">
        <f ca="1">IFERROR(__xludf.DUMMYFUNCTION("""COMPUTED_VALUE"""),141.4)</f>
        <v>141.4</v>
      </c>
      <c r="J119" s="14">
        <f ca="1">IFERROR(__xludf.DUMMYFUNCTION("""COMPUTED_VALUE"""),0.0010608203677511)</f>
        <v>1.0608203677511001E-3</v>
      </c>
      <c r="K119" s="12" t="str">
        <f ca="1"/>
        <v>Technology</v>
      </c>
      <c r="L119" s="12" t="str">
        <f ca="1"/>
        <v>BOM:540750</v>
      </c>
      <c r="M119" s="12" t="str">
        <f ca="1"/>
        <v>No</v>
      </c>
      <c r="N119" s="12" t="str">
        <f ca="1"/>
        <v>No</v>
      </c>
      <c r="O119" s="12" t="str">
        <f ca="1"/>
        <v>Good Stock</v>
      </c>
      <c r="P119" s="12" t="str">
        <f ca="1"/>
        <v>Low Cap</v>
      </c>
    </row>
    <row r="120" spans="1:16" ht="13.2">
      <c r="A120" s="12" t="str">
        <f ca="1">IFERROR(__xludf.DUMMYFUNCTION("""COMPUTED_VALUE"""),"Happiest Mind")</f>
        <v>Happiest Mind</v>
      </c>
      <c r="B120" s="13">
        <f ca="1">IFERROR(__xludf.DUMMYFUNCTION("""COMPUTED_VALUE"""),12642.1534329)</f>
        <v>12642.153432900001</v>
      </c>
      <c r="C120" s="12">
        <f ca="1">IFERROR(__xludf.DUMMYFUNCTION("""COMPUTED_VALUE"""),885.05)</f>
        <v>885.05</v>
      </c>
      <c r="D120" s="12">
        <f ca="1">IFERROR(__xludf.DUMMYFUNCTION("""COMPUTED_VALUE"""),59.08)</f>
        <v>59.08</v>
      </c>
      <c r="E120" s="12">
        <f ca="1">IFERROR(__xludf.DUMMYFUNCTION("""COMPUTED_VALUE"""),1359.85)</f>
        <v>1359.85</v>
      </c>
      <c r="F120" s="14">
        <f ca="1">IFERROR(__xludf.DUMMYFUNCTION("""COMPUTED_VALUE"""),0.349156156929073)</f>
        <v>0.34915615692907298</v>
      </c>
      <c r="G120" s="12">
        <f ca="1">IFERROR(__xludf.DUMMYFUNCTION("""COMPUTED_VALUE"""),785.55)</f>
        <v>785.55</v>
      </c>
      <c r="H120" s="14">
        <f ca="1">IFERROR(__xludf.DUMMYFUNCTION("""COMPUTED_VALUE"""),0.126662847686334)</f>
        <v>0.12666284768633401</v>
      </c>
      <c r="I120" s="12">
        <f ca="1">IFERROR(__xludf.DUMMYFUNCTION("""COMPUTED_VALUE"""),884.65)</f>
        <v>884.65</v>
      </c>
      <c r="J120" s="14">
        <f ca="1">IFERROR(__xludf.DUMMYFUNCTION("""COMPUTED_VALUE"""),0.000452156219973975)</f>
        <v>4.5215621997397502E-4</v>
      </c>
      <c r="K120" s="12" t="str">
        <f ca="1"/>
        <v>IT</v>
      </c>
      <c r="L120" s="12" t="str">
        <f ca="1"/>
        <v>BOM:543227</v>
      </c>
      <c r="M120" s="12" t="str">
        <f ca="1"/>
        <v>No</v>
      </c>
      <c r="N120" s="12" t="str">
        <f ca="1"/>
        <v>No</v>
      </c>
      <c r="O120" s="12" t="str">
        <f ca="1"/>
        <v>Good Stock</v>
      </c>
      <c r="P120" s="12" t="str">
        <f ca="1"/>
        <v>Low Cap</v>
      </c>
    </row>
    <row r="121" spans="1:16" ht="13.2">
      <c r="A121" s="12" t="str">
        <f ca="1">IFERROR(__xludf.DUMMYFUNCTION("""COMPUTED_VALUE"""),"Sheela Form")</f>
        <v>Sheela Form</v>
      </c>
      <c r="B121" s="13">
        <f ca="1">IFERROR(__xludf.DUMMYFUNCTION("""COMPUTED_VALUE"""),12260.1)</f>
        <v>12260.1</v>
      </c>
      <c r="C121" s="12">
        <f ca="1">IFERROR(__xludf.DUMMYFUNCTION("""COMPUTED_VALUE"""),1260)</f>
        <v>1260</v>
      </c>
      <c r="D121" s="12">
        <f ca="1">IFERROR(__xludf.DUMMYFUNCTION("""COMPUTED_VALUE"""),57.79)</f>
        <v>57.79</v>
      </c>
      <c r="E121" s="12">
        <f ca="1">IFERROR(__xludf.DUMMYFUNCTION("""COMPUTED_VALUE"""),2027)</f>
        <v>2027</v>
      </c>
      <c r="F121" s="14">
        <f ca="1">IFERROR(__xludf.DUMMYFUNCTION("""COMPUTED_VALUE"""),0.378391711889491)</f>
        <v>0.378391711889491</v>
      </c>
      <c r="G121" s="12">
        <f ca="1">IFERROR(__xludf.DUMMYFUNCTION("""COMPUTED_VALUE"""),1204.15)</f>
        <v>1204.1500000000001</v>
      </c>
      <c r="H121" s="14">
        <f ca="1">IFERROR(__xludf.DUMMYFUNCTION("""COMPUTED_VALUE"""),0.0463812647925922)</f>
        <v>4.6381264792592199E-2</v>
      </c>
      <c r="I121" s="12">
        <f ca="1">IFERROR(__xludf.DUMMYFUNCTION("""COMPUTED_VALUE"""),1251.3)</f>
        <v>1251.3</v>
      </c>
      <c r="J121" s="14">
        <f ca="1">IFERROR(__xludf.DUMMYFUNCTION("""COMPUTED_VALUE"""),0.00695276912011511)</f>
        <v>6.9527691201151098E-3</v>
      </c>
      <c r="K121" s="12" t="str">
        <f ca="1"/>
        <v>Form</v>
      </c>
      <c r="L121" s="12" t="str">
        <f ca="1"/>
        <v>BOM:540203</v>
      </c>
      <c r="M121" s="12" t="str">
        <f ca="1"/>
        <v>No</v>
      </c>
      <c r="N121" s="12" t="str">
        <f ca="1"/>
        <v>No</v>
      </c>
      <c r="O121" s="12" t="str">
        <f ca="1"/>
        <v>Good Stock</v>
      </c>
      <c r="P121" s="12" t="str">
        <f ca="1"/>
        <v>Low Cap</v>
      </c>
    </row>
    <row r="122" spans="1:16" ht="13.2">
      <c r="A122" s="12" t="str">
        <f ca="1">IFERROR(__xludf.DUMMYFUNCTION("""COMPUTED_VALUE"""),"Century Plyboard")</f>
        <v>Century Plyboard</v>
      </c>
      <c r="B122" s="13">
        <f ca="1">IFERROR(__xludf.DUMMYFUNCTION("""COMPUTED_VALUE"""),11658.528175)</f>
        <v>11658.528174999999</v>
      </c>
      <c r="C122" s="12">
        <f ca="1">IFERROR(__xludf.DUMMYFUNCTION("""COMPUTED_VALUE"""),523.9)</f>
        <v>523.9</v>
      </c>
      <c r="D122" s="12">
        <f ca="1">IFERROR(__xludf.DUMMYFUNCTION("""COMPUTED_VALUE"""),31.54)</f>
        <v>31.54</v>
      </c>
      <c r="E122" s="12">
        <f ca="1">IFERROR(__xludf.DUMMYFUNCTION("""COMPUTED_VALUE"""),749)</f>
        <v>749</v>
      </c>
      <c r="F122" s="14">
        <f ca="1">IFERROR(__xludf.DUMMYFUNCTION("""COMPUTED_VALUE"""),0.300534045393858)</f>
        <v>0.30053404539385797</v>
      </c>
      <c r="G122" s="12">
        <f ca="1">IFERROR(__xludf.DUMMYFUNCTION("""COMPUTED_VALUE"""),484.7)</f>
        <v>484.7</v>
      </c>
      <c r="H122" s="14">
        <f ca="1">IFERROR(__xludf.DUMMYFUNCTION("""COMPUTED_VALUE"""),0.0808747678976686)</f>
        <v>8.0874767897668606E-2</v>
      </c>
      <c r="I122" s="12">
        <f ca="1">IFERROR(__xludf.DUMMYFUNCTION("""COMPUTED_VALUE"""),517.65)</f>
        <v>517.65</v>
      </c>
      <c r="J122" s="14">
        <f ca="1">IFERROR(__xludf.DUMMYFUNCTION("""COMPUTED_VALUE"""),0.0120737950352554)</f>
        <v>1.2073795035255399E-2</v>
      </c>
      <c r="K122" s="12" t="str">
        <f ca="1"/>
        <v>Playboard</v>
      </c>
      <c r="L122" s="12" t="str">
        <f ca="1"/>
        <v>BOM:532548</v>
      </c>
      <c r="M122" s="12" t="str">
        <f ca="1"/>
        <v>No</v>
      </c>
      <c r="N122" s="12" t="str">
        <f ca="1"/>
        <v>No</v>
      </c>
      <c r="O122" s="12" t="str">
        <f ca="1"/>
        <v>Good Stock</v>
      </c>
      <c r="P122" s="12" t="str">
        <f ca="1"/>
        <v>Low Cap</v>
      </c>
    </row>
    <row r="123" spans="1:16" ht="13.2">
      <c r="A123" s="12" t="str">
        <f ca="1">IFERROR(__xludf.DUMMYFUNCTION("""COMPUTED_VALUE"""),"CDSL")</f>
        <v>CDSL</v>
      </c>
      <c r="B123" s="13">
        <f ca="1">IFERROR(__xludf.DUMMYFUNCTION("""COMPUTED_VALUE"""),11261.44)</f>
        <v>11261.44</v>
      </c>
      <c r="C123" s="12">
        <f ca="1">IFERROR(__xludf.DUMMYFUNCTION("""COMPUTED_VALUE"""),1077.9)</f>
        <v>1077.9000000000001</v>
      </c>
      <c r="D123" s="12">
        <f ca="1">IFERROR(__xludf.DUMMYFUNCTION("""COMPUTED_VALUE"""),37.61)</f>
        <v>37.61</v>
      </c>
      <c r="E123" s="12">
        <f ca="1">IFERROR(__xludf.DUMMYFUNCTION("""COMPUTED_VALUE"""),1654)</f>
        <v>1654</v>
      </c>
      <c r="F123" s="14">
        <f ca="1">IFERROR(__xludf.DUMMYFUNCTION("""COMPUTED_VALUE"""),0.348307134220072)</f>
        <v>0.34830713422007198</v>
      </c>
      <c r="G123" s="12">
        <f ca="1">IFERROR(__xludf.DUMMYFUNCTION("""COMPUTED_VALUE"""),1015)</f>
        <v>1015</v>
      </c>
      <c r="H123" s="14">
        <f ca="1">IFERROR(__xludf.DUMMYFUNCTION("""COMPUTED_VALUE"""),0.0619704433497537)</f>
        <v>6.1970443349753698E-2</v>
      </c>
      <c r="I123" s="12">
        <f ca="1">IFERROR(__xludf.DUMMYFUNCTION("""COMPUTED_VALUE"""),1078.65)</f>
        <v>1078.6500000000001</v>
      </c>
      <c r="J123" s="14">
        <f ca="1">IFERROR(__xludf.DUMMYFUNCTION("""COMPUTED_VALUE"""),-0.000695313586427478)</f>
        <v>-6.95313586427478E-4</v>
      </c>
      <c r="K123" s="12" t="str">
        <f ca="1"/>
        <v>Technology</v>
      </c>
      <c r="L123" s="12" t="str">
        <f ca="1"/>
        <v>CDSL</v>
      </c>
      <c r="M123" s="12" t="str">
        <f ca="1"/>
        <v>No</v>
      </c>
      <c r="N123" s="12" t="str">
        <f ca="1"/>
        <v>No</v>
      </c>
      <c r="O123" s="12" t="str">
        <f ca="1"/>
        <v>Good Stock</v>
      </c>
      <c r="P123" s="12" t="str">
        <f ca="1"/>
        <v>Low Cap</v>
      </c>
    </row>
    <row r="124" spans="1:16" ht="13.2">
      <c r="A124" s="12" t="str">
        <f ca="1">IFERROR(__xludf.DUMMYFUNCTION("""COMPUTED_VALUE"""),"CAMS")</f>
        <v>CAMS</v>
      </c>
      <c r="B124" s="13">
        <f ca="1">IFERROR(__xludf.DUMMYFUNCTION("""COMPUTED_VALUE"""),11180.9471528)</f>
        <v>11180.947152799999</v>
      </c>
      <c r="C124" s="12">
        <f ca="1">IFERROR(__xludf.DUMMYFUNCTION("""COMPUTED_VALUE"""),2274)</f>
        <v>2274</v>
      </c>
      <c r="D124" s="12">
        <f ca="1">IFERROR(__xludf.DUMMYFUNCTION("""COMPUTED_VALUE"""),38.87)</f>
        <v>38.869999999999997</v>
      </c>
      <c r="E124" s="12">
        <f ca="1">IFERROR(__xludf.DUMMYFUNCTION("""COMPUTED_VALUE"""),2971.5)</f>
        <v>2971.5</v>
      </c>
      <c r="F124" s="14">
        <f ca="1">IFERROR(__xludf.DUMMYFUNCTION("""COMPUTED_VALUE"""),0.234729934376577)</f>
        <v>0.23472993437657699</v>
      </c>
      <c r="G124" s="12">
        <f ca="1">IFERROR(__xludf.DUMMYFUNCTION("""COMPUTED_VALUE"""),2037.15)</f>
        <v>2037.15</v>
      </c>
      <c r="H124" s="14">
        <f ca="1">IFERROR(__xludf.DUMMYFUNCTION("""COMPUTED_VALUE"""),0.116265370738531)</f>
        <v>0.11626537073853099</v>
      </c>
      <c r="I124" s="12">
        <f ca="1">IFERROR(__xludf.DUMMYFUNCTION("""COMPUTED_VALUE"""),2235.75)</f>
        <v>2235.75</v>
      </c>
      <c r="J124" s="14">
        <f ca="1">IFERROR(__xludf.DUMMYFUNCTION("""COMPUTED_VALUE"""),0.0171083529017108)</f>
        <v>1.71083529017108E-2</v>
      </c>
      <c r="K124" s="12" t="str">
        <f ca="1"/>
        <v>Technology</v>
      </c>
      <c r="L124" s="12" t="str">
        <f ca="1"/>
        <v>NSE:CAMS</v>
      </c>
      <c r="M124" s="12" t="str">
        <f ca="1"/>
        <v>No</v>
      </c>
      <c r="N124" s="12" t="str">
        <f ca="1"/>
        <v>No</v>
      </c>
      <c r="O124" s="12" t="str">
        <f ca="1"/>
        <v>Good Stock</v>
      </c>
      <c r="P124" s="12" t="str">
        <f ca="1"/>
        <v>Low Cap</v>
      </c>
    </row>
    <row r="125" spans="1:16" ht="13.2">
      <c r="A125" s="12" t="str">
        <f ca="1">IFERROR(__xludf.DUMMYFUNCTION("""COMPUTED_VALUE"""),"HDFC Bank")</f>
        <v>HDFC Bank</v>
      </c>
      <c r="B125" s="13">
        <f ca="1">IFERROR(__xludf.DUMMYFUNCTION("""COMPUTED_VALUE"""),11060.0657861)</f>
        <v>11060.0657861</v>
      </c>
      <c r="C125" s="12">
        <f ca="1">IFERROR(__xludf.DUMMYFUNCTION("""COMPUTED_VALUE"""),1601)</f>
        <v>1601</v>
      </c>
      <c r="D125" s="12">
        <f ca="1">IFERROR(__xludf.DUMMYFUNCTION("""COMPUTED_VALUE"""),21.39)</f>
        <v>21.39</v>
      </c>
      <c r="E125" s="12">
        <f ca="1">IFERROR(__xludf.DUMMYFUNCTION("""COMPUTED_VALUE"""),1722.1)</f>
        <v>1722.1</v>
      </c>
      <c r="F125" s="14">
        <f ca="1">IFERROR(__xludf.DUMMYFUNCTION("""COMPUTED_VALUE"""),0.0703211195633238)</f>
        <v>7.0321119563323806E-2</v>
      </c>
      <c r="G125" s="12">
        <f ca="1">IFERROR(__xludf.DUMMYFUNCTION("""COMPUTED_VALUE"""),1271.6)</f>
        <v>1271.5999999999999</v>
      </c>
      <c r="H125" s="14">
        <f ca="1">IFERROR(__xludf.DUMMYFUNCTION("""COMPUTED_VALUE"""),0.259043724441648)</f>
        <v>0.25904372444164803</v>
      </c>
      <c r="I125" s="12">
        <f ca="1">IFERROR(__xludf.DUMMYFUNCTION("""COMPUTED_VALUE"""),1599.4)</f>
        <v>1599.4</v>
      </c>
      <c r="J125" s="14">
        <f ca="1">IFERROR(__xludf.DUMMYFUNCTION("""COMPUTED_VALUE"""),0.00100037514067769)</f>
        <v>1.0003751406776899E-3</v>
      </c>
      <c r="K125" s="12" t="str">
        <f ca="1"/>
        <v>Bank</v>
      </c>
      <c r="L125" s="12" t="str">
        <f ca="1"/>
        <v>HDFCBANK</v>
      </c>
      <c r="M125" s="12" t="str">
        <f ca="1"/>
        <v>No</v>
      </c>
      <c r="N125" s="12" t="str">
        <f ca="1"/>
        <v>No</v>
      </c>
      <c r="O125" s="12" t="str">
        <f ca="1"/>
        <v>Good Stock</v>
      </c>
      <c r="P125" s="12" t="str">
        <f ca="1"/>
        <v>Low Cap</v>
      </c>
    </row>
    <row r="126" spans="1:16" ht="13.2">
      <c r="A126" s="12" t="str">
        <f ca="1">IFERROR(__xludf.DUMMYFUNCTION("""COMPUTED_VALUE"""),"TTK Prestige")</f>
        <v>TTK Prestige</v>
      </c>
      <c r="B126" s="13">
        <f ca="1">IFERROR(__xludf.DUMMYFUNCTION("""COMPUTED_VALUE"""),10943.5753)</f>
        <v>10943.5753</v>
      </c>
      <c r="C126" s="12">
        <f ca="1">IFERROR(__xludf.DUMMYFUNCTION("""COMPUTED_VALUE"""),789.5)</f>
        <v>789.5</v>
      </c>
      <c r="D126" s="12">
        <f ca="1">IFERROR(__xludf.DUMMYFUNCTION("""COMPUTED_VALUE"""),35.54)</f>
        <v>35.54</v>
      </c>
      <c r="E126" s="12">
        <f ca="1">IFERROR(__xludf.DUMMYFUNCTION("""COMPUTED_VALUE"""),1049.9)</f>
        <v>1049.9000000000001</v>
      </c>
      <c r="F126" s="14">
        <f ca="1">IFERROR(__xludf.DUMMYFUNCTION("""COMPUTED_VALUE"""),0.248023621297266)</f>
        <v>0.24802362129726599</v>
      </c>
      <c r="G126" s="12">
        <f ca="1">IFERROR(__xludf.DUMMYFUNCTION("""COMPUTED_VALUE"""),744.7)</f>
        <v>744.7</v>
      </c>
      <c r="H126" s="14">
        <f ca="1">IFERROR(__xludf.DUMMYFUNCTION("""COMPUTED_VALUE"""),0.0601584530683496)</f>
        <v>6.0158453068349597E-2</v>
      </c>
      <c r="I126" s="12">
        <f ca="1">IFERROR(__xludf.DUMMYFUNCTION("""COMPUTED_VALUE"""),794.05)</f>
        <v>794.05</v>
      </c>
      <c r="J126" s="14">
        <f ca="1">IFERROR(__xludf.DUMMYFUNCTION("""COMPUTED_VALUE"""),-0.0057301177507713)</f>
        <v>-5.7301177507713E-3</v>
      </c>
      <c r="K126" s="12" t="str">
        <f ca="1"/>
        <v>Consumer Electrical</v>
      </c>
      <c r="L126" s="12" t="str">
        <f ca="1"/>
        <v>TTKPRESTIG</v>
      </c>
      <c r="M126" s="12" t="str">
        <f ca="1"/>
        <v>No</v>
      </c>
      <c r="N126" s="12" t="str">
        <f ca="1"/>
        <v>No</v>
      </c>
      <c r="O126" s="12" t="str">
        <f ca="1"/>
        <v>Good Stock</v>
      </c>
      <c r="P126" s="12" t="str">
        <f ca="1"/>
        <v>Low Cap</v>
      </c>
    </row>
    <row r="127" spans="1:16" ht="13.2">
      <c r="A127" s="12" t="str">
        <f ca="1">IFERROR(__xludf.DUMMYFUNCTION("""COMPUTED_VALUE"""),"Alembic Pharma")</f>
        <v>Alembic Pharma</v>
      </c>
      <c r="B127" s="13">
        <f ca="1">IFERROR(__xludf.DUMMYFUNCTION("""COMPUTED_VALUE"""),10913.18)</f>
        <v>10913.18</v>
      </c>
      <c r="C127" s="12">
        <f ca="1">IFERROR(__xludf.DUMMYFUNCTION("""COMPUTED_VALUE"""),555)</f>
        <v>555</v>
      </c>
      <c r="D127" s="12">
        <f ca="1">IFERROR(__xludf.DUMMYFUNCTION("""COMPUTED_VALUE"""),42.84)</f>
        <v>42.84</v>
      </c>
      <c r="E127" s="12">
        <f ca="1">IFERROR(__xludf.DUMMYFUNCTION("""COMPUTED_VALUE"""),822.8)</f>
        <v>822.8</v>
      </c>
      <c r="F127" s="14">
        <f ca="1">IFERROR(__xludf.DUMMYFUNCTION("""COMPUTED_VALUE"""),0.325473991249392)</f>
        <v>0.32547399124939203</v>
      </c>
      <c r="G127" s="12">
        <f ca="1">IFERROR(__xludf.DUMMYFUNCTION("""COMPUTED_VALUE"""),540)</f>
        <v>540</v>
      </c>
      <c r="H127" s="14">
        <f ca="1">IFERROR(__xludf.DUMMYFUNCTION("""COMPUTED_VALUE"""),0.0277777777777777)</f>
        <v>2.77777777777777E-2</v>
      </c>
      <c r="I127" s="12">
        <f ca="1">IFERROR(__xludf.DUMMYFUNCTION("""COMPUTED_VALUE"""),557.4)</f>
        <v>557.4</v>
      </c>
      <c r="J127" s="14">
        <f ca="1">IFERROR(__xludf.DUMMYFUNCTION("""COMPUTED_VALUE"""),-0.0043057050592034)</f>
        <v>-4.3057050592033999E-3</v>
      </c>
      <c r="K127" s="12" t="str">
        <f ca="1"/>
        <v>Pharma</v>
      </c>
      <c r="L127" s="12" t="str">
        <f ca="1"/>
        <v>APLLTD</v>
      </c>
      <c r="M127" s="12" t="str">
        <f ca="1"/>
        <v>No</v>
      </c>
      <c r="N127" s="12" t="str">
        <f ca="1"/>
        <v>No</v>
      </c>
      <c r="O127" s="12" t="str">
        <f ca="1"/>
        <v>Good Stock</v>
      </c>
      <c r="P127" s="12" t="str">
        <f ca="1"/>
        <v>Low Cap</v>
      </c>
    </row>
    <row r="128" spans="1:16" ht="13.2">
      <c r="A128" s="12" t="str">
        <f ca="1">IFERROR(__xludf.DUMMYFUNCTION("""COMPUTED_VALUE"""),"Finolex Industries")</f>
        <v>Finolex Industries</v>
      </c>
      <c r="B128" s="13">
        <f ca="1">IFERROR(__xludf.DUMMYFUNCTION("""COMPUTED_VALUE"""),10644.74)</f>
        <v>10644.74</v>
      </c>
      <c r="C128" s="12">
        <f ca="1">IFERROR(__xludf.DUMMYFUNCTION("""COMPUTED_VALUE"""),173)</f>
        <v>173</v>
      </c>
      <c r="D128" s="12">
        <f ca="1">IFERROR(__xludf.DUMMYFUNCTION("""COMPUTED_VALUE"""),15.85)</f>
        <v>15.85</v>
      </c>
      <c r="E128" s="12">
        <f ca="1">IFERROR(__xludf.DUMMYFUNCTION("""COMPUTED_VALUE"""),204.5)</f>
        <v>204.5</v>
      </c>
      <c r="F128" s="14">
        <f ca="1">IFERROR(__xludf.DUMMYFUNCTION("""COMPUTED_VALUE"""),0.15403422982885)</f>
        <v>0.15403422982885001</v>
      </c>
      <c r="G128" s="12">
        <f ca="1">IFERROR(__xludf.DUMMYFUNCTION("""COMPUTED_VALUE"""),128)</f>
        <v>128</v>
      </c>
      <c r="H128" s="14">
        <f ca="1">IFERROR(__xludf.DUMMYFUNCTION("""COMPUTED_VALUE"""),0.3515625)</f>
        <v>0.3515625</v>
      </c>
      <c r="I128" s="12">
        <f ca="1">IFERROR(__xludf.DUMMYFUNCTION("""COMPUTED_VALUE"""),170.9)</f>
        <v>170.9</v>
      </c>
      <c r="J128" s="14">
        <f ca="1">IFERROR(__xludf.DUMMYFUNCTION("""COMPUTED_VALUE"""),0.0122878876535985)</f>
        <v>1.2287887653598501E-2</v>
      </c>
      <c r="K128" s="12" t="str">
        <f ca="1"/>
        <v>Piping</v>
      </c>
      <c r="L128" s="12" t="str">
        <f ca="1"/>
        <v>BOM:500940</v>
      </c>
      <c r="M128" s="12" t="str">
        <f ca="1"/>
        <v>No</v>
      </c>
      <c r="N128" s="12" t="str">
        <f ca="1"/>
        <v>No</v>
      </c>
      <c r="O128" s="12" t="str">
        <f ca="1"/>
        <v>Good Stock</v>
      </c>
      <c r="P128" s="12" t="str">
        <f ca="1"/>
        <v>Low Cap</v>
      </c>
    </row>
    <row r="129" spans="1:16" ht="13.2">
      <c r="A129" s="12" t="str">
        <f ca="1">IFERROR(__xludf.DUMMYFUNCTION("""COMPUTED_VALUE"""),"Mannapuran Finance")</f>
        <v>Mannapuran Finance</v>
      </c>
      <c r="B129" s="13">
        <f ca="1">IFERROR(__xludf.DUMMYFUNCTION("""COMPUTED_VALUE"""),10287.9254057)</f>
        <v>10287.9254057</v>
      </c>
      <c r="C129" s="12">
        <f ca="1">IFERROR(__xludf.DUMMYFUNCTION("""COMPUTED_VALUE"""),121.55)</f>
        <v>121.55</v>
      </c>
      <c r="D129" s="12">
        <f ca="1">IFERROR(__xludf.DUMMYFUNCTION("""COMPUTED_VALUE"""),8.7)</f>
        <v>8.6999999999999993</v>
      </c>
      <c r="E129" s="12">
        <f ca="1">IFERROR(__xludf.DUMMYFUNCTION("""COMPUTED_VALUE"""),173.75)</f>
        <v>173.75</v>
      </c>
      <c r="F129" s="14">
        <f ca="1">IFERROR(__xludf.DUMMYFUNCTION("""COMPUTED_VALUE"""),0.300431654676259)</f>
        <v>0.30043165467625899</v>
      </c>
      <c r="G129" s="12">
        <f ca="1">IFERROR(__xludf.DUMMYFUNCTION("""COMPUTED_VALUE"""),81.5)</f>
        <v>81.5</v>
      </c>
      <c r="H129" s="14">
        <f ca="1">IFERROR(__xludf.DUMMYFUNCTION("""COMPUTED_VALUE"""),0.491411042944785)</f>
        <v>0.49141104294478499</v>
      </c>
      <c r="I129" s="12">
        <f ca="1">IFERROR(__xludf.DUMMYFUNCTION("""COMPUTED_VALUE"""),120.15)</f>
        <v>120.15</v>
      </c>
      <c r="J129" s="14">
        <f ca="1">IFERROR(__xludf.DUMMYFUNCTION("""COMPUTED_VALUE"""),0.0116521015397419)</f>
        <v>1.16521015397419E-2</v>
      </c>
      <c r="K129" s="12" t="str">
        <f ca="1"/>
        <v>NBFC</v>
      </c>
      <c r="L129" s="12" t="str">
        <f ca="1"/>
        <v>MANAPPURAM</v>
      </c>
      <c r="M129" s="12" t="str">
        <f ca="1"/>
        <v>No</v>
      </c>
      <c r="N129" s="12" t="str">
        <f ca="1"/>
        <v>No</v>
      </c>
      <c r="O129" s="12" t="str">
        <f ca="1"/>
        <v>Good Stock</v>
      </c>
      <c r="P129" s="12" t="str">
        <f ca="1"/>
        <v>Low Cap</v>
      </c>
    </row>
    <row r="130" spans="1:16" ht="13.2">
      <c r="A130" s="12" t="str">
        <f ca="1">IFERROR(__xludf.DUMMYFUNCTION("""COMPUTED_VALUE"""),"UTI AMC")</f>
        <v>UTI AMC</v>
      </c>
      <c r="B130" s="13">
        <f ca="1">IFERROR(__xludf.DUMMYFUNCTION("""COMPUTED_VALUE"""),10284.2865)</f>
        <v>10284.2865</v>
      </c>
      <c r="C130" s="12">
        <f ca="1">IFERROR(__xludf.DUMMYFUNCTION("""COMPUTED_VALUE"""),807.2)</f>
        <v>807.2</v>
      </c>
      <c r="D130" s="12">
        <f ca="1">IFERROR(__xludf.DUMMYFUNCTION("""COMPUTED_VALUE"""),21.59)</f>
        <v>21.59</v>
      </c>
      <c r="E130" s="12">
        <f ca="1">IFERROR(__xludf.DUMMYFUNCTION("""COMPUTED_VALUE"""),1096.05)</f>
        <v>1096.05</v>
      </c>
      <c r="F130" s="14">
        <f ca="1">IFERROR(__xludf.DUMMYFUNCTION("""COMPUTED_VALUE"""),0.263537247388349)</f>
        <v>0.26353724738834899</v>
      </c>
      <c r="G130" s="12">
        <f ca="1">IFERROR(__xludf.DUMMYFUNCTION("""COMPUTED_VALUE"""),595)</f>
        <v>595</v>
      </c>
      <c r="H130" s="14">
        <f ca="1">IFERROR(__xludf.DUMMYFUNCTION("""COMPUTED_VALUE"""),0.356638655462184)</f>
        <v>0.35663865546218398</v>
      </c>
      <c r="I130" s="12">
        <f ca="1">IFERROR(__xludf.DUMMYFUNCTION("""COMPUTED_VALUE"""),812.9)</f>
        <v>812.9</v>
      </c>
      <c r="J130" s="14">
        <f ca="1">IFERROR(__xludf.DUMMYFUNCTION("""COMPUTED_VALUE"""),-0.00701193258703399)</f>
        <v>-7.0119325870339902E-3</v>
      </c>
      <c r="K130" s="12" t="str">
        <f ca="1"/>
        <v>AMC</v>
      </c>
      <c r="L130" s="12" t="str">
        <f ca="1"/>
        <v>BOM:543238</v>
      </c>
      <c r="M130" s="12" t="str">
        <f ca="1"/>
        <v>No</v>
      </c>
      <c r="N130" s="12" t="str">
        <f ca="1"/>
        <v>No</v>
      </c>
      <c r="O130" s="12" t="str">
        <f ca="1"/>
        <v>Good Stock</v>
      </c>
      <c r="P130" s="12" t="str">
        <f ca="1"/>
        <v>Low Cap</v>
      </c>
    </row>
    <row r="131" spans="1:16" ht="13.2">
      <c r="A131" s="12" t="str">
        <f ca="1">IFERROR(__xludf.DUMMYFUNCTION("""COMPUTED_VALUE"""),"HFCL")</f>
        <v>HFCL</v>
      </c>
      <c r="B131" s="13">
        <f ca="1">IFERROR(__xludf.DUMMYFUNCTION("""COMPUTED_VALUE"""),10126.79307)</f>
        <v>10126.79307</v>
      </c>
      <c r="C131" s="12">
        <f ca="1">IFERROR(__xludf.DUMMYFUNCTION("""COMPUTED_VALUE"""),73.6)</f>
        <v>73.599999999999994</v>
      </c>
      <c r="D131" s="12">
        <f ca="1">IFERROR(__xludf.DUMMYFUNCTION("""COMPUTED_VALUE"""),36.15)</f>
        <v>36.15</v>
      </c>
      <c r="E131" s="12">
        <f ca="1">IFERROR(__xludf.DUMMYFUNCTION("""COMPUTED_VALUE"""),101.35)</f>
        <v>101.35</v>
      </c>
      <c r="F131" s="14">
        <f ca="1">IFERROR(__xludf.DUMMYFUNCTION("""COMPUTED_VALUE"""),0.273803650715342)</f>
        <v>0.27380365071534202</v>
      </c>
      <c r="G131" s="12">
        <f ca="1">IFERROR(__xludf.DUMMYFUNCTION("""COMPUTED_VALUE"""),51.55)</f>
        <v>51.55</v>
      </c>
      <c r="H131" s="14">
        <f ca="1">IFERROR(__xludf.DUMMYFUNCTION("""COMPUTED_VALUE"""),0.427740058195926)</f>
        <v>0.42774005819592598</v>
      </c>
      <c r="I131" s="12">
        <f ca="1">IFERROR(__xludf.DUMMYFUNCTION("""COMPUTED_VALUE"""),72.4)</f>
        <v>72.400000000000006</v>
      </c>
      <c r="J131" s="14">
        <f ca="1">IFERROR(__xludf.DUMMYFUNCTION("""COMPUTED_VALUE"""),0.0165745856353589)</f>
        <v>1.65745856353589E-2</v>
      </c>
      <c r="K131" s="12" t="str">
        <f ca="1"/>
        <v>Telecom</v>
      </c>
      <c r="L131" s="12" t="str">
        <f ca="1"/>
        <v>BOM:500183</v>
      </c>
      <c r="M131" s="12" t="str">
        <f ca="1"/>
        <v>No</v>
      </c>
      <c r="N131" s="12" t="str">
        <f ca="1"/>
        <v>No</v>
      </c>
      <c r="O131" s="12" t="str">
        <f ca="1"/>
        <v>Good Stock</v>
      </c>
      <c r="P131" s="12" t="str">
        <f ca="1"/>
        <v>Low Cap</v>
      </c>
    </row>
    <row r="132" spans="1:16" ht="13.2">
      <c r="A132" s="12" t="str">
        <f ca="1">IFERROR(__xludf.DUMMYFUNCTION("""COMPUTED_VALUE"""),"Tanla Platform")</f>
        <v>Tanla Platform</v>
      </c>
      <c r="B132" s="13">
        <f ca="1">IFERROR(__xludf.DUMMYFUNCTION("""COMPUTED_VALUE"""),9951.4177429)</f>
        <v>9951.4177428999992</v>
      </c>
      <c r="C132" s="12">
        <f ca="1">IFERROR(__xludf.DUMMYFUNCTION("""COMPUTED_VALUE"""),731.9)</f>
        <v>731.9</v>
      </c>
      <c r="D132" s="12">
        <f ca="1">IFERROR(__xludf.DUMMYFUNCTION("""COMPUTED_VALUE"""),19.49)</f>
        <v>19.489999999999998</v>
      </c>
      <c r="E132" s="12">
        <f ca="1">IFERROR(__xludf.DUMMYFUNCTION("""COMPUTED_VALUE"""),2094.4)</f>
        <v>2094.4</v>
      </c>
      <c r="F132" s="14">
        <f ca="1">IFERROR(__xludf.DUMMYFUNCTION("""COMPUTED_VALUE"""),0.650544308632543)</f>
        <v>0.65054430863254298</v>
      </c>
      <c r="G132" s="12">
        <f ca="1">IFERROR(__xludf.DUMMYFUNCTION("""COMPUTED_VALUE"""),584.8)</f>
        <v>584.79999999999995</v>
      </c>
      <c r="H132" s="14">
        <f ca="1">IFERROR(__xludf.DUMMYFUNCTION("""COMPUTED_VALUE"""),0.251538987688098)</f>
        <v>0.25153898768809801</v>
      </c>
      <c r="I132" s="12">
        <f ca="1">IFERROR(__xludf.DUMMYFUNCTION("""COMPUTED_VALUE"""),724.3)</f>
        <v>724.3</v>
      </c>
      <c r="J132" s="14">
        <f ca="1">IFERROR(__xludf.DUMMYFUNCTION("""COMPUTED_VALUE"""),0.0104928896865939)</f>
        <v>1.04928896865939E-2</v>
      </c>
      <c r="K132" s="12" t="str">
        <f ca="1"/>
        <v>Technology</v>
      </c>
      <c r="L132" s="12" t="str">
        <f ca="1"/>
        <v>BOM:532790</v>
      </c>
      <c r="M132" s="12" t="str">
        <f ca="1"/>
        <v>No</v>
      </c>
      <c r="N132" s="12" t="str">
        <f ca="1"/>
        <v>No</v>
      </c>
      <c r="O132" s="12" t="str">
        <f ca="1"/>
        <v>Good Stock</v>
      </c>
      <c r="P132" s="12" t="str">
        <f ca="1"/>
        <v>Low Cap</v>
      </c>
    </row>
    <row r="133" spans="1:16" ht="13.2">
      <c r="A133" s="12" t="str">
        <f ca="1">IFERROR(__xludf.DUMMYFUNCTION("""COMPUTED_VALUE"""),"Amara Raja Batter")</f>
        <v>Amara Raja Batter</v>
      </c>
      <c r="B133" s="13">
        <f ca="1">IFERROR(__xludf.DUMMYFUNCTION("""COMPUTED_VALUE"""),9847.33486)</f>
        <v>9847.3348600000008</v>
      </c>
      <c r="C133" s="12">
        <f ca="1">IFERROR(__xludf.DUMMYFUNCTION("""COMPUTED_VALUE"""),576.5)</f>
        <v>576.5</v>
      </c>
      <c r="D133" s="12">
        <f ca="1">IFERROR(__xludf.DUMMYFUNCTION("""COMPUTED_VALUE"""),17.05)</f>
        <v>17.05</v>
      </c>
      <c r="E133" s="12">
        <f ca="1">IFERROR(__xludf.DUMMYFUNCTION("""COMPUTED_VALUE"""),668.15)</f>
        <v>668.15</v>
      </c>
      <c r="F133" s="14">
        <f ca="1">IFERROR(__xludf.DUMMYFUNCTION("""COMPUTED_VALUE"""),0.137169797201227)</f>
        <v>0.13716979720122699</v>
      </c>
      <c r="G133" s="12">
        <f ca="1">IFERROR(__xludf.DUMMYFUNCTION("""COMPUTED_VALUE"""),438.05)</f>
        <v>438.05</v>
      </c>
      <c r="H133" s="14">
        <f ca="1">IFERROR(__xludf.DUMMYFUNCTION("""COMPUTED_VALUE"""),0.316059810523912)</f>
        <v>0.31605981052391202</v>
      </c>
      <c r="I133" s="12">
        <f ca="1">IFERROR(__xludf.DUMMYFUNCTION("""COMPUTED_VALUE"""),590.95)</f>
        <v>590.95000000000005</v>
      </c>
      <c r="J133" s="14">
        <f ca="1">IFERROR(__xludf.DUMMYFUNCTION("""COMPUTED_VALUE"""),-0.024452153312463)</f>
        <v>-2.4452153312463001E-2</v>
      </c>
      <c r="K133" s="12" t="str">
        <f ca="1"/>
        <v>Automobile Ancilliary</v>
      </c>
      <c r="L133" s="12" t="str">
        <f ca="1"/>
        <v>AMARAJABAT</v>
      </c>
      <c r="M133" s="12" t="str">
        <f ca="1"/>
        <v>No</v>
      </c>
      <c r="N133" s="12" t="str">
        <f ca="1"/>
        <v>No</v>
      </c>
      <c r="O133" s="12" t="str">
        <f ca="1"/>
        <v>Good Stock</v>
      </c>
      <c r="P133" s="12" t="str">
        <f ca="1"/>
        <v>Low Cap</v>
      </c>
    </row>
    <row r="134" spans="1:16" ht="13.2">
      <c r="A134" s="12" t="str">
        <f ca="1">IFERROR(__xludf.DUMMYFUNCTION("""COMPUTED_VALUE"""),"Cyient")</f>
        <v>Cyient</v>
      </c>
      <c r="B134" s="13">
        <f ca="1">IFERROR(__xludf.DUMMYFUNCTION("""COMPUTED_VALUE"""),9606.1541)</f>
        <v>9606.1540999999997</v>
      </c>
      <c r="C134" s="12">
        <f ca="1">IFERROR(__xludf.DUMMYFUNCTION("""COMPUTED_VALUE"""),876)</f>
        <v>876</v>
      </c>
      <c r="D134" s="12">
        <f ca="1">IFERROR(__xludf.DUMMYFUNCTION("""COMPUTED_VALUE"""),19.98)</f>
        <v>19.98</v>
      </c>
      <c r="E134" s="12">
        <f ca="1">IFERROR(__xludf.DUMMYFUNCTION("""COMPUTED_VALUE"""),1051.85)</f>
        <v>1051.8499999999999</v>
      </c>
      <c r="F134" s="14">
        <f ca="1">IFERROR(__xludf.DUMMYFUNCTION("""COMPUTED_VALUE"""),0.167181632362028)</f>
        <v>0.16718163236202799</v>
      </c>
      <c r="G134" s="12">
        <f ca="1">IFERROR(__xludf.DUMMYFUNCTION("""COMPUTED_VALUE"""),720)</f>
        <v>720</v>
      </c>
      <c r="H134" s="14">
        <f ca="1">IFERROR(__xludf.DUMMYFUNCTION("""COMPUTED_VALUE"""),0.216666666666666)</f>
        <v>0.21666666666666601</v>
      </c>
      <c r="I134" s="12">
        <f ca="1">IFERROR(__xludf.DUMMYFUNCTION("""COMPUTED_VALUE"""),883.3)</f>
        <v>883.3</v>
      </c>
      <c r="J134" s="14">
        <f ca="1">IFERROR(__xludf.DUMMYFUNCTION("""COMPUTED_VALUE"""),-0.0082644628099173)</f>
        <v>-8.2644628099173001E-3</v>
      </c>
      <c r="K134" s="12" t="str">
        <f ca="1"/>
        <v>IT-Software</v>
      </c>
      <c r="L134" s="12" t="str">
        <f ca="1"/>
        <v>CYIENT</v>
      </c>
      <c r="M134" s="12" t="str">
        <f ca="1"/>
        <v>No</v>
      </c>
      <c r="N134" s="12" t="str">
        <f ca="1"/>
        <v>No</v>
      </c>
      <c r="O134" s="12" t="str">
        <f ca="1"/>
        <v>Good Stock</v>
      </c>
      <c r="P134" s="12" t="str">
        <f ca="1"/>
        <v>Low Cap</v>
      </c>
    </row>
    <row r="135" spans="1:16" ht="13.2">
      <c r="A135" s="12" t="str">
        <f ca="1">IFERROR(__xludf.DUMMYFUNCTION("""COMPUTED_VALUE"""),"Astrazeneca")</f>
        <v>Astrazeneca</v>
      </c>
      <c r="B135" s="13">
        <f ca="1">IFERROR(__xludf.DUMMYFUNCTION("""COMPUTED_VALUE"""),8815.8228535)</f>
        <v>8815.8228534999998</v>
      </c>
      <c r="C135" s="12">
        <f ca="1">IFERROR(__xludf.DUMMYFUNCTION("""COMPUTED_VALUE"""),3515.05)</f>
        <v>3515.05</v>
      </c>
      <c r="D135" s="12">
        <f ca="1">IFERROR(__xludf.DUMMYFUNCTION("""COMPUTED_VALUE"""),95.35)</f>
        <v>95.35</v>
      </c>
      <c r="E135" s="12">
        <f ca="1">IFERROR(__xludf.DUMMYFUNCTION("""COMPUTED_VALUE"""),3619.7)</f>
        <v>3619.7</v>
      </c>
      <c r="F135" s="14">
        <f ca="1">IFERROR(__xludf.DUMMYFUNCTION("""COMPUTED_VALUE"""),0.0289112357377682)</f>
        <v>2.8911235737768201E-2</v>
      </c>
      <c r="G135" s="12">
        <f ca="1">IFERROR(__xludf.DUMMYFUNCTION("""COMPUTED_VALUE"""),2437.75)</f>
        <v>2437.75</v>
      </c>
      <c r="H135" s="14">
        <f ca="1">IFERROR(__xludf.DUMMYFUNCTION("""COMPUTED_VALUE"""),0.441923905240488)</f>
        <v>0.44192390524048802</v>
      </c>
      <c r="I135" s="12">
        <f ca="1">IFERROR(__xludf.DUMMYFUNCTION("""COMPUTED_VALUE"""),3443.4)</f>
        <v>3443.4</v>
      </c>
      <c r="J135" s="14">
        <f ca="1">IFERROR(__xludf.DUMMYFUNCTION("""COMPUTED_VALUE"""),0.0208079224022768)</f>
        <v>2.0807922402276802E-2</v>
      </c>
      <c r="K135" s="12" t="str">
        <f ca="1"/>
        <v>Pharma</v>
      </c>
      <c r="L135" s="12" t="str">
        <f ca="1"/>
        <v>BOM:506820</v>
      </c>
      <c r="M135" s="12" t="str">
        <f ca="1"/>
        <v>No</v>
      </c>
      <c r="N135" s="12" t="str">
        <f ca="1"/>
        <v>No</v>
      </c>
      <c r="O135" s="12" t="str">
        <f ca="1"/>
        <v/>
      </c>
      <c r="P135" s="12" t="str">
        <f ca="1"/>
        <v>Low Cap</v>
      </c>
    </row>
    <row r="136" spans="1:16" ht="13.2">
      <c r="A136" s="12" t="str">
        <f ca="1">IFERROR(__xludf.DUMMYFUNCTION("""COMPUTED_VALUE"""),"Poly Medicure Ltd")</f>
        <v>Poly Medicure Ltd</v>
      </c>
      <c r="B136" s="13">
        <f ca="1">IFERROR(__xludf.DUMMYFUNCTION("""COMPUTED_VALUE"""),8584.669055)</f>
        <v>8584.6690550000003</v>
      </c>
      <c r="C136" s="12">
        <f ca="1">IFERROR(__xludf.DUMMYFUNCTION("""COMPUTED_VALUE"""),891.5)</f>
        <v>891.5</v>
      </c>
      <c r="D136" s="12">
        <f ca="1">IFERROR(__xludf.DUMMYFUNCTION("""COMPUTED_VALUE"""),61.12)</f>
        <v>61.12</v>
      </c>
      <c r="E136" s="12">
        <f ca="1">IFERROR(__xludf.DUMMYFUNCTION("""COMPUTED_VALUE"""),1044.4)</f>
        <v>1044.4000000000001</v>
      </c>
      <c r="F136" s="14">
        <f ca="1">IFERROR(__xludf.DUMMYFUNCTION("""COMPUTED_VALUE"""),0.146399846801991)</f>
        <v>0.146399846801991</v>
      </c>
      <c r="G136" s="12">
        <f ca="1">IFERROR(__xludf.DUMMYFUNCTION("""COMPUTED_VALUE"""),652.3)</f>
        <v>652.29999999999995</v>
      </c>
      <c r="H136" s="14">
        <f ca="1">IFERROR(__xludf.DUMMYFUNCTION("""COMPUTED_VALUE"""),0.366702437528744)</f>
        <v>0.36670243752874399</v>
      </c>
      <c r="I136" s="12">
        <f ca="1">IFERROR(__xludf.DUMMYFUNCTION("""COMPUTED_VALUE"""),897.9)</f>
        <v>897.9</v>
      </c>
      <c r="J136" s="14">
        <f ca="1">IFERROR(__xludf.DUMMYFUNCTION("""COMPUTED_VALUE"""),-0.00712774251030179)</f>
        <v>-7.1277425103017898E-3</v>
      </c>
      <c r="K136" s="12" t="str">
        <f ca="1"/>
        <v>Healthcare</v>
      </c>
      <c r="L136" s="12" t="str">
        <f ca="1"/>
        <v>BOM:531768</v>
      </c>
      <c r="M136" s="12" t="str">
        <f ca="1"/>
        <v>No</v>
      </c>
      <c r="N136" s="12" t="str">
        <f ca="1"/>
        <v>No</v>
      </c>
      <c r="O136" s="12" t="str">
        <f ca="1"/>
        <v>Good Stock</v>
      </c>
      <c r="P136" s="12" t="str">
        <f ca="1"/>
        <v>Low Cap</v>
      </c>
    </row>
    <row r="137" spans="1:16" ht="13.2">
      <c r="A137" s="12" t="str">
        <f ca="1">IFERROR(__xludf.DUMMYFUNCTION("""COMPUTED_VALUE"""),"Finolex Cable")</f>
        <v>Finolex Cable</v>
      </c>
      <c r="B137" s="13">
        <f ca="1">IFERROR(__xludf.DUMMYFUNCTION("""COMPUTED_VALUE"""),8463.6612353)</f>
        <v>8463.6612353</v>
      </c>
      <c r="C137" s="12">
        <f ca="1">IFERROR(__xludf.DUMMYFUNCTION("""COMPUTED_VALUE"""),553.4)</f>
        <v>553.4</v>
      </c>
      <c r="D137" s="12">
        <f ca="1">IFERROR(__xludf.DUMMYFUNCTION("""COMPUTED_VALUE"""),15.6)</f>
        <v>15.6</v>
      </c>
      <c r="E137" s="12">
        <f ca="1">IFERROR(__xludf.DUMMYFUNCTION("""COMPUTED_VALUE"""),593.9)</f>
        <v>593.9</v>
      </c>
      <c r="F137" s="14">
        <f ca="1">IFERROR(__xludf.DUMMYFUNCTION("""COMPUTED_VALUE"""),0.0681932985351069)</f>
        <v>6.8193298535106903E-2</v>
      </c>
      <c r="G137" s="12">
        <f ca="1">IFERROR(__xludf.DUMMYFUNCTION("""COMPUTED_VALUE"""),343.5)</f>
        <v>343.5</v>
      </c>
      <c r="H137" s="14">
        <f ca="1">IFERROR(__xludf.DUMMYFUNCTION("""COMPUTED_VALUE"""),0.611062590975254)</f>
        <v>0.61106259097525395</v>
      </c>
      <c r="I137" s="12">
        <f ca="1">IFERROR(__xludf.DUMMYFUNCTION("""COMPUTED_VALUE"""),539.85)</f>
        <v>539.85</v>
      </c>
      <c r="J137" s="14">
        <f ca="1">IFERROR(__xludf.DUMMYFUNCTION("""COMPUTED_VALUE"""),0.0250995646938963)</f>
        <v>2.5099564693896299E-2</v>
      </c>
      <c r="K137" s="12" t="str">
        <f ca="1"/>
        <v>Consumer Electrical</v>
      </c>
      <c r="L137" s="12" t="str">
        <f ca="1"/>
        <v>FINCABLES</v>
      </c>
      <c r="M137" s="12" t="str">
        <f ca="1"/>
        <v>No</v>
      </c>
      <c r="N137" s="12" t="str">
        <f ca="1"/>
        <v>No</v>
      </c>
      <c r="O137" s="12" t="str">
        <f ca="1"/>
        <v>Good Stock</v>
      </c>
      <c r="P137" s="12" t="str">
        <f ca="1"/>
        <v>Low Cap</v>
      </c>
    </row>
    <row r="138" spans="1:16" ht="13.2">
      <c r="A138" s="12" t="str">
        <f ca="1">IFERROR(__xludf.DUMMYFUNCTION("""COMPUTED_VALUE"""),"Mahangar Gas")</f>
        <v>Mahangar Gas</v>
      </c>
      <c r="B138" s="13">
        <f ca="1">IFERROR(__xludf.DUMMYFUNCTION("""COMPUTED_VALUE"""),8445.006)</f>
        <v>8445.0059999999994</v>
      </c>
      <c r="C138" s="12">
        <f ca="1">IFERROR(__xludf.DUMMYFUNCTION("""COMPUTED_VALUE"""),853.05)</f>
        <v>853.05</v>
      </c>
      <c r="D138" s="12">
        <f ca="1">IFERROR(__xludf.DUMMYFUNCTION("""COMPUTED_VALUE"""),15.67)</f>
        <v>15.67</v>
      </c>
      <c r="E138" s="12">
        <f ca="1">IFERROR(__xludf.DUMMYFUNCTION("""COMPUTED_VALUE"""),925)</f>
        <v>925</v>
      </c>
      <c r="F138" s="14">
        <f ca="1">IFERROR(__xludf.DUMMYFUNCTION("""COMPUTED_VALUE"""),0.0777837837837838)</f>
        <v>7.7783783783783797E-2</v>
      </c>
      <c r="G138" s="12">
        <f ca="1">IFERROR(__xludf.DUMMYFUNCTION("""COMPUTED_VALUE"""),666.35)</f>
        <v>666.35</v>
      </c>
      <c r="H138" s="14">
        <f ca="1">IFERROR(__xludf.DUMMYFUNCTION("""COMPUTED_VALUE"""),0.280183086966308)</f>
        <v>0.280183086966308</v>
      </c>
      <c r="I138" s="12">
        <f ca="1">IFERROR(__xludf.DUMMYFUNCTION("""COMPUTED_VALUE"""),862.5)</f>
        <v>862.5</v>
      </c>
      <c r="J138" s="14">
        <f ca="1">IFERROR(__xludf.DUMMYFUNCTION("""COMPUTED_VALUE"""),-0.0109565217391304)</f>
        <v>-1.09565217391304E-2</v>
      </c>
      <c r="K138" s="12" t="str">
        <f ca="1"/>
        <v>Utility</v>
      </c>
      <c r="L138" s="12" t="str">
        <f ca="1"/>
        <v>BOM:539957</v>
      </c>
      <c r="M138" s="12" t="str">
        <f ca="1"/>
        <v>No</v>
      </c>
      <c r="N138" s="12" t="str">
        <f ca="1"/>
        <v>No</v>
      </c>
      <c r="O138" s="12" t="str">
        <f ca="1"/>
        <v>Good Stock</v>
      </c>
      <c r="P138" s="12" t="str">
        <f ca="1"/>
        <v>Low Cap</v>
      </c>
    </row>
    <row r="139" spans="1:16" ht="13.2">
      <c r="A139" s="12" t="str">
        <f ca="1">IFERROR(__xludf.DUMMYFUNCTION("""COMPUTED_VALUE"""),"Galaxy Surfactant")</f>
        <v>Galaxy Surfactant</v>
      </c>
      <c r="B139" s="13">
        <f ca="1">IFERROR(__xludf.DUMMYFUNCTION("""COMPUTED_VALUE"""),8341.1378051)</f>
        <v>8341.1378050999992</v>
      </c>
      <c r="C139" s="12">
        <f ca="1">IFERROR(__xludf.DUMMYFUNCTION("""COMPUTED_VALUE"""),2358)</f>
        <v>2358</v>
      </c>
      <c r="D139" s="12">
        <f ca="1">IFERROR(__xludf.DUMMYFUNCTION("""COMPUTED_VALUE"""),25.47)</f>
        <v>25.47</v>
      </c>
      <c r="E139" s="12">
        <f ca="1">IFERROR(__xludf.DUMMYFUNCTION("""COMPUTED_VALUE"""),3447.55)</f>
        <v>3447.55</v>
      </c>
      <c r="F139" s="14">
        <f ca="1">IFERROR(__xludf.DUMMYFUNCTION("""COMPUTED_VALUE"""),0.316036025583385)</f>
        <v>0.31603602558338501</v>
      </c>
      <c r="G139" s="12">
        <f ca="1">IFERROR(__xludf.DUMMYFUNCTION("""COMPUTED_VALUE"""),2310.1)</f>
        <v>2310.1</v>
      </c>
      <c r="H139" s="14">
        <f ca="1">IFERROR(__xludf.DUMMYFUNCTION("""COMPUTED_VALUE"""),0.0207350331154495)</f>
        <v>2.0735033115449501E-2</v>
      </c>
      <c r="I139" s="12">
        <f ca="1">IFERROR(__xludf.DUMMYFUNCTION("""COMPUTED_VALUE"""),2340.5)</f>
        <v>2340.5</v>
      </c>
      <c r="J139" s="14">
        <f ca="1">IFERROR(__xludf.DUMMYFUNCTION("""COMPUTED_VALUE"""),0.00747703482161931)</f>
        <v>7.4770348216193104E-3</v>
      </c>
      <c r="K139" s="12" t="str">
        <f ca="1"/>
        <v>Chemical</v>
      </c>
      <c r="L139" s="12" t="str">
        <f ca="1"/>
        <v>GALAXYSURF</v>
      </c>
      <c r="M139" s="12" t="str">
        <f ca="1"/>
        <v>No</v>
      </c>
      <c r="N139" s="12" t="str">
        <f ca="1"/>
        <v>No</v>
      </c>
      <c r="O139" s="12" t="str">
        <f ca="1"/>
        <v>Good Stock</v>
      </c>
      <c r="P139" s="12" t="str">
        <f ca="1"/>
        <v>Low Cap</v>
      </c>
    </row>
    <row r="140" spans="1:16" ht="13.2">
      <c r="A140" s="12" t="str">
        <f ca="1">IFERROR(__xludf.DUMMYFUNCTION("""COMPUTED_VALUE"""),"Balaji Amine")</f>
        <v>Balaji Amine</v>
      </c>
      <c r="B140" s="13">
        <f ca="1">IFERROR(__xludf.DUMMYFUNCTION("""COMPUTED_VALUE"""),8293.1763762)</f>
        <v>8293.1763761999991</v>
      </c>
      <c r="C140" s="12">
        <f ca="1">IFERROR(__xludf.DUMMYFUNCTION("""COMPUTED_VALUE"""),2562.7)</f>
        <v>2562.6999999999998</v>
      </c>
      <c r="D140" s="12">
        <f ca="1">IFERROR(__xludf.DUMMYFUNCTION("""COMPUTED_VALUE"""),20.06)</f>
        <v>20.059999999999999</v>
      </c>
      <c r="E140" s="12">
        <f ca="1">IFERROR(__xludf.DUMMYFUNCTION("""COMPUTED_VALUE"""),3841.85)</f>
        <v>3841.85</v>
      </c>
      <c r="F140" s="14">
        <f ca="1">IFERROR(__xludf.DUMMYFUNCTION("""COMPUTED_VALUE"""),0.332951572809974)</f>
        <v>0.33295157280997401</v>
      </c>
      <c r="G140" s="12">
        <f ca="1">IFERROR(__xludf.DUMMYFUNCTION("""COMPUTED_VALUE"""),2530)</f>
        <v>2530</v>
      </c>
      <c r="H140" s="14">
        <f ca="1">IFERROR(__xludf.DUMMYFUNCTION("""COMPUTED_VALUE"""),0.0129249011857706)</f>
        <v>1.2924901185770599E-2</v>
      </c>
      <c r="I140" s="12">
        <f ca="1">IFERROR(__xludf.DUMMYFUNCTION("""COMPUTED_VALUE"""),2557.4)</f>
        <v>2557.4</v>
      </c>
      <c r="J140" s="14">
        <f ca="1">IFERROR(__xludf.DUMMYFUNCTION("""COMPUTED_VALUE"""),0.002072417298819)</f>
        <v>2.0724172988189999E-3</v>
      </c>
      <c r="K140" s="12" t="str">
        <f ca="1"/>
        <v>Chemical</v>
      </c>
      <c r="L140" s="12" t="str">
        <f ca="1"/>
        <v>BOM:530999</v>
      </c>
      <c r="M140" s="12" t="str">
        <f ca="1"/>
        <v>No</v>
      </c>
      <c r="N140" s="12" t="str">
        <f ca="1"/>
        <v>No</v>
      </c>
      <c r="O140" s="12" t="str">
        <f ca="1"/>
        <v>Good Stock</v>
      </c>
      <c r="P140" s="12" t="str">
        <f ca="1"/>
        <v>Low Cap</v>
      </c>
    </row>
    <row r="141" spans="1:16" ht="13.2">
      <c r="A141" s="12" t="str">
        <f ca="1">IFERROR(__xludf.DUMMYFUNCTION("""COMPUTED_VALUE"""),"Sonata Software")</f>
        <v>Sonata Software</v>
      </c>
      <c r="B141" s="13">
        <f ca="1">IFERROR(__xludf.DUMMYFUNCTION("""COMPUTED_VALUE"""),8104.163)</f>
        <v>8104.1629999999996</v>
      </c>
      <c r="C141" s="12">
        <f ca="1">IFERROR(__xludf.DUMMYFUNCTION("""COMPUTED_VALUE"""),582)</f>
        <v>582</v>
      </c>
      <c r="D141" s="12">
        <f ca="1">IFERROR(__xludf.DUMMYFUNCTION("""COMPUTED_VALUE"""),19.25)</f>
        <v>19.25</v>
      </c>
      <c r="E141" s="12">
        <f ca="1">IFERROR(__xludf.DUMMYFUNCTION("""COMPUTED_VALUE"""),694.5)</f>
        <v>694.5</v>
      </c>
      <c r="F141" s="14">
        <f ca="1">IFERROR(__xludf.DUMMYFUNCTION("""COMPUTED_VALUE"""),0.161987041036717)</f>
        <v>0.16198704103671699</v>
      </c>
      <c r="G141" s="12">
        <f ca="1">IFERROR(__xludf.DUMMYFUNCTION("""COMPUTED_VALUE"""),457.58)</f>
        <v>457.58</v>
      </c>
      <c r="H141" s="14">
        <f ca="1">IFERROR(__xludf.DUMMYFUNCTION("""COMPUTED_VALUE"""),0.271908737269985)</f>
        <v>0.27190873726998499</v>
      </c>
      <c r="I141" s="12">
        <f ca="1">IFERROR(__xludf.DUMMYFUNCTION("""COMPUTED_VALUE"""),574.4)</f>
        <v>574.4</v>
      </c>
      <c r="J141" s="14">
        <f ca="1">IFERROR(__xludf.DUMMYFUNCTION("""COMPUTED_VALUE"""),0.0132311977715877)</f>
        <v>1.32311977715877E-2</v>
      </c>
      <c r="K141" s="12" t="str">
        <f ca="1"/>
        <v>IT-Software</v>
      </c>
      <c r="L141" s="12" t="str">
        <f ca="1"/>
        <v>SONATSOFTW</v>
      </c>
      <c r="M141" s="12" t="str">
        <f ca="1"/>
        <v>No</v>
      </c>
      <c r="N141" s="12" t="str">
        <f ca="1"/>
        <v>No</v>
      </c>
      <c r="O141" s="12" t="str">
        <f ca="1"/>
        <v>Good Stock</v>
      </c>
      <c r="P141" s="12" t="str">
        <f ca="1"/>
        <v>Low Cap</v>
      </c>
    </row>
    <row r="142" spans="1:16" ht="13.2">
      <c r="A142" s="12" t="str">
        <f ca="1">IFERROR(__xludf.DUMMYFUNCTION("""COMPUTED_VALUE"""),"Granules India")</f>
        <v>Granules India</v>
      </c>
      <c r="B142" s="13">
        <f ca="1">IFERROR(__xludf.DUMMYFUNCTION("""COMPUTED_VALUE"""),7705.431)</f>
        <v>7705.4309999999996</v>
      </c>
      <c r="C142" s="12">
        <f ca="1">IFERROR(__xludf.DUMMYFUNCTION("""COMPUTED_VALUE"""),318.6)</f>
        <v>318.60000000000002</v>
      </c>
      <c r="D142" s="12">
        <f ca="1">IFERROR(__xludf.DUMMYFUNCTION("""COMPUTED_VALUE"""),16.36)</f>
        <v>16.36</v>
      </c>
      <c r="E142" s="12">
        <f ca="1">IFERROR(__xludf.DUMMYFUNCTION("""COMPUTED_VALUE"""),381.25)</f>
        <v>381.25</v>
      </c>
      <c r="F142" s="14">
        <f ca="1">IFERROR(__xludf.DUMMYFUNCTION("""COMPUTED_VALUE"""),0.164327868852458)</f>
        <v>0.16432786885245801</v>
      </c>
      <c r="G142" s="12">
        <f ca="1">IFERROR(__xludf.DUMMYFUNCTION("""COMPUTED_VALUE"""),227)</f>
        <v>227</v>
      </c>
      <c r="H142" s="14">
        <f ca="1">IFERROR(__xludf.DUMMYFUNCTION("""COMPUTED_VALUE"""),0.40352422907489)</f>
        <v>0.40352422907489</v>
      </c>
      <c r="I142" s="12">
        <f ca="1">IFERROR(__xludf.DUMMYFUNCTION("""COMPUTED_VALUE"""),318.15)</f>
        <v>318.14999999999998</v>
      </c>
      <c r="J142" s="14">
        <f ca="1">IFERROR(__xludf.DUMMYFUNCTION("""COMPUTED_VALUE"""),0.00141442715700155)</f>
        <v>1.41442715700155E-3</v>
      </c>
      <c r="K142" s="12" t="str">
        <f ca="1"/>
        <v>Pharma</v>
      </c>
      <c r="L142" s="12" t="str">
        <f ca="1"/>
        <v>BOM:532482</v>
      </c>
      <c r="M142" s="12" t="str">
        <f ca="1"/>
        <v>No</v>
      </c>
      <c r="N142" s="12" t="str">
        <f ca="1"/>
        <v>No</v>
      </c>
      <c r="O142" s="12" t="str">
        <f ca="1"/>
        <v>Good Stock</v>
      </c>
      <c r="P142" s="12" t="str">
        <f ca="1"/>
        <v>Low Cap</v>
      </c>
    </row>
    <row r="143" spans="1:16" ht="13.2">
      <c r="A143" s="12" t="str">
        <f ca="1">IFERROR(__xludf.DUMMYFUNCTION("""COMPUTED_VALUE"""),"Laxmi Orgamic")</f>
        <v>Laxmi Orgamic</v>
      </c>
      <c r="B143" s="13">
        <f ca="1">IFERROR(__xludf.DUMMYFUNCTION("""COMPUTED_VALUE"""),7672.4308321)</f>
        <v>7672.4308320999999</v>
      </c>
      <c r="C143" s="12">
        <f ca="1">IFERROR(__xludf.DUMMYFUNCTION("""COMPUTED_VALUE"""),289.4)</f>
        <v>289.39999999999998</v>
      </c>
      <c r="D143" s="12">
        <f ca="1">IFERROR(__xludf.DUMMYFUNCTION("""COMPUTED_VALUE"""),36.41)</f>
        <v>36.409999999999997</v>
      </c>
      <c r="E143" s="12">
        <f ca="1">IFERROR(__xludf.DUMMYFUNCTION("""COMPUTED_VALUE"""),501.6)</f>
        <v>501.6</v>
      </c>
      <c r="F143" s="14">
        <f ca="1">IFERROR(__xludf.DUMMYFUNCTION("""COMPUTED_VALUE"""),0.42304625199362)</f>
        <v>0.42304625199362</v>
      </c>
      <c r="G143" s="12">
        <f ca="1">IFERROR(__xludf.DUMMYFUNCTION("""COMPUTED_VALUE"""),274.35)</f>
        <v>274.35000000000002</v>
      </c>
      <c r="H143" s="14">
        <f ca="1">IFERROR(__xludf.DUMMYFUNCTION("""COMPUTED_VALUE"""),0.054856934572626)</f>
        <v>5.4856934572625998E-2</v>
      </c>
      <c r="I143" s="12">
        <f ca="1">IFERROR(__xludf.DUMMYFUNCTION("""COMPUTED_VALUE"""),289.25)</f>
        <v>289.25</v>
      </c>
      <c r="J143" s="14">
        <f ca="1">IFERROR(__xludf.DUMMYFUNCTION("""COMPUTED_VALUE"""),0.000518582541054372)</f>
        <v>5.1858254105437195E-4</v>
      </c>
      <c r="K143" s="12" t="str">
        <f ca="1"/>
        <v>Chemical</v>
      </c>
      <c r="L143" s="12" t="str">
        <f ca="1"/>
        <v>BOM:543277</v>
      </c>
      <c r="M143" s="12" t="str">
        <f ca="1"/>
        <v>No</v>
      </c>
      <c r="N143" s="12" t="str">
        <f ca="1"/>
        <v>No</v>
      </c>
      <c r="O143" s="12" t="str">
        <f ca="1"/>
        <v>Good Stock</v>
      </c>
      <c r="P143" s="12" t="str">
        <f ca="1"/>
        <v>Low Cap</v>
      </c>
    </row>
    <row r="144" spans="1:16" ht="13.2">
      <c r="A144" s="12" t="str">
        <f ca="1">IFERROR(__xludf.DUMMYFUNCTION("""COMPUTED_VALUE"""),"Infosys")</f>
        <v>Infosys</v>
      </c>
      <c r="B144" s="13">
        <f ca="1">IFERROR(__xludf.DUMMYFUNCTION("""COMPUTED_VALUE"""),7658.1331612)</f>
        <v>7658.1331612000004</v>
      </c>
      <c r="C144" s="12">
        <f ca="1">IFERROR(__xludf.DUMMYFUNCTION("""COMPUTED_VALUE"""),1503.5)</f>
        <v>1503.5</v>
      </c>
      <c r="D144" s="12">
        <f ca="1">IFERROR(__xludf.DUMMYFUNCTION("""COMPUTED_VALUE"""),27.61)</f>
        <v>27.61</v>
      </c>
      <c r="E144" s="12">
        <f ca="1">IFERROR(__xludf.DUMMYFUNCTION("""COMPUTED_VALUE"""),1953.7)</f>
        <v>1953.7</v>
      </c>
      <c r="F144" s="14">
        <f ca="1">IFERROR(__xludf.DUMMYFUNCTION("""COMPUTED_VALUE"""),0.230434560065516)</f>
        <v>0.23043456006551599</v>
      </c>
      <c r="G144" s="12">
        <f ca="1">IFERROR(__xludf.DUMMYFUNCTION("""COMPUTED_VALUE"""),1355.5)</f>
        <v>1355.5</v>
      </c>
      <c r="H144" s="14">
        <f ca="1">IFERROR(__xludf.DUMMYFUNCTION("""COMPUTED_VALUE"""),0.109184802655846)</f>
        <v>0.109184802655846</v>
      </c>
      <c r="I144" s="12">
        <f ca="1">IFERROR(__xludf.DUMMYFUNCTION("""COMPUTED_VALUE"""),1480.55)</f>
        <v>1480.55</v>
      </c>
      <c r="J144" s="14">
        <f ca="1">IFERROR(__xludf.DUMMYFUNCTION("""COMPUTED_VALUE"""),0.015500996251393)</f>
        <v>1.5500996251393E-2</v>
      </c>
      <c r="K144" s="12" t="str">
        <f ca="1"/>
        <v>IT</v>
      </c>
      <c r="L144" s="12" t="str">
        <f ca="1"/>
        <v>BOM:500209</v>
      </c>
      <c r="M144" s="12" t="str">
        <f ca="1"/>
        <v>No</v>
      </c>
      <c r="N144" s="12" t="str">
        <f ca="1"/>
        <v>No</v>
      </c>
      <c r="O144" s="12" t="str">
        <f ca="1"/>
        <v>Good Stock</v>
      </c>
      <c r="P144" s="12" t="str">
        <f ca="1"/>
        <v>Low Cap</v>
      </c>
    </row>
    <row r="145" spans="1:16" ht="13.2">
      <c r="A145" s="12" t="str">
        <f ca="1">IFERROR(__xludf.DUMMYFUNCTION("""COMPUTED_VALUE"""),"Latent View")</f>
        <v>Latent View</v>
      </c>
      <c r="B145" s="13">
        <f ca="1">IFERROR(__xludf.DUMMYFUNCTION("""COMPUTED_VALUE"""),7452.986336)</f>
        <v>7452.9863359999999</v>
      </c>
      <c r="C145" s="12">
        <f ca="1">IFERROR(__xludf.DUMMYFUNCTION("""COMPUTED_VALUE"""),367.25)</f>
        <v>367.25</v>
      </c>
      <c r="D145" s="12">
        <f ca="1">IFERROR(__xludf.DUMMYFUNCTION("""COMPUTED_VALUE"""),49.25)</f>
        <v>49.25</v>
      </c>
      <c r="E145" s="12">
        <f ca="1">IFERROR(__xludf.DUMMYFUNCTION("""COMPUTED_VALUE"""),617.4)</f>
        <v>617.4</v>
      </c>
      <c r="F145" s="14">
        <f ca="1">IFERROR(__xludf.DUMMYFUNCTION("""COMPUTED_VALUE"""),0.405166828636216)</f>
        <v>0.405166828636216</v>
      </c>
      <c r="G145" s="12">
        <f ca="1">IFERROR(__xludf.DUMMYFUNCTION("""COMPUTED_VALUE"""),305.25)</f>
        <v>305.25</v>
      </c>
      <c r="H145" s="14">
        <f ca="1">IFERROR(__xludf.DUMMYFUNCTION("""COMPUTED_VALUE"""),0.203112203112203)</f>
        <v>0.20311220311220299</v>
      </c>
      <c r="I145" s="12">
        <f ca="1">IFERROR(__xludf.DUMMYFUNCTION("""COMPUTED_VALUE"""),368.4)</f>
        <v>368.4</v>
      </c>
      <c r="J145" s="14">
        <f ca="1">IFERROR(__xludf.DUMMYFUNCTION("""COMPUTED_VALUE"""),-0.00312160694896845)</f>
        <v>-3.1216069489684501E-3</v>
      </c>
      <c r="K145" s="12" t="str">
        <f ca="1"/>
        <v>IT</v>
      </c>
      <c r="L145" s="12" t="str">
        <f ca="1"/>
        <v>BOM:543398</v>
      </c>
      <c r="M145" s="12" t="str">
        <f ca="1"/>
        <v>No</v>
      </c>
      <c r="N145" s="12" t="str">
        <f ca="1"/>
        <v>No</v>
      </c>
      <c r="O145" s="12" t="str">
        <f ca="1"/>
        <v>Good Stock</v>
      </c>
      <c r="P145" s="12" t="str">
        <f ca="1"/>
        <v>Low Cap</v>
      </c>
    </row>
    <row r="146" spans="1:16" ht="13.2">
      <c r="A146" s="12" t="str">
        <f ca="1">IFERROR(__xludf.DUMMYFUNCTION("""COMPUTED_VALUE"""),"ICICI Bank")</f>
        <v>ICICI Bank</v>
      </c>
      <c r="B146" s="13">
        <f ca="1">IFERROR(__xludf.DUMMYFUNCTION("""COMPUTED_VALUE"""),7451.4657292)</f>
        <v>7451.4657292000002</v>
      </c>
      <c r="C146" s="12">
        <f ca="1">IFERROR(__xludf.DUMMYFUNCTION("""COMPUTED_VALUE"""),873.25)</f>
        <v>873.25</v>
      </c>
      <c r="D146" s="12">
        <f ca="1">IFERROR(__xludf.DUMMYFUNCTION("""COMPUTED_VALUE"""),20.88)</f>
        <v>20.88</v>
      </c>
      <c r="E146" s="12">
        <f ca="1">IFERROR(__xludf.DUMMYFUNCTION("""COMPUTED_VALUE"""),958)</f>
        <v>958</v>
      </c>
      <c r="F146" s="14">
        <f ca="1">IFERROR(__xludf.DUMMYFUNCTION("""COMPUTED_VALUE"""),0.0884655532359081)</f>
        <v>8.8465553235908101E-2</v>
      </c>
      <c r="G146" s="12">
        <f ca="1">IFERROR(__xludf.DUMMYFUNCTION("""COMPUTED_VALUE"""),642)</f>
        <v>642</v>
      </c>
      <c r="H146" s="14">
        <f ca="1">IFERROR(__xludf.DUMMYFUNCTION("""COMPUTED_VALUE"""),0.360202492211838)</f>
        <v>0.36020249221183798</v>
      </c>
      <c r="I146" s="12">
        <f ca="1">IFERROR(__xludf.DUMMYFUNCTION("""COMPUTED_VALUE"""),861.2)</f>
        <v>861.2</v>
      </c>
      <c r="J146" s="14">
        <f ca="1">IFERROR(__xludf.DUMMYFUNCTION("""COMPUTED_VALUE"""),0.0139921040408731)</f>
        <v>1.39921040408731E-2</v>
      </c>
      <c r="K146" s="12" t="str">
        <f ca="1"/>
        <v>Bank</v>
      </c>
      <c r="L146" s="12" t="str">
        <f ca="1"/>
        <v>BOM:532174</v>
      </c>
      <c r="M146" s="12" t="str">
        <f ca="1"/>
        <v>No</v>
      </c>
      <c r="N146" s="12" t="str">
        <f ca="1"/>
        <v>No</v>
      </c>
      <c r="O146" s="12" t="str">
        <f ca="1"/>
        <v>Good Stock</v>
      </c>
      <c r="P146" s="12" t="str">
        <f ca="1"/>
        <v>Low Cap</v>
      </c>
    </row>
    <row r="147" spans="1:16" ht="13.2">
      <c r="A147" s="12" t="str">
        <f ca="1">IFERROR(__xludf.DUMMYFUNCTION("""COMPUTED_VALUE"""),"Route Mobile")</f>
        <v>Route Mobile</v>
      </c>
      <c r="B147" s="13">
        <f ca="1">IFERROR(__xludf.DUMMYFUNCTION("""COMPUTED_VALUE"""),7415.8287656)</f>
        <v>7415.8287656000002</v>
      </c>
      <c r="C147" s="12">
        <f ca="1">IFERROR(__xludf.DUMMYFUNCTION("""COMPUTED_VALUE"""),1190.8)</f>
        <v>1190.8</v>
      </c>
      <c r="D147" s="12">
        <f ca="1">IFERROR(__xludf.DUMMYFUNCTION("""COMPUTED_VALUE"""),32.12)</f>
        <v>32.119999999999997</v>
      </c>
      <c r="E147" s="12">
        <f ca="1">IFERROR(__xludf.DUMMYFUNCTION("""COMPUTED_VALUE"""),1919)</f>
        <v>1919</v>
      </c>
      <c r="F147" s="14">
        <f ca="1">IFERROR(__xludf.DUMMYFUNCTION("""COMPUTED_VALUE"""),0.379468473163105)</f>
        <v>0.379468473163105</v>
      </c>
      <c r="G147" s="12">
        <f ca="1">IFERROR(__xludf.DUMMYFUNCTION("""COMPUTED_VALUE"""),1052.6)</f>
        <v>1052.5999999999999</v>
      </c>
      <c r="H147" s="14">
        <f ca="1">IFERROR(__xludf.DUMMYFUNCTION("""COMPUTED_VALUE"""),0.131293938818164)</f>
        <v>0.13129393881816401</v>
      </c>
      <c r="I147" s="12">
        <f ca="1">IFERROR(__xludf.DUMMYFUNCTION("""COMPUTED_VALUE"""),1197.6)</f>
        <v>1197.5999999999999</v>
      </c>
      <c r="J147" s="14">
        <f ca="1">IFERROR(__xludf.DUMMYFUNCTION("""COMPUTED_VALUE"""),-0.00567802271209081)</f>
        <v>-5.6780227120908104E-3</v>
      </c>
      <c r="K147" s="12" t="str">
        <f ca="1"/>
        <v>Technology</v>
      </c>
      <c r="L147" s="12" t="str">
        <f ca="1"/>
        <v>BOM:543228</v>
      </c>
      <c r="M147" s="12" t="str">
        <f ca="1"/>
        <v>No</v>
      </c>
      <c r="N147" s="12" t="str">
        <f ca="1"/>
        <v>No</v>
      </c>
      <c r="O147" s="12" t="str">
        <f ca="1"/>
        <v>Good Stock</v>
      </c>
      <c r="P147" s="12" t="str">
        <f ca="1"/>
        <v>Low Cap</v>
      </c>
    </row>
    <row r="148" spans="1:16" ht="13.2">
      <c r="A148" s="12" t="str">
        <f ca="1">IFERROR(__xludf.DUMMYFUNCTION("""COMPUTED_VALUE"""),"craftsman automation")</f>
        <v>craftsman automation</v>
      </c>
      <c r="B148" s="13">
        <f ca="1">IFERROR(__xludf.DUMMYFUNCTION("""COMPUTED_VALUE"""),7324.341471)</f>
        <v>7324.3414709999997</v>
      </c>
      <c r="C148" s="12">
        <f ca="1">IFERROR(__xludf.DUMMYFUNCTION("""COMPUTED_VALUE"""),3465.1)</f>
        <v>3465.1</v>
      </c>
      <c r="D148" s="12">
        <f ca="1">IFERROR(__xludf.DUMMYFUNCTION("""COMPUTED_VALUE"""),35.75)</f>
        <v>35.75</v>
      </c>
      <c r="E148" s="12">
        <f ca="1">IFERROR(__xludf.DUMMYFUNCTION("""COMPUTED_VALUE"""),3709.95)</f>
        <v>3709.95</v>
      </c>
      <c r="F148" s="14">
        <f ca="1">IFERROR(__xludf.DUMMYFUNCTION("""COMPUTED_VALUE"""),0.0659981940457418)</f>
        <v>6.5998194045741795E-2</v>
      </c>
      <c r="G148" s="12">
        <f ca="1">IFERROR(__xludf.DUMMYFUNCTION("""COMPUTED_VALUE"""),1845)</f>
        <v>1845</v>
      </c>
      <c r="H148" s="14">
        <f ca="1">IFERROR(__xludf.DUMMYFUNCTION("""COMPUTED_VALUE"""),0.87810298102981)</f>
        <v>0.87810298102980999</v>
      </c>
      <c r="I148" s="12">
        <f ca="1">IFERROR(__xludf.DUMMYFUNCTION("""COMPUTED_VALUE"""),3461.8)</f>
        <v>3461.8</v>
      </c>
      <c r="J148" s="14">
        <f ca="1">IFERROR(__xludf.DUMMYFUNCTION("""COMPUTED_VALUE"""),0.000953261309145452)</f>
        <v>9.5326130914545203E-4</v>
      </c>
      <c r="K148" s="12" t="str">
        <f ca="1"/>
        <v>automobile</v>
      </c>
      <c r="L148" s="12" t="str">
        <f ca="1"/>
        <v>BOM:543276</v>
      </c>
      <c r="M148" s="12" t="str">
        <f ca="1"/>
        <v>No</v>
      </c>
      <c r="N148" s="12" t="str">
        <f ca="1"/>
        <v>No</v>
      </c>
      <c r="O148" s="12" t="str">
        <f ca="1"/>
        <v>Good Stock</v>
      </c>
      <c r="P148" s="12" t="str">
        <f ca="1"/>
        <v>Low Cap</v>
      </c>
    </row>
    <row r="149" spans="1:16" ht="13.2">
      <c r="A149" s="12" t="str">
        <f ca="1">IFERROR(__xludf.DUMMYFUNCTION("""COMPUTED_VALUE"""),"Metropolis Healthcare")</f>
        <v>Metropolis Healthcare</v>
      </c>
      <c r="B149" s="13">
        <f ca="1">IFERROR(__xludf.DUMMYFUNCTION("""COMPUTED_VALUE"""),7063.23)</f>
        <v>7063.23</v>
      </c>
      <c r="C149" s="12">
        <f ca="1">IFERROR(__xludf.DUMMYFUNCTION("""COMPUTED_VALUE"""),1380.05)</f>
        <v>1380.05</v>
      </c>
      <c r="D149" s="12">
        <f ca="1">IFERROR(__xludf.DUMMYFUNCTION("""COMPUTED_VALUE"""),45.85)</f>
        <v>45.85</v>
      </c>
      <c r="E149" s="12">
        <f ca="1">IFERROR(__xludf.DUMMYFUNCTION("""COMPUTED_VALUE"""),3142)</f>
        <v>3142</v>
      </c>
      <c r="F149" s="14">
        <f ca="1">IFERROR(__xludf.DUMMYFUNCTION("""COMPUTED_VALUE"""),0.560773392743475)</f>
        <v>0.56077339274347504</v>
      </c>
      <c r="G149" s="12">
        <f ca="1">IFERROR(__xludf.DUMMYFUNCTION("""COMPUTED_VALUE"""),1267.05)</f>
        <v>1267.05</v>
      </c>
      <c r="H149" s="14">
        <f ca="1">IFERROR(__xludf.DUMMYFUNCTION("""COMPUTED_VALUE"""),0.0891835365613038)</f>
        <v>8.9183536561303803E-2</v>
      </c>
      <c r="I149" s="12">
        <f ca="1">IFERROR(__xludf.DUMMYFUNCTION("""COMPUTED_VALUE"""),1382.35)</f>
        <v>1382.35</v>
      </c>
      <c r="J149" s="14">
        <f ca="1">IFERROR(__xludf.DUMMYFUNCTION("""COMPUTED_VALUE"""),-0.00166383332730491)</f>
        <v>-1.6638333273049099E-3</v>
      </c>
      <c r="K149" s="12" t="str">
        <f ca="1"/>
        <v>Healthcare</v>
      </c>
      <c r="L149" s="12" t="str">
        <f ca="1"/>
        <v>METROPOLIS</v>
      </c>
      <c r="M149" s="12" t="str">
        <f ca="1"/>
        <v>No</v>
      </c>
      <c r="N149" s="12" t="str">
        <f ca="1"/>
        <v>No</v>
      </c>
      <c r="O149" s="12" t="str">
        <f ca="1"/>
        <v>Good Stock</v>
      </c>
      <c r="P149" s="12" t="str">
        <f ca="1"/>
        <v>Low Cap</v>
      </c>
    </row>
    <row r="150" spans="1:16" ht="13.2">
      <c r="A150" s="12" t="str">
        <f ca="1">IFERROR(__xludf.DUMMYFUNCTION("""COMPUTED_VALUE"""),"GMM Pfaudler")</f>
        <v>GMM Pfaudler</v>
      </c>
      <c r="B150" s="13">
        <f ca="1">IFERROR(__xludf.DUMMYFUNCTION("""COMPUTED_VALUE"""),7046.8192293)</f>
        <v>7046.8192293000002</v>
      </c>
      <c r="C150" s="12">
        <f ca="1">IFERROR(__xludf.DUMMYFUNCTION("""COMPUTED_VALUE"""),1567.45)</f>
        <v>1567.45</v>
      </c>
      <c r="D150" s="12">
        <f ca="1">IFERROR(__xludf.DUMMYFUNCTION("""COMPUTED_VALUE"""),53.87)</f>
        <v>53.87</v>
      </c>
      <c r="E150" s="12">
        <f ca="1">IFERROR(__xludf.DUMMYFUNCTION("""COMPUTED_VALUE"""),2110)</f>
        <v>2110</v>
      </c>
      <c r="F150" s="14">
        <f ca="1">IFERROR(__xludf.DUMMYFUNCTION("""COMPUTED_VALUE"""),0.2571327014218)</f>
        <v>0.2571327014218</v>
      </c>
      <c r="G150" s="12">
        <f ca="1">IFERROR(__xludf.DUMMYFUNCTION("""COMPUTED_VALUE"""),1256.67)</f>
        <v>1256.67</v>
      </c>
      <c r="H150" s="14">
        <f ca="1">IFERROR(__xludf.DUMMYFUNCTION("""COMPUTED_VALUE"""),0.247304383808)</f>
        <v>0.24730438380799999</v>
      </c>
      <c r="I150" s="12">
        <f ca="1">IFERROR(__xludf.DUMMYFUNCTION("""COMPUTED_VALUE"""),1576.95)</f>
        <v>1576.95</v>
      </c>
      <c r="J150" s="14">
        <f ca="1">IFERROR(__xludf.DUMMYFUNCTION("""COMPUTED_VALUE"""),-0.00602428739021528)</f>
        <v>-6.0242873902152799E-3</v>
      </c>
      <c r="K150" s="12" t="str">
        <f ca="1"/>
        <v>Manufacturing</v>
      </c>
      <c r="L150" s="12" t="str">
        <f ca="1"/>
        <v>GMMPFAUDLR</v>
      </c>
      <c r="M150" s="12" t="str">
        <f ca="1"/>
        <v>No</v>
      </c>
      <c r="N150" s="12" t="str">
        <f ca="1"/>
        <v>No</v>
      </c>
      <c r="O150" s="12" t="str">
        <f ca="1"/>
        <v>Good Stock</v>
      </c>
      <c r="P150" s="12" t="str">
        <f ca="1"/>
        <v>Low Cap</v>
      </c>
    </row>
    <row r="151" spans="1:16" ht="13.2">
      <c r="A151" s="12" t="str">
        <f ca="1">IFERROR(__xludf.DUMMYFUNCTION("""COMPUTED_VALUE"""),"TCI Express")</f>
        <v>TCI Express</v>
      </c>
      <c r="B151" s="13">
        <f ca="1">IFERROR(__xludf.DUMMYFUNCTION("""COMPUTED_VALUE"""),6985.583)</f>
        <v>6985.5829999999996</v>
      </c>
      <c r="C151" s="12">
        <f ca="1">IFERROR(__xludf.DUMMYFUNCTION("""COMPUTED_VALUE"""),1795)</f>
        <v>1795</v>
      </c>
      <c r="D151" s="12">
        <f ca="1">IFERROR(__xludf.DUMMYFUNCTION("""COMPUTED_VALUE"""),49.5)</f>
        <v>49.5</v>
      </c>
      <c r="E151" s="12">
        <f ca="1">IFERROR(__xludf.DUMMYFUNCTION("""COMPUTED_VALUE"""),2249)</f>
        <v>2249</v>
      </c>
      <c r="F151" s="14">
        <f ca="1">IFERROR(__xludf.DUMMYFUNCTION("""COMPUTED_VALUE"""),0.201867496665184)</f>
        <v>0.201867496665184</v>
      </c>
      <c r="G151" s="12">
        <f ca="1">IFERROR(__xludf.DUMMYFUNCTION("""COMPUTED_VALUE"""),1444.5)</f>
        <v>1444.5</v>
      </c>
      <c r="H151" s="14">
        <f ca="1">IFERROR(__xludf.DUMMYFUNCTION("""COMPUTED_VALUE"""),0.242644513672551)</f>
        <v>0.24264451367255099</v>
      </c>
      <c r="I151" s="12">
        <f ca="1">IFERROR(__xludf.DUMMYFUNCTION("""COMPUTED_VALUE"""),1807.4)</f>
        <v>1807.4</v>
      </c>
      <c r="J151" s="14">
        <f ca="1">IFERROR(__xludf.DUMMYFUNCTION("""COMPUTED_VALUE"""),-0.00686068385526175)</f>
        <v>-6.8606838552617497E-3</v>
      </c>
      <c r="K151" s="12" t="str">
        <f ca="1"/>
        <v>Logistic</v>
      </c>
      <c r="L151" s="12" t="str">
        <f ca="1"/>
        <v>BOM:540212</v>
      </c>
      <c r="M151" s="12" t="str">
        <f ca="1"/>
        <v>No</v>
      </c>
      <c r="N151" s="12" t="str">
        <f ca="1"/>
        <v>No</v>
      </c>
      <c r="O151" s="12" t="str">
        <f ca="1"/>
        <v>Good Stock</v>
      </c>
      <c r="P151" s="12" t="str">
        <f ca="1"/>
        <v>Low Cap</v>
      </c>
    </row>
    <row r="152" spans="1:16" ht="13.2">
      <c r="A152" s="12" t="str">
        <f ca="1">IFERROR(__xludf.DUMMYFUNCTION("""COMPUTED_VALUE"""),"Cera Sanitaryware")</f>
        <v>Cera Sanitaryware</v>
      </c>
      <c r="B152" s="13">
        <f ca="1">IFERROR(__xludf.DUMMYFUNCTION("""COMPUTED_VALUE"""),6919.97)</f>
        <v>6919.97</v>
      </c>
      <c r="C152" s="12">
        <f ca="1">IFERROR(__xludf.DUMMYFUNCTION("""COMPUTED_VALUE"""),5294)</f>
        <v>5294</v>
      </c>
      <c r="D152" s="12">
        <f ca="1">IFERROR(__xludf.DUMMYFUNCTION("""COMPUTED_VALUE"""),37)</f>
        <v>37</v>
      </c>
      <c r="E152" s="12">
        <f ca="1">IFERROR(__xludf.DUMMYFUNCTION("""COMPUTED_VALUE"""),6067.95)</f>
        <v>6067.95</v>
      </c>
      <c r="F152" s="14">
        <f ca="1">IFERROR(__xludf.DUMMYFUNCTION("""COMPUTED_VALUE"""),0.127547194686838)</f>
        <v>0.12754719468683801</v>
      </c>
      <c r="G152" s="12">
        <f ca="1">IFERROR(__xludf.DUMMYFUNCTION("""COMPUTED_VALUE"""),3518.6)</f>
        <v>3518.6</v>
      </c>
      <c r="H152" s="14">
        <f ca="1">IFERROR(__xludf.DUMMYFUNCTION("""COMPUTED_VALUE"""),0.504575683510487)</f>
        <v>0.50457568351048698</v>
      </c>
      <c r="I152" s="12">
        <f ca="1">IFERROR(__xludf.DUMMYFUNCTION("""COMPUTED_VALUE"""),5320)</f>
        <v>5320</v>
      </c>
      <c r="J152" s="14">
        <f ca="1">IFERROR(__xludf.DUMMYFUNCTION("""COMPUTED_VALUE"""),-0.00488721804511278)</f>
        <v>-4.8872180451127803E-3</v>
      </c>
      <c r="K152" s="12" t="str">
        <f ca="1"/>
        <v>Ceramics</v>
      </c>
      <c r="L152" s="12" t="str">
        <f ca="1"/>
        <v>BOM:532443</v>
      </c>
      <c r="M152" s="12" t="str">
        <f ca="1"/>
        <v>No</v>
      </c>
      <c r="N152" s="12" t="str">
        <f ca="1"/>
        <v>No</v>
      </c>
      <c r="O152" s="12" t="str">
        <f ca="1"/>
        <v>Good Stock</v>
      </c>
      <c r="P152" s="12" t="str">
        <f ca="1"/>
        <v>Low Cap</v>
      </c>
    </row>
    <row r="153" spans="1:16" ht="13.2">
      <c r="A153" s="12" t="str">
        <f ca="1">IFERROR(__xludf.DUMMYFUNCTION("""COMPUTED_VALUE"""),"Prince Pipe")</f>
        <v>Prince Pipe</v>
      </c>
      <c r="B153" s="13">
        <f ca="1">IFERROR(__xludf.DUMMYFUNCTION("""COMPUTED_VALUE"""),6524.233845)</f>
        <v>6524.2338449999997</v>
      </c>
      <c r="C153" s="12">
        <f ca="1">IFERROR(__xludf.DUMMYFUNCTION("""COMPUTED_VALUE"""),590.7)</f>
        <v>590.70000000000005</v>
      </c>
      <c r="D153" s="12">
        <f ca="1">IFERROR(__xludf.DUMMYFUNCTION("""COMPUTED_VALUE"""),44.19)</f>
        <v>44.19</v>
      </c>
      <c r="E153" s="12">
        <f ca="1">IFERROR(__xludf.DUMMYFUNCTION("""COMPUTED_VALUE"""),748)</f>
        <v>748</v>
      </c>
      <c r="F153" s="14">
        <f ca="1">IFERROR(__xludf.DUMMYFUNCTION("""COMPUTED_VALUE"""),0.210294117647058)</f>
        <v>0.21029411764705799</v>
      </c>
      <c r="G153" s="12">
        <f ca="1">IFERROR(__xludf.DUMMYFUNCTION("""COMPUTED_VALUE"""),513.1)</f>
        <v>513.1</v>
      </c>
      <c r="H153" s="14">
        <f ca="1">IFERROR(__xludf.DUMMYFUNCTION("""COMPUTED_VALUE"""),0.15123757552134)</f>
        <v>0.15123757552134001</v>
      </c>
      <c r="I153" s="12">
        <f ca="1">IFERROR(__xludf.DUMMYFUNCTION("""COMPUTED_VALUE"""),575.3)</f>
        <v>575.29999999999995</v>
      </c>
      <c r="J153" s="14">
        <f ca="1">IFERROR(__xludf.DUMMYFUNCTION("""COMPUTED_VALUE"""),0.0267686424474189)</f>
        <v>2.6768642447418899E-2</v>
      </c>
      <c r="K153" s="12" t="str">
        <f ca="1"/>
        <v>Piping</v>
      </c>
      <c r="L153" s="12" t="str">
        <f ca="1"/>
        <v>BOM:542907</v>
      </c>
      <c r="M153" s="12" t="str">
        <f ca="1"/>
        <v>No</v>
      </c>
      <c r="N153" s="12" t="str">
        <f ca="1"/>
        <v>No</v>
      </c>
      <c r="O153" s="12" t="str">
        <f ca="1"/>
        <v>Good Stock</v>
      </c>
      <c r="P153" s="12" t="str">
        <f ca="1"/>
        <v>Low Cap</v>
      </c>
    </row>
    <row r="154" spans="1:16" ht="13.2">
      <c r="A154" s="12" t="str">
        <f ca="1">IFERROR(__xludf.DUMMYFUNCTION("""COMPUTED_VALUE"""),"Praj Industries")</f>
        <v>Praj Industries</v>
      </c>
      <c r="B154" s="13">
        <f ca="1">IFERROR(__xludf.DUMMYFUNCTION("""COMPUTED_VALUE"""),6488.72245)</f>
        <v>6488.7224500000002</v>
      </c>
      <c r="C154" s="12">
        <f ca="1">IFERROR(__xludf.DUMMYFUNCTION("""COMPUTED_VALUE"""),353)</f>
        <v>353</v>
      </c>
      <c r="D154" s="12">
        <f ca="1">IFERROR(__xludf.DUMMYFUNCTION("""COMPUTED_VALUE"""),35.19)</f>
        <v>35.19</v>
      </c>
      <c r="E154" s="12">
        <f ca="1">IFERROR(__xludf.DUMMYFUNCTION("""COMPUTED_VALUE"""),461.5)</f>
        <v>461.5</v>
      </c>
      <c r="F154" s="14">
        <f ca="1">IFERROR(__xludf.DUMMYFUNCTION("""COMPUTED_VALUE"""),0.23510292524377)</f>
        <v>0.23510292524376999</v>
      </c>
      <c r="G154" s="12">
        <f ca="1">IFERROR(__xludf.DUMMYFUNCTION("""COMPUTED_VALUE"""),289.05)</f>
        <v>289.05</v>
      </c>
      <c r="H154" s="14">
        <f ca="1">IFERROR(__xludf.DUMMYFUNCTION("""COMPUTED_VALUE"""),0.221241999654039)</f>
        <v>0.22124199965403901</v>
      </c>
      <c r="I154" s="12">
        <f ca="1">IFERROR(__xludf.DUMMYFUNCTION("""COMPUTED_VALUE"""),355.1)</f>
        <v>355.1</v>
      </c>
      <c r="J154" s="14">
        <f ca="1">IFERROR(__xludf.DUMMYFUNCTION("""COMPUTED_VALUE"""),-0.00591382709096035)</f>
        <v>-5.9138270909603503E-3</v>
      </c>
      <c r="K154" s="12" t="str">
        <f ca="1"/>
        <v>Manufacturing</v>
      </c>
      <c r="L154" s="12" t="str">
        <f ca="1"/>
        <v>BOM:522205</v>
      </c>
      <c r="M154" s="12" t="str">
        <f ca="1"/>
        <v>No</v>
      </c>
      <c r="N154" s="12" t="str">
        <f ca="1"/>
        <v>No</v>
      </c>
      <c r="O154" s="12" t="str">
        <f ca="1"/>
        <v>Good Stock</v>
      </c>
      <c r="P154" s="12" t="str">
        <f ca="1"/>
        <v>Low Cap</v>
      </c>
    </row>
    <row r="155" spans="1:16" ht="13.2">
      <c r="A155" s="12" t="str">
        <f ca="1">IFERROR(__xludf.DUMMYFUNCTION("""COMPUTED_VALUE"""),"Data Pattern")</f>
        <v>Data Pattern</v>
      </c>
      <c r="B155" s="13">
        <f ca="1">IFERROR(__xludf.DUMMYFUNCTION("""COMPUTED_VALUE"""),6367.8328518)</f>
        <v>6367.8328517999998</v>
      </c>
      <c r="C155" s="12">
        <f ca="1">IFERROR(__xludf.DUMMYFUNCTION("""COMPUTED_VALUE"""),1227.1)</f>
        <v>1227.0999999999999</v>
      </c>
      <c r="D155" s="12">
        <f ca="1">IFERROR(__xludf.DUMMYFUNCTION("""COMPUTED_VALUE"""),59.65)</f>
        <v>59.65</v>
      </c>
      <c r="E155" s="12">
        <f ca="1">IFERROR(__xludf.DUMMYFUNCTION("""COMPUTED_VALUE"""),1480)</f>
        <v>1480</v>
      </c>
      <c r="F155" s="14">
        <f ca="1">IFERROR(__xludf.DUMMYFUNCTION("""COMPUTED_VALUE"""),0.170878378378378)</f>
        <v>0.17087837837837799</v>
      </c>
      <c r="G155" s="12">
        <f ca="1">IFERROR(__xludf.DUMMYFUNCTION("""COMPUTED_VALUE"""),575)</f>
        <v>575</v>
      </c>
      <c r="H155" s="14">
        <f ca="1">IFERROR(__xludf.DUMMYFUNCTION("""COMPUTED_VALUE"""),1.13408695652173)</f>
        <v>1.13408695652173</v>
      </c>
      <c r="I155" s="12">
        <f ca="1">IFERROR(__xludf.DUMMYFUNCTION("""COMPUTED_VALUE"""),1161.25)</f>
        <v>1161.25</v>
      </c>
      <c r="J155" s="14">
        <f ca="1">IFERROR(__xludf.DUMMYFUNCTION("""COMPUTED_VALUE"""),0.0567061356297092)</f>
        <v>5.6706135629709199E-2</v>
      </c>
      <c r="K155" s="12" t="str">
        <f ca="1"/>
        <v>Technology</v>
      </c>
      <c r="L155" s="12" t="str">
        <f ca="1"/>
        <v>BOM:543428</v>
      </c>
      <c r="M155" s="12" t="str">
        <f ca="1"/>
        <v>No</v>
      </c>
      <c r="N155" s="12" t="str">
        <f ca="1"/>
        <v>No</v>
      </c>
      <c r="O155" s="12" t="str">
        <f ca="1"/>
        <v>Good Stock</v>
      </c>
      <c r="P155" s="12" t="str">
        <f ca="1"/>
        <v>Low Cap</v>
      </c>
    </row>
    <row r="156" spans="1:16" ht="13.2">
      <c r="A156" s="12" t="str">
        <f ca="1">IFERROR(__xludf.DUMMYFUNCTION("""COMPUTED_VALUE"""),"Amber Enterprise")</f>
        <v>Amber Enterprise</v>
      </c>
      <c r="B156" s="13">
        <f ca="1">IFERROR(__xludf.DUMMYFUNCTION("""COMPUTED_VALUE"""),6297.527)</f>
        <v>6297.527</v>
      </c>
      <c r="C156" s="12">
        <f ca="1">IFERROR(__xludf.DUMMYFUNCTION("""COMPUTED_VALUE"""),1870)</f>
        <v>1870</v>
      </c>
      <c r="D156" s="12">
        <f ca="1">IFERROR(__xludf.DUMMYFUNCTION("""COMPUTED_VALUE"""),49.07)</f>
        <v>49.07</v>
      </c>
      <c r="E156" s="12">
        <f ca="1">IFERROR(__xludf.DUMMYFUNCTION("""COMPUTED_VALUE"""),4023.65)</f>
        <v>4023.65</v>
      </c>
      <c r="F156" s="14">
        <f ca="1">IFERROR(__xludf.DUMMYFUNCTION("""COMPUTED_VALUE"""),0.535247847103997)</f>
        <v>0.53524784710399698</v>
      </c>
      <c r="G156" s="12">
        <f ca="1">IFERROR(__xludf.DUMMYFUNCTION("""COMPUTED_VALUE"""),1844.15)</f>
        <v>1844.15</v>
      </c>
      <c r="H156" s="14">
        <f ca="1">IFERROR(__xludf.DUMMYFUNCTION("""COMPUTED_VALUE"""),0.0140172979421413)</f>
        <v>1.40172979421413E-2</v>
      </c>
      <c r="I156" s="12">
        <f ca="1">IFERROR(__xludf.DUMMYFUNCTION("""COMPUTED_VALUE"""),1876)</f>
        <v>1876</v>
      </c>
      <c r="J156" s="14">
        <f ca="1">IFERROR(__xludf.DUMMYFUNCTION("""COMPUTED_VALUE"""),-0.00319829424307036)</f>
        <v>-3.1982942430703598E-3</v>
      </c>
      <c r="K156" s="12" t="str">
        <f ca="1"/>
        <v>Manufacturing</v>
      </c>
      <c r="L156" s="12" t="str">
        <f ca="1"/>
        <v>BOM:540902</v>
      </c>
      <c r="M156" s="12" t="str">
        <f ca="1"/>
        <v>No</v>
      </c>
      <c r="N156" s="12" t="str">
        <f ca="1"/>
        <v>No</v>
      </c>
      <c r="O156" s="12" t="str">
        <f ca="1"/>
        <v>Good Stock</v>
      </c>
      <c r="P156" s="12" t="str">
        <f ca="1"/>
        <v>Low Cap</v>
      </c>
    </row>
    <row r="157" spans="1:16" ht="13.2">
      <c r="A157" s="12" t="str">
        <f ca="1">IFERROR(__xludf.DUMMYFUNCTION("""COMPUTED_VALUE"""),"Garware technical")</f>
        <v>Garware technical</v>
      </c>
      <c r="B157" s="13">
        <f ca="1">IFERROR(__xludf.DUMMYFUNCTION("""COMPUTED_VALUE"""),6152.5851506)</f>
        <v>6152.5851505999999</v>
      </c>
      <c r="C157" s="12">
        <f ca="1">IFERROR(__xludf.DUMMYFUNCTION("""COMPUTED_VALUE"""),3024.95)</f>
        <v>3024.95</v>
      </c>
      <c r="D157" s="12">
        <f ca="1">IFERROR(__xludf.DUMMYFUNCTION("""COMPUTED_VALUE"""),37.14)</f>
        <v>37.14</v>
      </c>
      <c r="E157" s="12">
        <f ca="1">IFERROR(__xludf.DUMMYFUNCTION("""COMPUTED_VALUE"""),3754.85)</f>
        <v>3754.85</v>
      </c>
      <c r="F157" s="14">
        <f ca="1">IFERROR(__xludf.DUMMYFUNCTION("""COMPUTED_VALUE"""),0.194388590755955)</f>
        <v>0.19438859075595499</v>
      </c>
      <c r="G157" s="12">
        <f ca="1">IFERROR(__xludf.DUMMYFUNCTION("""COMPUTED_VALUE"""),2619.8)</f>
        <v>2619.8000000000002</v>
      </c>
      <c r="H157" s="14">
        <f ca="1">IFERROR(__xludf.DUMMYFUNCTION("""COMPUTED_VALUE"""),0.154649209863348)</f>
        <v>0.15464920986334799</v>
      </c>
      <c r="I157" s="12">
        <f ca="1">IFERROR(__xludf.DUMMYFUNCTION("""COMPUTED_VALUE"""),3026.7)</f>
        <v>3026.7</v>
      </c>
      <c r="J157" s="14">
        <f ca="1">IFERROR(__xludf.DUMMYFUNCTION("""COMPUTED_VALUE"""),-0.000578187464895761)</f>
        <v>-5.7818746489576097E-4</v>
      </c>
      <c r="K157" s="12" t="str">
        <f ca="1"/>
        <v>Textile</v>
      </c>
      <c r="L157" s="12" t="str">
        <f ca="1"/>
        <v>GARFIBRES</v>
      </c>
      <c r="M157" s="12" t="str">
        <f ca="1"/>
        <v>No</v>
      </c>
      <c r="N157" s="12" t="str">
        <f ca="1"/>
        <v>No</v>
      </c>
      <c r="O157" s="12" t="str">
        <f ca="1"/>
        <v>Good Stock</v>
      </c>
      <c r="P157" s="12" t="str">
        <f ca="1"/>
        <v>Low Cap</v>
      </c>
    </row>
    <row r="158" spans="1:16" ht="13.2">
      <c r="A158" s="12" t="str">
        <f ca="1">IFERROR(__xludf.DUMMYFUNCTION("""COMPUTED_VALUE"""),"MapmyIndia")</f>
        <v>MapmyIndia</v>
      </c>
      <c r="B158" s="13">
        <f ca="1">IFERROR(__xludf.DUMMYFUNCTION("""COMPUTED_VALUE"""),5752.7067025)</f>
        <v>5752.7067024999997</v>
      </c>
      <c r="C158" s="12">
        <f ca="1">IFERROR(__xludf.DUMMYFUNCTION("""COMPUTED_VALUE"""),1071.5)</f>
        <v>1071.5</v>
      </c>
      <c r="D158" s="12">
        <f ca="1">IFERROR(__xludf.DUMMYFUNCTION("""COMPUTED_VALUE"""),65.24)</f>
        <v>65.239999999999995</v>
      </c>
      <c r="E158" s="12">
        <f ca="1">IFERROR(__xludf.DUMMYFUNCTION("""COMPUTED_VALUE"""),1918.35)</f>
        <v>1918.35</v>
      </c>
      <c r="F158" s="14">
        <f ca="1">IFERROR(__xludf.DUMMYFUNCTION("""COMPUTED_VALUE"""),0.441447076915057)</f>
        <v>0.44144707691505702</v>
      </c>
      <c r="G158" s="12">
        <f ca="1">IFERROR(__xludf.DUMMYFUNCTION("""COMPUTED_VALUE"""),1023.2)</f>
        <v>1023.2</v>
      </c>
      <c r="H158" s="14">
        <f ca="1">IFERROR(__xludf.DUMMYFUNCTION("""COMPUTED_VALUE"""),0.0472048475371383)</f>
        <v>4.72048475371383E-2</v>
      </c>
      <c r="I158" s="12">
        <f ca="1">IFERROR(__xludf.DUMMYFUNCTION("""COMPUTED_VALUE"""),1069.9)</f>
        <v>1069.9000000000001</v>
      </c>
      <c r="J158" s="14">
        <f ca="1">IFERROR(__xludf.DUMMYFUNCTION("""COMPUTED_VALUE"""),0.00149546686606216)</f>
        <v>1.4954668660621599E-3</v>
      </c>
      <c r="K158" s="12" t="str">
        <f ca="1"/>
        <v>Technology</v>
      </c>
      <c r="L158" s="12" t="str">
        <f ca="1"/>
        <v>BOM:543425</v>
      </c>
      <c r="M158" s="12" t="str">
        <f ca="1"/>
        <v>No</v>
      </c>
      <c r="N158" s="12" t="str">
        <f ca="1"/>
        <v>No</v>
      </c>
      <c r="O158" s="12" t="str">
        <f ca="1"/>
        <v/>
      </c>
      <c r="P158" s="12" t="str">
        <f ca="1"/>
        <v>Low Cap</v>
      </c>
    </row>
    <row r="159" spans="1:16" ht="13.2">
      <c r="A159" s="12" t="str">
        <f ca="1">IFERROR(__xludf.DUMMYFUNCTION("""COMPUTED_VALUE"""),"Borosil Renewable")</f>
        <v>Borosil Renewable</v>
      </c>
      <c r="B159" s="13">
        <f ca="1">IFERROR(__xludf.DUMMYFUNCTION("""COMPUTED_VALUE"""),5686.243)</f>
        <v>5686.2430000000004</v>
      </c>
      <c r="C159" s="12">
        <f ca="1">IFERROR(__xludf.DUMMYFUNCTION("""COMPUTED_VALUE"""),499.35)</f>
        <v>499.35</v>
      </c>
      <c r="D159" s="12">
        <f ca="1">IFERROR(__xludf.DUMMYFUNCTION("""COMPUTED_VALUE"""),39.43)</f>
        <v>39.43</v>
      </c>
      <c r="E159" s="12">
        <f ca="1">IFERROR(__xludf.DUMMYFUNCTION("""COMPUTED_VALUE"""),833)</f>
        <v>833</v>
      </c>
      <c r="F159" s="14">
        <f ca="1">IFERROR(__xludf.DUMMYFUNCTION("""COMPUTED_VALUE"""),0.400540216086434)</f>
        <v>0.40054021608643398</v>
      </c>
      <c r="G159" s="12">
        <f ca="1">IFERROR(__xludf.DUMMYFUNCTION("""COMPUTED_VALUE"""),468)</f>
        <v>468</v>
      </c>
      <c r="H159" s="14">
        <f ca="1">IFERROR(__xludf.DUMMYFUNCTION("""COMPUTED_VALUE"""),0.0669871794871795)</f>
        <v>6.6987179487179499E-2</v>
      </c>
      <c r="I159" s="12">
        <f ca="1">IFERROR(__xludf.DUMMYFUNCTION("""COMPUTED_VALUE"""),494.9)</f>
        <v>494.9</v>
      </c>
      <c r="J159" s="14">
        <f ca="1">IFERROR(__xludf.DUMMYFUNCTION("""COMPUTED_VALUE"""),0.00899171549808051)</f>
        <v>8.9917154980805099E-3</v>
      </c>
      <c r="K159" s="12" t="str">
        <f ca="1"/>
        <v>Manufacturing</v>
      </c>
      <c r="L159" s="12" t="str">
        <f ca="1"/>
        <v>BOM:502219</v>
      </c>
      <c r="M159" s="12" t="str">
        <f ca="1"/>
        <v>No</v>
      </c>
      <c r="N159" s="12" t="str">
        <f ca="1"/>
        <v>No</v>
      </c>
      <c r="O159" s="12" t="str">
        <f ca="1"/>
        <v>Good Stock</v>
      </c>
      <c r="P159" s="12" t="str">
        <f ca="1"/>
        <v>Low Cap</v>
      </c>
    </row>
    <row r="160" spans="1:16" ht="13.2">
      <c r="A160" s="12" t="str">
        <f ca="1">IFERROR(__xludf.DUMMYFUNCTION("""COMPUTED_VALUE"""),"Orient Electric")</f>
        <v>Orient Electric</v>
      </c>
      <c r="B160" s="13">
        <f ca="1">IFERROR(__xludf.DUMMYFUNCTION("""COMPUTED_VALUE"""),5679.5794914)</f>
        <v>5679.5794913999998</v>
      </c>
      <c r="C160" s="12">
        <f ca="1">IFERROR(__xludf.DUMMYFUNCTION("""COMPUTED_VALUE"""),267.2)</f>
        <v>267.2</v>
      </c>
      <c r="D160" s="12">
        <f ca="1">IFERROR(__xludf.DUMMYFUNCTION("""COMPUTED_VALUE"""),53.9)</f>
        <v>53.9</v>
      </c>
      <c r="E160" s="12">
        <f ca="1">IFERROR(__xludf.DUMMYFUNCTION("""COMPUTED_VALUE"""),372.2)</f>
        <v>372.2</v>
      </c>
      <c r="F160" s="14">
        <f ca="1">IFERROR(__xludf.DUMMYFUNCTION("""COMPUTED_VALUE"""),0.282106394411606)</f>
        <v>0.28210639441160601</v>
      </c>
      <c r="G160" s="12">
        <f ca="1">IFERROR(__xludf.DUMMYFUNCTION("""COMPUTED_VALUE"""),244)</f>
        <v>244</v>
      </c>
      <c r="H160" s="14">
        <f ca="1">IFERROR(__xludf.DUMMYFUNCTION("""COMPUTED_VALUE"""),0.0950819672131147)</f>
        <v>9.5081967213114696E-2</v>
      </c>
      <c r="I160" s="12">
        <f ca="1">IFERROR(__xludf.DUMMYFUNCTION("""COMPUTED_VALUE"""),268.4)</f>
        <v>268.39999999999998</v>
      </c>
      <c r="J160" s="14">
        <f ca="1">IFERROR(__xludf.DUMMYFUNCTION("""COMPUTED_VALUE"""),-0.00447093889716836)</f>
        <v>-4.4709388971683603E-3</v>
      </c>
      <c r="K160" s="12" t="str">
        <f ca="1"/>
        <v>Consumer Electrical</v>
      </c>
      <c r="L160" s="12" t="str">
        <f ca="1"/>
        <v>ORIENTELEC</v>
      </c>
      <c r="M160" s="12" t="str">
        <f ca="1"/>
        <v>No</v>
      </c>
      <c r="N160" s="12" t="str">
        <f ca="1"/>
        <v>No</v>
      </c>
      <c r="O160" s="12" t="str">
        <f ca="1"/>
        <v>Good Stock</v>
      </c>
      <c r="P160" s="12" t="str">
        <f ca="1"/>
        <v>Low Cap</v>
      </c>
    </row>
    <row r="161" spans="1:16" ht="13.2">
      <c r="A161" s="12" t="str">
        <f ca="1">IFERROR(__xludf.DUMMYFUNCTION("""COMPUTED_VALUE"""),"Gujarat Ambuja Export")</f>
        <v>Gujarat Ambuja Export</v>
      </c>
      <c r="B161" s="13">
        <f ca="1">IFERROR(__xludf.DUMMYFUNCTION("""COMPUTED_VALUE"""),5515.515)</f>
        <v>5515.5150000000003</v>
      </c>
      <c r="C161" s="12">
        <f ca="1">IFERROR(__xludf.DUMMYFUNCTION("""COMPUTED_VALUE"""),241.5)</f>
        <v>241.5</v>
      </c>
      <c r="D161" s="12">
        <f ca="1">IFERROR(__xludf.DUMMYFUNCTION("""COMPUTED_VALUE"""),12.67)</f>
        <v>12.67</v>
      </c>
      <c r="E161" s="12">
        <f ca="1">IFERROR(__xludf.DUMMYFUNCTION("""COMPUTED_VALUE"""),393.85)</f>
        <v>393.85</v>
      </c>
      <c r="F161" s="14">
        <f ca="1">IFERROR(__xludf.DUMMYFUNCTION("""COMPUTED_VALUE"""),0.386822394312555)</f>
        <v>0.386822394312555</v>
      </c>
      <c r="G161" s="12">
        <f ca="1">IFERROR(__xludf.DUMMYFUNCTION("""COMPUTED_VALUE"""),169.25)</f>
        <v>169.25</v>
      </c>
      <c r="H161" s="14">
        <f ca="1">IFERROR(__xludf.DUMMYFUNCTION("""COMPUTED_VALUE"""),0.426883308714918)</f>
        <v>0.42688330871491798</v>
      </c>
      <c r="I161" s="12">
        <f ca="1">IFERROR(__xludf.DUMMYFUNCTION("""COMPUTED_VALUE"""),236.7)</f>
        <v>236.7</v>
      </c>
      <c r="J161" s="14">
        <f ca="1">IFERROR(__xludf.DUMMYFUNCTION("""COMPUTED_VALUE"""),0.0202788339670469)</f>
        <v>2.02788339670469E-2</v>
      </c>
      <c r="K161" s="12">
        <f ca="1"/>
        <v>0</v>
      </c>
      <c r="L161" s="12" t="str">
        <f ca="1"/>
        <v>BOM:524226</v>
      </c>
      <c r="M161" s="12" t="str">
        <f ca="1"/>
        <v>No</v>
      </c>
      <c r="N161" s="12" t="str">
        <f ca="1"/>
        <v>No</v>
      </c>
      <c r="O161" s="12" t="str">
        <f ca="1"/>
        <v>Good Stock</v>
      </c>
      <c r="P161" s="12" t="str">
        <f ca="1"/>
        <v>Low Cap</v>
      </c>
    </row>
    <row r="162" spans="1:16" ht="13.2">
      <c r="A162" s="12" t="str">
        <f ca="1">IFERROR(__xludf.DUMMYFUNCTION("""COMPUTED_VALUE"""),"Avanti Feed")</f>
        <v>Avanti Feed</v>
      </c>
      <c r="B162" s="13">
        <f ca="1">IFERROR(__xludf.DUMMYFUNCTION("""COMPUTED_VALUE"""),5305.4035808)</f>
        <v>5305.4035807999999</v>
      </c>
      <c r="C162" s="12">
        <f ca="1">IFERROR(__xludf.DUMMYFUNCTION("""COMPUTED_VALUE"""),389.4)</f>
        <v>389.4</v>
      </c>
      <c r="D162" s="12">
        <f ca="1">IFERROR(__xludf.DUMMYFUNCTION("""COMPUTED_VALUE"""),21.44)</f>
        <v>21.44</v>
      </c>
      <c r="E162" s="12">
        <f ca="1">IFERROR(__xludf.DUMMYFUNCTION("""COMPUTED_VALUE"""),638.8)</f>
        <v>638.79999999999995</v>
      </c>
      <c r="F162" s="14">
        <f ca="1">IFERROR(__xludf.DUMMYFUNCTION("""COMPUTED_VALUE"""),0.390419536631183)</f>
        <v>0.39041953663118301</v>
      </c>
      <c r="G162" s="12">
        <f ca="1">IFERROR(__xludf.DUMMYFUNCTION("""COMPUTED_VALUE"""),364.1)</f>
        <v>364.1</v>
      </c>
      <c r="H162" s="14">
        <f ca="1">IFERROR(__xludf.DUMMYFUNCTION("""COMPUTED_VALUE"""),0.0694864048338367)</f>
        <v>6.9486404833836696E-2</v>
      </c>
      <c r="I162" s="12">
        <f ca="1">IFERROR(__xludf.DUMMYFUNCTION("""COMPUTED_VALUE"""),388.7)</f>
        <v>388.7</v>
      </c>
      <c r="J162" s="14">
        <f ca="1">IFERROR(__xludf.DUMMYFUNCTION("""COMPUTED_VALUE"""),0.00180087471057367)</f>
        <v>1.8008747105736701E-3</v>
      </c>
      <c r="K162" s="12" t="str">
        <f ca="1"/>
        <v>Food</v>
      </c>
      <c r="L162" s="12" t="str">
        <f ca="1"/>
        <v>AVANTIFEED</v>
      </c>
      <c r="M162" s="12" t="str">
        <f ca="1"/>
        <v>No</v>
      </c>
      <c r="N162" s="12" t="str">
        <f ca="1"/>
        <v>No</v>
      </c>
      <c r="O162" s="12" t="str">
        <f ca="1"/>
        <v>Good Stock</v>
      </c>
      <c r="P162" s="12" t="str">
        <f ca="1"/>
        <v>Low Cap</v>
      </c>
    </row>
    <row r="163" spans="1:16" ht="13.2">
      <c r="A163" s="12" t="str">
        <f ca="1">IFERROR(__xludf.DUMMYFUNCTION("""COMPUTED_VALUE"""),"MTAR")</f>
        <v>MTAR</v>
      </c>
      <c r="B163" s="13">
        <f ca="1">IFERROR(__xludf.DUMMYFUNCTION("""COMPUTED_VALUE"""),5182.98923)</f>
        <v>5182.9892300000001</v>
      </c>
      <c r="C163" s="12">
        <f ca="1">IFERROR(__xludf.DUMMYFUNCTION("""COMPUTED_VALUE"""),1688.15)</f>
        <v>1688.15</v>
      </c>
      <c r="D163" s="12">
        <f ca="1">IFERROR(__xludf.DUMMYFUNCTION("""COMPUTED_VALUE"""),70.16)</f>
        <v>70.16</v>
      </c>
      <c r="E163" s="12">
        <f ca="1">IFERROR(__xludf.DUMMYFUNCTION("""COMPUTED_VALUE"""),2409.15)</f>
        <v>2409.15</v>
      </c>
      <c r="F163" s="14">
        <f ca="1">IFERROR(__xludf.DUMMYFUNCTION("""COMPUTED_VALUE"""),0.299275678143743)</f>
        <v>0.29927567814374301</v>
      </c>
      <c r="G163" s="12">
        <f ca="1">IFERROR(__xludf.DUMMYFUNCTION("""COMPUTED_VALUE"""),1211.85)</f>
        <v>1211.8499999999999</v>
      </c>
      <c r="H163" s="14">
        <f ca="1">IFERROR(__xludf.DUMMYFUNCTION("""COMPUTED_VALUE"""),0.393035441680076)</f>
        <v>0.39303544168007598</v>
      </c>
      <c r="I163" s="12">
        <f ca="1">IFERROR(__xludf.DUMMYFUNCTION("""COMPUTED_VALUE"""),1670.5)</f>
        <v>1670.5</v>
      </c>
      <c r="J163" s="14">
        <f ca="1">IFERROR(__xludf.DUMMYFUNCTION("""COMPUTED_VALUE"""),0.0105656988925471)</f>
        <v>1.0565698892547101E-2</v>
      </c>
      <c r="K163" s="12" t="str">
        <f ca="1"/>
        <v>Defence</v>
      </c>
      <c r="L163" s="12" t="str">
        <f ca="1"/>
        <v>BOM:543270</v>
      </c>
      <c r="M163" s="12" t="str">
        <f ca="1"/>
        <v>No</v>
      </c>
      <c r="N163" s="12" t="str">
        <f ca="1"/>
        <v>No</v>
      </c>
      <c r="O163" s="12" t="str">
        <f ca="1"/>
        <v/>
      </c>
      <c r="P163" s="12" t="str">
        <f ca="1"/>
        <v>Low Cap</v>
      </c>
    </row>
    <row r="164" spans="1:16" ht="13.2">
      <c r="A164" s="12" t="str">
        <f ca="1">IFERROR(__xludf.DUMMYFUNCTION("""COMPUTED_VALUE"""),"Mastek")</f>
        <v>Mastek</v>
      </c>
      <c r="B164" s="13">
        <f ca="1">IFERROR(__xludf.DUMMYFUNCTION("""COMPUTED_VALUE"""),5153.9576635)</f>
        <v>5153.9576635000003</v>
      </c>
      <c r="C164" s="12">
        <f ca="1">IFERROR(__xludf.DUMMYFUNCTION("""COMPUTED_VALUE"""),1714.7)</f>
        <v>1714.7</v>
      </c>
      <c r="D164" s="12">
        <f ca="1">IFERROR(__xludf.DUMMYFUNCTION("""COMPUTED_VALUE"""),17.12)</f>
        <v>17.12</v>
      </c>
      <c r="E164" s="12">
        <f ca="1">IFERROR(__xludf.DUMMYFUNCTION("""COMPUTED_VALUE"""),3410.85)</f>
        <v>3410.85</v>
      </c>
      <c r="F164" s="14">
        <f ca="1">IFERROR(__xludf.DUMMYFUNCTION("""COMPUTED_VALUE"""),0.497280736473313)</f>
        <v>0.497280736473313</v>
      </c>
      <c r="G164" s="12">
        <f ca="1">IFERROR(__xludf.DUMMYFUNCTION("""COMPUTED_VALUE"""),1492)</f>
        <v>1492</v>
      </c>
      <c r="H164" s="14">
        <f ca="1">IFERROR(__xludf.DUMMYFUNCTION("""COMPUTED_VALUE"""),0.14926273458445)</f>
        <v>0.14926273458445</v>
      </c>
      <c r="I164" s="12">
        <f ca="1">IFERROR(__xludf.DUMMYFUNCTION("""COMPUTED_VALUE"""),1693.7)</f>
        <v>1693.7</v>
      </c>
      <c r="J164" s="14">
        <f ca="1">IFERROR(__xludf.DUMMYFUNCTION("""COMPUTED_VALUE"""),0.0123988900041329)</f>
        <v>1.23988900041329E-2</v>
      </c>
      <c r="K164" s="12" t="str">
        <f ca="1"/>
        <v>IT</v>
      </c>
      <c r="L164" s="12" t="str">
        <f ca="1"/>
        <v>BOM:523704</v>
      </c>
      <c r="M164" s="12" t="str">
        <f ca="1"/>
        <v>No</v>
      </c>
      <c r="N164" s="12" t="str">
        <f ca="1"/>
        <v>No</v>
      </c>
      <c r="O164" s="12" t="str">
        <f ca="1"/>
        <v>Good Stock</v>
      </c>
      <c r="P164" s="12" t="str">
        <f ca="1"/>
        <v>Low Cap</v>
      </c>
    </row>
    <row r="165" spans="1:16" ht="13.2">
      <c r="A165" s="12" t="str">
        <f ca="1">IFERROR(__xludf.DUMMYFUNCTION("""COMPUTED_VALUE"""),"Vaibhav Global")</f>
        <v>Vaibhav Global</v>
      </c>
      <c r="B165" s="13">
        <f ca="1">IFERROR(__xludf.DUMMYFUNCTION("""COMPUTED_VALUE"""),4927.69342)</f>
        <v>4927.6934199999996</v>
      </c>
      <c r="C165" s="12">
        <f ca="1">IFERROR(__xludf.DUMMYFUNCTION("""COMPUTED_VALUE"""),299)</f>
        <v>299</v>
      </c>
      <c r="D165" s="12">
        <f ca="1">IFERROR(__xludf.DUMMYFUNCTION("""COMPUTED_VALUE"""),35.85)</f>
        <v>35.85</v>
      </c>
      <c r="E165" s="12">
        <f ca="1">IFERROR(__xludf.DUMMYFUNCTION("""COMPUTED_VALUE"""),566.5)</f>
        <v>566.5</v>
      </c>
      <c r="F165" s="14">
        <f ca="1">IFERROR(__xludf.DUMMYFUNCTION("""COMPUTED_VALUE"""),0.472197705207413)</f>
        <v>0.472197705207413</v>
      </c>
      <c r="G165" s="12">
        <f ca="1">IFERROR(__xludf.DUMMYFUNCTION("""COMPUTED_VALUE"""),288)</f>
        <v>288</v>
      </c>
      <c r="H165" s="14">
        <f ca="1">IFERROR(__xludf.DUMMYFUNCTION("""COMPUTED_VALUE"""),0.0381944444444444)</f>
        <v>3.8194444444444399E-2</v>
      </c>
      <c r="I165" s="12">
        <f ca="1">IFERROR(__xludf.DUMMYFUNCTION("""COMPUTED_VALUE"""),297.35)</f>
        <v>297.35000000000002</v>
      </c>
      <c r="J165" s="14">
        <f ca="1">IFERROR(__xludf.DUMMYFUNCTION("""COMPUTED_VALUE"""),0.00554901631074483)</f>
        <v>5.5490163107448304E-3</v>
      </c>
      <c r="K165" s="12" t="str">
        <f ca="1"/>
        <v>Retail</v>
      </c>
      <c r="L165" s="12" t="str">
        <f ca="1"/>
        <v>BOM:532156</v>
      </c>
      <c r="M165" s="12" t="str">
        <f ca="1"/>
        <v>No</v>
      </c>
      <c r="N165" s="12" t="str">
        <f ca="1"/>
        <v>No</v>
      </c>
      <c r="O165" s="12" t="str">
        <f ca="1"/>
        <v>Good Stock</v>
      </c>
      <c r="P165" s="12" t="str">
        <f ca="1"/>
        <v>Low Cap</v>
      </c>
    </row>
    <row r="166" spans="1:16" ht="13.2">
      <c r="A166" s="12" t="str">
        <f ca="1">IFERROR(__xludf.DUMMYFUNCTION("""COMPUTED_VALUE"""),"Polyplex Corporation")</f>
        <v>Polyplex Corporation</v>
      </c>
      <c r="B166" s="13">
        <f ca="1">IFERROR(__xludf.DUMMYFUNCTION("""COMPUTED_VALUE"""),4868.970546)</f>
        <v>4868.9705459999996</v>
      </c>
      <c r="C166" s="12">
        <f ca="1">IFERROR(__xludf.DUMMYFUNCTION("""COMPUTED_VALUE"""),1555)</f>
        <v>1555</v>
      </c>
      <c r="D166" s="12">
        <f ca="1">IFERROR(__xludf.DUMMYFUNCTION("""COMPUTED_VALUE"""),7.36)</f>
        <v>7.36</v>
      </c>
      <c r="E166" s="12">
        <f ca="1">IFERROR(__xludf.DUMMYFUNCTION("""COMPUTED_VALUE"""),2870)</f>
        <v>2870</v>
      </c>
      <c r="F166" s="14">
        <f ca="1">IFERROR(__xludf.DUMMYFUNCTION("""COMPUTED_VALUE"""),0.458188153310104)</f>
        <v>0.45818815331010398</v>
      </c>
      <c r="G166" s="12">
        <f ca="1">IFERROR(__xludf.DUMMYFUNCTION("""COMPUTED_VALUE"""),1463.3)</f>
        <v>1463.3</v>
      </c>
      <c r="H166" s="14">
        <f ca="1">IFERROR(__xludf.DUMMYFUNCTION("""COMPUTED_VALUE"""),0.062666575548418)</f>
        <v>6.2666575548417994E-2</v>
      </c>
      <c r="I166" s="12">
        <f ca="1">IFERROR(__xludf.DUMMYFUNCTION("""COMPUTED_VALUE"""),1559.1)</f>
        <v>1559.1</v>
      </c>
      <c r="J166" s="14">
        <f ca="1">IFERROR(__xludf.DUMMYFUNCTION("""COMPUTED_VALUE"""),-0.0026297222756718)</f>
        <v>-2.6297222756718002E-3</v>
      </c>
      <c r="K166" s="12" t="str">
        <f ca="1"/>
        <v>packaging</v>
      </c>
      <c r="L166" s="12" t="str">
        <f ca="1"/>
        <v>BOM:524051</v>
      </c>
      <c r="M166" s="12" t="str">
        <f ca="1"/>
        <v>No</v>
      </c>
      <c r="N166" s="12" t="str">
        <f ca="1"/>
        <v>No</v>
      </c>
      <c r="O166" s="12" t="str">
        <f ca="1"/>
        <v>Good Stock</v>
      </c>
      <c r="P166" s="12" t="str">
        <f ca="1"/>
        <v>Low Cap</v>
      </c>
    </row>
    <row r="167" spans="1:16" ht="13.2">
      <c r="A167" s="12" t="str">
        <f ca="1">IFERROR(__xludf.DUMMYFUNCTION("""COMPUTED_VALUE"""),"Zensar Tech")</f>
        <v>Zensar Tech</v>
      </c>
      <c r="B167" s="13">
        <f ca="1">IFERROR(__xludf.DUMMYFUNCTION("""COMPUTED_VALUE"""),4785.1628071)</f>
        <v>4785.1628070999996</v>
      </c>
      <c r="C167" s="12">
        <f ca="1">IFERROR(__xludf.DUMMYFUNCTION("""COMPUTED_VALUE"""),211.35)</f>
        <v>211.35</v>
      </c>
      <c r="D167" s="12">
        <f ca="1">IFERROR(__xludf.DUMMYFUNCTION("""COMPUTED_VALUE"""),13.73)</f>
        <v>13.73</v>
      </c>
      <c r="E167" s="12">
        <f ca="1">IFERROR(__xludf.DUMMYFUNCTION("""COMPUTED_VALUE"""),496.1)</f>
        <v>496.1</v>
      </c>
      <c r="F167" s="14">
        <f ca="1">IFERROR(__xludf.DUMMYFUNCTION("""COMPUTED_VALUE"""),0.573977020761943)</f>
        <v>0.57397702076194301</v>
      </c>
      <c r="G167" s="12">
        <f ca="1">IFERROR(__xludf.DUMMYFUNCTION("""COMPUTED_VALUE"""),202)</f>
        <v>202</v>
      </c>
      <c r="H167" s="14">
        <f ca="1">IFERROR(__xludf.DUMMYFUNCTION("""COMPUTED_VALUE"""),0.0462871287128712)</f>
        <v>4.6287128712871203E-2</v>
      </c>
      <c r="I167" s="12">
        <f ca="1">IFERROR(__xludf.DUMMYFUNCTION("""COMPUTED_VALUE"""),212.4)</f>
        <v>212.4</v>
      </c>
      <c r="J167" s="14">
        <f ca="1">IFERROR(__xludf.DUMMYFUNCTION("""COMPUTED_VALUE"""),-0.00494350282485881)</f>
        <v>-4.9435028248588104E-3</v>
      </c>
      <c r="K167" s="12" t="str">
        <f ca="1"/>
        <v>IT</v>
      </c>
      <c r="L167" s="12" t="str">
        <f ca="1"/>
        <v>BOM:504067</v>
      </c>
      <c r="M167" s="12" t="str">
        <f ca="1"/>
        <v>No</v>
      </c>
      <c r="N167" s="12" t="str">
        <f ca="1"/>
        <v>No</v>
      </c>
      <c r="O167" s="12" t="str">
        <f ca="1"/>
        <v>Good Stock</v>
      </c>
      <c r="P167" s="12" t="str">
        <f ca="1"/>
        <v>Low Cap</v>
      </c>
    </row>
    <row r="168" spans="1:16" ht="13.2">
      <c r="A168" s="12" t="str">
        <f ca="1">IFERROR(__xludf.DUMMYFUNCTION("""COMPUTED_VALUE"""),"Lux Industries")</f>
        <v>Lux Industries</v>
      </c>
      <c r="B168" s="13">
        <f ca="1">IFERROR(__xludf.DUMMYFUNCTION("""COMPUTED_VALUE"""),4564.43)</f>
        <v>4564.43</v>
      </c>
      <c r="C168" s="12">
        <f ca="1">IFERROR(__xludf.DUMMYFUNCTION("""COMPUTED_VALUE"""),1524.7)</f>
        <v>1524.7</v>
      </c>
      <c r="D168" s="12">
        <f ca="1">IFERROR(__xludf.DUMMYFUNCTION("""COMPUTED_VALUE"""),17.12)</f>
        <v>17.12</v>
      </c>
      <c r="E168" s="12">
        <f ca="1">IFERROR(__xludf.DUMMYFUNCTION("""COMPUTED_VALUE"""),3925)</f>
        <v>3925</v>
      </c>
      <c r="F168" s="14">
        <f ca="1">IFERROR(__xludf.DUMMYFUNCTION("""COMPUTED_VALUE"""),0.611541401273885)</f>
        <v>0.61154140127388501</v>
      </c>
      <c r="G168" s="12">
        <f ca="1">IFERROR(__xludf.DUMMYFUNCTION("""COMPUTED_VALUE"""),1515.1)</f>
        <v>1515.1</v>
      </c>
      <c r="H168" s="14">
        <f ca="1">IFERROR(__xludf.DUMMYFUNCTION("""COMPUTED_VALUE"""),0.00633621543132475)</f>
        <v>6.3362154313247503E-3</v>
      </c>
      <c r="I168" s="12">
        <f ca="1">IFERROR(__xludf.DUMMYFUNCTION("""COMPUTED_VALUE"""),1526.65)</f>
        <v>1526.65</v>
      </c>
      <c r="J168" s="14">
        <f ca="1">IFERROR(__xludf.DUMMYFUNCTION("""COMPUTED_VALUE"""),-0.00127730652081357)</f>
        <v>-1.27730652081357E-3</v>
      </c>
      <c r="K168" s="12" t="str">
        <f ca="1"/>
        <v>Textile</v>
      </c>
      <c r="L168" s="12" t="str">
        <f ca="1"/>
        <v>BOM:539542</v>
      </c>
      <c r="M168" s="12" t="str">
        <f ca="1"/>
        <v>No</v>
      </c>
      <c r="N168" s="12" t="str">
        <f ca="1"/>
        <v>No</v>
      </c>
      <c r="O168" s="12" t="str">
        <f ca="1"/>
        <v>Good Stock</v>
      </c>
      <c r="P168" s="12" t="str">
        <f ca="1"/>
        <v>Low Cap</v>
      </c>
    </row>
    <row r="169" spans="1:16" ht="13.2">
      <c r="A169" s="12" t="str">
        <f ca="1">IFERROR(__xludf.DUMMYFUNCTION("""COMPUTED_VALUE"""),"Heidelberg Cement")</f>
        <v>Heidelberg Cement</v>
      </c>
      <c r="B169" s="13">
        <f ca="1">IFERROR(__xludf.DUMMYFUNCTION("""COMPUTED_VALUE"""),4230.867)</f>
        <v>4230.8670000000002</v>
      </c>
      <c r="C169" s="12">
        <f ca="1">IFERROR(__xludf.DUMMYFUNCTION("""COMPUTED_VALUE"""),186.9)</f>
        <v>186.9</v>
      </c>
      <c r="D169" s="12">
        <f ca="1">IFERROR(__xludf.DUMMYFUNCTION("""COMPUTED_VALUE"""),23.18)</f>
        <v>23.18</v>
      </c>
      <c r="E169" s="12">
        <f ca="1">IFERROR(__xludf.DUMMYFUNCTION("""COMPUTED_VALUE"""),242)</f>
        <v>242</v>
      </c>
      <c r="F169" s="14">
        <f ca="1">IFERROR(__xludf.DUMMYFUNCTION("""COMPUTED_VALUE"""),0.227685950413223)</f>
        <v>0.22768595041322301</v>
      </c>
      <c r="G169" s="12">
        <f ca="1">IFERROR(__xludf.DUMMYFUNCTION("""COMPUTED_VALUE"""),164)</f>
        <v>164</v>
      </c>
      <c r="H169" s="14">
        <f ca="1">IFERROR(__xludf.DUMMYFUNCTION("""COMPUTED_VALUE"""),0.139634146341463)</f>
        <v>0.13963414634146301</v>
      </c>
      <c r="I169" s="12">
        <f ca="1">IFERROR(__xludf.DUMMYFUNCTION("""COMPUTED_VALUE"""),186.85)</f>
        <v>186.85</v>
      </c>
      <c r="J169" s="14">
        <f ca="1">IFERROR(__xludf.DUMMYFUNCTION("""COMPUTED_VALUE"""),0.000267594327000328)</f>
        <v>2.6759432700032798E-4</v>
      </c>
      <c r="K169" s="12" t="str">
        <f ca="1"/>
        <v>Cement</v>
      </c>
      <c r="L169" s="12" t="str">
        <f ca="1"/>
        <v>BOM:500292</v>
      </c>
      <c r="M169" s="12" t="str">
        <f ca="1"/>
        <v>No</v>
      </c>
      <c r="N169" s="12" t="str">
        <f ca="1"/>
        <v>No</v>
      </c>
      <c r="O169" s="12" t="str">
        <f ca="1"/>
        <v>Good Stock</v>
      </c>
      <c r="P169" s="12" t="str">
        <f ca="1"/>
        <v>Low Cap</v>
      </c>
    </row>
    <row r="170" spans="1:16" ht="13.2">
      <c r="A170" s="12" t="str">
        <f ca="1">IFERROR(__xludf.DUMMYFUNCTION("""COMPUTED_VALUE"""),"Aarti Drugs")</f>
        <v>Aarti Drugs</v>
      </c>
      <c r="B170" s="13">
        <f ca="1">IFERROR(__xludf.DUMMYFUNCTION("""COMPUTED_VALUE"""),4148.48)</f>
        <v>4148.4799999999996</v>
      </c>
      <c r="C170" s="12">
        <f ca="1">IFERROR(__xludf.DUMMYFUNCTION("""COMPUTED_VALUE"""),448)</f>
        <v>448</v>
      </c>
      <c r="D170" s="12">
        <f ca="1">IFERROR(__xludf.DUMMYFUNCTION("""COMPUTED_VALUE"""),22.17)</f>
        <v>22.17</v>
      </c>
      <c r="E170" s="12">
        <f ca="1">IFERROR(__xludf.DUMMYFUNCTION("""COMPUTED_VALUE"""),537.4)</f>
        <v>537.4</v>
      </c>
      <c r="F170" s="14">
        <f ca="1">IFERROR(__xludf.DUMMYFUNCTION("""COMPUTED_VALUE"""),0.166356531447711)</f>
        <v>0.16635653144771101</v>
      </c>
      <c r="G170" s="12">
        <f ca="1">IFERROR(__xludf.DUMMYFUNCTION("""COMPUTED_VALUE"""),378.4)</f>
        <v>378.4</v>
      </c>
      <c r="H170" s="14">
        <f ca="1">IFERROR(__xludf.DUMMYFUNCTION("""COMPUTED_VALUE"""),0.183932346723044)</f>
        <v>0.18393234672304401</v>
      </c>
      <c r="I170" s="12">
        <f ca="1">IFERROR(__xludf.DUMMYFUNCTION("""COMPUTED_VALUE"""),445.5)</f>
        <v>445.5</v>
      </c>
      <c r="J170" s="14">
        <f ca="1">IFERROR(__xludf.DUMMYFUNCTION("""COMPUTED_VALUE"""),0.00561167227833894)</f>
        <v>5.6116722783389403E-3</v>
      </c>
      <c r="K170" s="12" t="str">
        <f ca="1"/>
        <v>Pharma</v>
      </c>
      <c r="L170" s="12" t="str">
        <f ca="1"/>
        <v>BOM:524348</v>
      </c>
      <c r="M170" s="12" t="str">
        <f ca="1"/>
        <v>No</v>
      </c>
      <c r="N170" s="12" t="str">
        <f ca="1"/>
        <v>No</v>
      </c>
      <c r="O170" s="12" t="str">
        <f ca="1"/>
        <v>Good Stock</v>
      </c>
      <c r="P170" s="12" t="str">
        <f ca="1"/>
        <v>Low Cap</v>
      </c>
    </row>
    <row r="171" spans="1:16" ht="13.2">
      <c r="A171" s="12" t="str">
        <f ca="1">IFERROR(__xludf.DUMMYFUNCTION("""COMPUTED_VALUE"""),"Rossari Biotech")</f>
        <v>Rossari Biotech</v>
      </c>
      <c r="B171" s="13">
        <f ca="1">IFERROR(__xludf.DUMMYFUNCTION("""COMPUTED_VALUE"""),3951.357)</f>
        <v>3951.357</v>
      </c>
      <c r="C171" s="12">
        <f ca="1">IFERROR(__xludf.DUMMYFUNCTION("""COMPUTED_VALUE"""),717)</f>
        <v>717</v>
      </c>
      <c r="D171" s="12">
        <f ca="1">IFERROR(__xludf.DUMMYFUNCTION("""COMPUTED_VALUE"""),39.87)</f>
        <v>39.869999999999997</v>
      </c>
      <c r="E171" s="12">
        <f ca="1">IFERROR(__xludf.DUMMYFUNCTION("""COMPUTED_VALUE"""),1375)</f>
        <v>1375</v>
      </c>
      <c r="F171" s="14">
        <f ca="1">IFERROR(__xludf.DUMMYFUNCTION("""COMPUTED_VALUE"""),0.478545454545454)</f>
        <v>0.478545454545454</v>
      </c>
      <c r="G171" s="12">
        <f ca="1">IFERROR(__xludf.DUMMYFUNCTION("""COMPUTED_VALUE"""),675)</f>
        <v>675</v>
      </c>
      <c r="H171" s="14">
        <f ca="1">IFERROR(__xludf.DUMMYFUNCTION("""COMPUTED_VALUE"""),0.0622222222222222)</f>
        <v>6.22222222222222E-2</v>
      </c>
      <c r="I171" s="12">
        <f ca="1">IFERROR(__xludf.DUMMYFUNCTION("""COMPUTED_VALUE"""),726.2)</f>
        <v>726.2</v>
      </c>
      <c r="J171" s="14">
        <f ca="1">IFERROR(__xludf.DUMMYFUNCTION("""COMPUTED_VALUE"""),-0.0126686863123107)</f>
        <v>-1.26686863123107E-2</v>
      </c>
      <c r="K171" s="12" t="str">
        <f ca="1"/>
        <v>Chemical</v>
      </c>
      <c r="L171" s="12" t="str">
        <f ca="1"/>
        <v>BOM:543213</v>
      </c>
      <c r="M171" s="12" t="str">
        <f ca="1"/>
        <v>No</v>
      </c>
      <c r="N171" s="12" t="str">
        <f ca="1"/>
        <v>No</v>
      </c>
      <c r="O171" s="12" t="str">
        <f ca="1"/>
        <v>Good Stock</v>
      </c>
      <c r="P171" s="12" t="str">
        <f ca="1"/>
        <v>Low Cap</v>
      </c>
    </row>
    <row r="172" spans="1:16" ht="13.2">
      <c r="A172" s="12" t="str">
        <f ca="1">IFERROR(__xludf.DUMMYFUNCTION("""COMPUTED_VALUE"""),"Bharat Rasayan")</f>
        <v>Bharat Rasayan</v>
      </c>
      <c r="B172" s="13">
        <f ca="1">IFERROR(__xludf.DUMMYFUNCTION("""COMPUTED_VALUE"""),3941.666)</f>
        <v>3941.6660000000002</v>
      </c>
      <c r="C172" s="12">
        <f ca="1">IFERROR(__xludf.DUMMYFUNCTION("""COMPUTED_VALUE"""),9517.9)</f>
        <v>9517.9</v>
      </c>
      <c r="D172" s="12">
        <f ca="1">IFERROR(__xludf.DUMMYFUNCTION("""COMPUTED_VALUE"""),23.12)</f>
        <v>23.12</v>
      </c>
      <c r="E172" s="12">
        <f ca="1">IFERROR(__xludf.DUMMYFUNCTION("""COMPUTED_VALUE"""),14362.9)</f>
        <v>14362.9</v>
      </c>
      <c r="F172" s="14">
        <f ca="1">IFERROR(__xludf.DUMMYFUNCTION("""COMPUTED_VALUE"""),0.33732741995001)</f>
        <v>0.33732741995000998</v>
      </c>
      <c r="G172" s="12">
        <f ca="1">IFERROR(__xludf.DUMMYFUNCTION("""COMPUTED_VALUE"""),9301)</f>
        <v>9301</v>
      </c>
      <c r="H172" s="14">
        <f ca="1">IFERROR(__xludf.DUMMYFUNCTION("""COMPUTED_VALUE"""),0.0233200731104181)</f>
        <v>2.3320073110418098E-2</v>
      </c>
      <c r="I172" s="12">
        <f ca="1">IFERROR(__xludf.DUMMYFUNCTION("""COMPUTED_VALUE"""),9497.7)</f>
        <v>9497.7000000000007</v>
      </c>
      <c r="J172" s="14">
        <f ca="1">IFERROR(__xludf.DUMMYFUNCTION("""COMPUTED_VALUE"""),0.00212683070638143)</f>
        <v>2.12683070638143E-3</v>
      </c>
      <c r="K172" s="12" t="str">
        <f ca="1"/>
        <v>Agrochemical</v>
      </c>
      <c r="L172" s="12" t="str">
        <f ca="1"/>
        <v>BOM:590021</v>
      </c>
      <c r="M172" s="12" t="str">
        <f ca="1"/>
        <v>No</v>
      </c>
      <c r="N172" s="12" t="str">
        <f ca="1"/>
        <v>No</v>
      </c>
      <c r="O172" s="12" t="str">
        <f ca="1"/>
        <v>Good Stock</v>
      </c>
      <c r="P172" s="12" t="str">
        <f ca="1"/>
        <v>Low Cap</v>
      </c>
    </row>
    <row r="173" spans="1:16" ht="13.2">
      <c r="A173" s="12" t="str">
        <f ca="1">IFERROR(__xludf.DUMMYFUNCTION("""COMPUTED_VALUE"""),"Dhanuka Agritech")</f>
        <v>Dhanuka Agritech</v>
      </c>
      <c r="B173" s="13">
        <f ca="1">IFERROR(__xludf.DUMMYFUNCTION("""COMPUTED_VALUE"""),3345.7206687)</f>
        <v>3345.7206686999998</v>
      </c>
      <c r="C173" s="12">
        <f ca="1">IFERROR(__xludf.DUMMYFUNCTION("""COMPUTED_VALUE"""),717.5)</f>
        <v>717.5</v>
      </c>
      <c r="D173" s="12">
        <f ca="1">IFERROR(__xludf.DUMMYFUNCTION("""COMPUTED_VALUE"""),15.26)</f>
        <v>15.26</v>
      </c>
      <c r="E173" s="12">
        <f ca="1">IFERROR(__xludf.DUMMYFUNCTION("""COMPUTED_VALUE"""),815)</f>
        <v>815</v>
      </c>
      <c r="F173" s="14">
        <f ca="1">IFERROR(__xludf.DUMMYFUNCTION("""COMPUTED_VALUE"""),0.11963190184049)</f>
        <v>0.11963190184049</v>
      </c>
      <c r="G173" s="12">
        <f ca="1">IFERROR(__xludf.DUMMYFUNCTION("""COMPUTED_VALUE"""),630.65)</f>
        <v>630.65</v>
      </c>
      <c r="H173" s="14">
        <f ca="1">IFERROR(__xludf.DUMMYFUNCTION("""COMPUTED_VALUE"""),0.137715055894711)</f>
        <v>0.137715055894711</v>
      </c>
      <c r="I173" s="12">
        <f ca="1">IFERROR(__xludf.DUMMYFUNCTION("""COMPUTED_VALUE"""),724.95)</f>
        <v>724.95</v>
      </c>
      <c r="J173" s="14">
        <f ca="1">IFERROR(__xludf.DUMMYFUNCTION("""COMPUTED_VALUE"""),-0.0102765707979861)</f>
        <v>-1.02765707979861E-2</v>
      </c>
      <c r="K173" s="12" t="str">
        <f ca="1"/>
        <v>Agrochemical</v>
      </c>
      <c r="L173" s="12" t="str">
        <f ca="1"/>
        <v>BOM:507717</v>
      </c>
      <c r="M173" s="12" t="str">
        <f ca="1"/>
        <v>No</v>
      </c>
      <c r="N173" s="12" t="str">
        <f ca="1"/>
        <v>No</v>
      </c>
      <c r="O173" s="12" t="str">
        <f ca="1"/>
        <v>Good Stock</v>
      </c>
      <c r="P173" s="12" t="str">
        <f ca="1"/>
        <v>Low Cap</v>
      </c>
    </row>
    <row r="174" spans="1:16" ht="13.2">
      <c r="A174" s="12" t="str">
        <f ca="1">IFERROR(__xludf.DUMMYFUNCTION("""COMPUTED_VALUE"""),"Somany home innovation ltd")</f>
        <v>Somany home innovation ltd</v>
      </c>
      <c r="B174" s="13">
        <f ca="1">IFERROR(__xludf.DUMMYFUNCTION("""COMPUTED_VALUE"""),3335.191069)</f>
        <v>3335.191069</v>
      </c>
      <c r="C174" s="12">
        <f ca="1">IFERROR(__xludf.DUMMYFUNCTION("""COMPUTED_VALUE"""),462.25)</f>
        <v>462.25</v>
      </c>
      <c r="D174" s="12">
        <f ca="1">IFERROR(__xludf.DUMMYFUNCTION("""COMPUTED_VALUE"""),33.36)</f>
        <v>33.36</v>
      </c>
      <c r="E174" s="12">
        <f ca="1">IFERROR(__xludf.DUMMYFUNCTION("""COMPUTED_VALUE"""),480.4)</f>
        <v>480.4</v>
      </c>
      <c r="F174" s="14">
        <f ca="1">IFERROR(__xludf.DUMMYFUNCTION("""COMPUTED_VALUE"""),0.0377810158201498)</f>
        <v>3.7781015820149803E-2</v>
      </c>
      <c r="G174" s="12">
        <f ca="1">IFERROR(__xludf.DUMMYFUNCTION("""COMPUTED_VALUE"""),258.95)</f>
        <v>258.95</v>
      </c>
      <c r="H174" s="14">
        <f ca="1">IFERROR(__xludf.DUMMYFUNCTION("""COMPUTED_VALUE"""),0.785093647422282)</f>
        <v>0.78509364742228205</v>
      </c>
      <c r="I174" s="12">
        <f ca="1">IFERROR(__xludf.DUMMYFUNCTION("""COMPUTED_VALUE"""),473.2)</f>
        <v>473.2</v>
      </c>
      <c r="J174" s="14">
        <f ca="1">IFERROR(__xludf.DUMMYFUNCTION("""COMPUTED_VALUE"""),-0.0231403212172442)</f>
        <v>-2.31403212172442E-2</v>
      </c>
      <c r="K174" s="12" t="str">
        <f ca="1"/>
        <v>Kitchen Appliances</v>
      </c>
      <c r="L174" s="12" t="str">
        <f ca="1"/>
        <v>BOM:542905</v>
      </c>
      <c r="M174" s="12" t="str">
        <f ca="1"/>
        <v>No</v>
      </c>
      <c r="N174" s="12" t="str">
        <f ca="1"/>
        <v>No</v>
      </c>
      <c r="O174" s="12" t="str">
        <f ca="1"/>
        <v>Good Stock</v>
      </c>
      <c r="P174" s="12" t="str">
        <f ca="1"/>
        <v>Low Cap</v>
      </c>
    </row>
    <row r="175" spans="1:16" ht="13.2">
      <c r="A175" s="12" t="str">
        <f ca="1">IFERROR(__xludf.DUMMYFUNCTION("""COMPUTED_VALUE"""),"Astec Lifesciences")</f>
        <v>Astec Lifesciences</v>
      </c>
      <c r="B175" s="13">
        <f ca="1">IFERROR(__xludf.DUMMYFUNCTION("""COMPUTED_VALUE"""),3279.733)</f>
        <v>3279.7330000000002</v>
      </c>
      <c r="C175" s="12">
        <f ca="1">IFERROR(__xludf.DUMMYFUNCTION("""COMPUTED_VALUE"""),1669.3)</f>
        <v>1669.3</v>
      </c>
      <c r="D175" s="12">
        <f ca="1">IFERROR(__xludf.DUMMYFUNCTION("""COMPUTED_VALUE"""),33.56)</f>
        <v>33.56</v>
      </c>
      <c r="E175" s="12">
        <f ca="1">IFERROR(__xludf.DUMMYFUNCTION("""COMPUTED_VALUE"""),2285.65)</f>
        <v>2285.65</v>
      </c>
      <c r="F175" s="14">
        <f ca="1">IFERROR(__xludf.DUMMYFUNCTION("""COMPUTED_VALUE"""),0.269660709207446)</f>
        <v>0.269660709207446</v>
      </c>
      <c r="G175" s="12">
        <f ca="1">IFERROR(__xludf.DUMMYFUNCTION("""COMPUTED_VALUE"""),1276.15)</f>
        <v>1276.1500000000001</v>
      </c>
      <c r="H175" s="14">
        <f ca="1">IFERROR(__xludf.DUMMYFUNCTION("""COMPUTED_VALUE"""),0.308075069545116)</f>
        <v>0.30807506954511599</v>
      </c>
      <c r="I175" s="12">
        <f ca="1">IFERROR(__xludf.DUMMYFUNCTION("""COMPUTED_VALUE"""),1635.25)</f>
        <v>1635.25</v>
      </c>
      <c r="J175" s="14">
        <f ca="1">IFERROR(__xludf.DUMMYFUNCTION("""COMPUTED_VALUE"""),0.02082250420425)</f>
        <v>2.0822504204250001E-2</v>
      </c>
      <c r="K175" s="12" t="str">
        <f ca="1"/>
        <v>Pharma</v>
      </c>
      <c r="L175" s="12" t="str">
        <f ca="1"/>
        <v>BOM:533138</v>
      </c>
      <c r="M175" s="12" t="str">
        <f ca="1"/>
        <v>No</v>
      </c>
      <c r="N175" s="12" t="str">
        <f ca="1"/>
        <v>No</v>
      </c>
      <c r="O175" s="12" t="str">
        <f ca="1"/>
        <v>Good Stock</v>
      </c>
      <c r="P175" s="12" t="str">
        <f ca="1"/>
        <v>Low Cap</v>
      </c>
    </row>
    <row r="176" spans="1:16" ht="13.2">
      <c r="A176" s="12" t="str">
        <f ca="1">IFERROR(__xludf.DUMMYFUNCTION("""COMPUTED_VALUE"""),"Mold tech")</f>
        <v>Mold tech</v>
      </c>
      <c r="B176" s="13">
        <f ca="1">IFERROR(__xludf.DUMMYFUNCTION("""COMPUTED_VALUE"""),3279.606)</f>
        <v>3279.6060000000002</v>
      </c>
      <c r="C176" s="12">
        <f ca="1">IFERROR(__xludf.DUMMYFUNCTION("""COMPUTED_VALUE"""),988.1)</f>
        <v>988.1</v>
      </c>
      <c r="D176" s="12">
        <f ca="1">IFERROR(__xludf.DUMMYFUNCTION("""COMPUTED_VALUE"""),41.73)</f>
        <v>41.73</v>
      </c>
      <c r="E176" s="12">
        <f ca="1">IFERROR(__xludf.DUMMYFUNCTION("""COMPUTED_VALUE"""),1057.85)</f>
        <v>1057.8499999999999</v>
      </c>
      <c r="F176" s="14">
        <f ca="1">IFERROR(__xludf.DUMMYFUNCTION("""COMPUTED_VALUE"""),0.0659356241433094)</f>
        <v>6.5935624143309404E-2</v>
      </c>
      <c r="G176" s="12">
        <f ca="1">IFERROR(__xludf.DUMMYFUNCTION("""COMPUTED_VALUE"""),648.05)</f>
        <v>648.04999999999995</v>
      </c>
      <c r="H176" s="14">
        <f ca="1">IFERROR(__xludf.DUMMYFUNCTION("""COMPUTED_VALUE"""),0.52472803024458)</f>
        <v>0.52472803024458003</v>
      </c>
      <c r="I176" s="12">
        <f ca="1">IFERROR(__xludf.DUMMYFUNCTION("""COMPUTED_VALUE"""),991.35)</f>
        <v>991.35</v>
      </c>
      <c r="J176" s="14">
        <f ca="1">IFERROR(__xludf.DUMMYFUNCTION("""COMPUTED_VALUE"""),-0.00327835779492611)</f>
        <v>-3.2783577949261102E-3</v>
      </c>
      <c r="K176" s="12">
        <f ca="1"/>
        <v>0</v>
      </c>
      <c r="L176" s="12" t="str">
        <f ca="1"/>
        <v>BOM:533080</v>
      </c>
      <c r="M176" s="12" t="str">
        <f ca="1"/>
        <v>No</v>
      </c>
      <c r="N176" s="12" t="str">
        <f ca="1"/>
        <v>No</v>
      </c>
      <c r="O176" s="12" t="str">
        <f ca="1"/>
        <v>Good Stock</v>
      </c>
      <c r="P176" s="12" t="str">
        <f ca="1"/>
        <v>Low Cap</v>
      </c>
    </row>
    <row r="177" spans="1:16" ht="13.2">
      <c r="A177" s="12" t="str">
        <f ca="1">IFERROR(__xludf.DUMMYFUNCTION("""COMPUTED_VALUE"""),"Hawkins Cooker")</f>
        <v>Hawkins Cooker</v>
      </c>
      <c r="B177" s="13">
        <f ca="1">IFERROR(__xludf.DUMMYFUNCTION("""COMPUTED_VALUE"""),3273.157)</f>
        <v>3273.1570000000002</v>
      </c>
      <c r="C177" s="12">
        <f ca="1">IFERROR(__xludf.DUMMYFUNCTION("""COMPUTED_VALUE"""),6195)</f>
        <v>6195</v>
      </c>
      <c r="D177" s="12">
        <f ca="1">IFERROR(__xludf.DUMMYFUNCTION("""COMPUTED_VALUE"""),34.69)</f>
        <v>34.69</v>
      </c>
      <c r="E177" s="12">
        <f ca="1">IFERROR(__xludf.DUMMYFUNCTION("""COMPUTED_VALUE"""),6572.75)</f>
        <v>6572.75</v>
      </c>
      <c r="F177" s="14">
        <f ca="1">IFERROR(__xludf.DUMMYFUNCTION("""COMPUTED_VALUE"""),0.0574721387547069)</f>
        <v>5.74721387547069E-2</v>
      </c>
      <c r="G177" s="12">
        <f ca="1">IFERROR(__xludf.DUMMYFUNCTION("""COMPUTED_VALUE"""),4932.05)</f>
        <v>4932.05</v>
      </c>
      <c r="H177" s="14">
        <f ca="1">IFERROR(__xludf.DUMMYFUNCTION("""COMPUTED_VALUE"""),0.256069991180138)</f>
        <v>0.25606999118013801</v>
      </c>
      <c r="I177" s="12">
        <f ca="1">IFERROR(__xludf.DUMMYFUNCTION("""COMPUTED_VALUE"""),6169.85)</f>
        <v>6169.85</v>
      </c>
      <c r="J177" s="14">
        <f ca="1">IFERROR(__xludf.DUMMYFUNCTION("""COMPUTED_VALUE"""),0.00407627413956573)</f>
        <v>4.07627413956573E-3</v>
      </c>
      <c r="K177" s="12" t="str">
        <f ca="1"/>
        <v>Consumer Electrical</v>
      </c>
      <c r="L177" s="12" t="str">
        <f ca="1"/>
        <v>BOM:508486</v>
      </c>
      <c r="M177" s="12" t="str">
        <f ca="1"/>
        <v>No</v>
      </c>
      <c r="N177" s="12" t="str">
        <f ca="1"/>
        <v>No</v>
      </c>
      <c r="O177" s="12" t="str">
        <f ca="1"/>
        <v>Good Stock</v>
      </c>
      <c r="P177" s="12" t="str">
        <f ca="1"/>
        <v>Low Cap</v>
      </c>
    </row>
    <row r="178" spans="1:16" ht="13.2">
      <c r="A178" s="12" t="str">
        <f ca="1">IFERROR(__xludf.DUMMYFUNCTION("""COMPUTED_VALUE"""),"Neogen Chemcial")</f>
        <v>Neogen Chemcial</v>
      </c>
      <c r="B178" s="13">
        <f ca="1">IFERROR(__xludf.DUMMYFUNCTION("""COMPUTED_VALUE"""),3099.3320457)</f>
        <v>3099.3320457</v>
      </c>
      <c r="C178" s="12">
        <f ca="1">IFERROR(__xludf.DUMMYFUNCTION("""COMPUTED_VALUE"""),1242.8)</f>
        <v>1242.8</v>
      </c>
      <c r="D178" s="12">
        <f ca="1">IFERROR(__xludf.DUMMYFUNCTION("""COMPUTED_VALUE"""),68.51)</f>
        <v>68.510000000000005</v>
      </c>
      <c r="E178" s="12">
        <f ca="1">IFERROR(__xludf.DUMMYFUNCTION("""COMPUTED_VALUE"""),1842.2)</f>
        <v>1842.2</v>
      </c>
      <c r="F178" s="14">
        <f ca="1">IFERROR(__xludf.DUMMYFUNCTION("""COMPUTED_VALUE"""),0.325371838019759)</f>
        <v>0.325371838019759</v>
      </c>
      <c r="G178" s="12">
        <f ca="1">IFERROR(__xludf.DUMMYFUNCTION("""COMPUTED_VALUE"""),1201.25)</f>
        <v>1201.25</v>
      </c>
      <c r="H178" s="14">
        <f ca="1">IFERROR(__xludf.DUMMYFUNCTION("""COMPUTED_VALUE"""),0.0345889698231009)</f>
        <v>3.4588969823100897E-2</v>
      </c>
      <c r="I178" s="12">
        <f ca="1">IFERROR(__xludf.DUMMYFUNCTION("""COMPUTED_VALUE"""),1229.5)</f>
        <v>1229.5</v>
      </c>
      <c r="J178" s="14">
        <f ca="1">IFERROR(__xludf.DUMMYFUNCTION("""COMPUTED_VALUE"""),0.0108174054493696)</f>
        <v>1.0817405449369599E-2</v>
      </c>
      <c r="K178" s="12" t="str">
        <f ca="1"/>
        <v>Chemical</v>
      </c>
      <c r="L178" s="12" t="str">
        <f ca="1"/>
        <v>BOM:542665</v>
      </c>
      <c r="M178" s="12" t="str">
        <f ca="1"/>
        <v>No</v>
      </c>
      <c r="N178" s="12" t="str">
        <f ca="1"/>
        <v>No</v>
      </c>
      <c r="O178" s="12" t="str">
        <f ca="1"/>
        <v/>
      </c>
      <c r="P178" s="12" t="str">
        <f ca="1"/>
        <v>Low Cap</v>
      </c>
    </row>
    <row r="179" spans="1:16" ht="13.2">
      <c r="A179" s="12" t="str">
        <f ca="1">IFERROR(__xludf.DUMMYFUNCTION("""COMPUTED_VALUE"""),"Advance Enzymes")</f>
        <v>Advance Enzymes</v>
      </c>
      <c r="B179" s="13">
        <f ca="1">IFERROR(__xludf.DUMMYFUNCTION("""COMPUTED_VALUE"""),3094.098595)</f>
        <v>3094.0985949999999</v>
      </c>
      <c r="C179" s="12">
        <f ca="1">IFERROR(__xludf.DUMMYFUNCTION("""COMPUTED_VALUE"""),276.7)</f>
        <v>276.7</v>
      </c>
      <c r="D179" s="12">
        <f ca="1">IFERROR(__xludf.DUMMYFUNCTION("""COMPUTED_VALUE"""),32.26)</f>
        <v>32.26</v>
      </c>
      <c r="E179" s="12">
        <f ca="1">IFERROR(__xludf.DUMMYFUNCTION("""COMPUTED_VALUE"""),354.9)</f>
        <v>354.9</v>
      </c>
      <c r="F179" s="14">
        <f ca="1">IFERROR(__xludf.DUMMYFUNCTION("""COMPUTED_VALUE"""),0.220343758805297)</f>
        <v>0.220343758805297</v>
      </c>
      <c r="G179" s="12">
        <f ca="1">IFERROR(__xludf.DUMMYFUNCTION("""COMPUTED_VALUE"""),258.4)</f>
        <v>258.39999999999998</v>
      </c>
      <c r="H179" s="14">
        <f ca="1">IFERROR(__xludf.DUMMYFUNCTION("""COMPUTED_VALUE"""),0.0708204334365325)</f>
        <v>7.0820433436532507E-2</v>
      </c>
      <c r="I179" s="12">
        <f ca="1">IFERROR(__xludf.DUMMYFUNCTION("""COMPUTED_VALUE"""),278.9)</f>
        <v>278.89999999999998</v>
      </c>
      <c r="J179" s="14">
        <f ca="1">IFERROR(__xludf.DUMMYFUNCTION("""COMPUTED_VALUE"""),-0.00788813194693434)</f>
        <v>-7.8881319469343396E-3</v>
      </c>
      <c r="K179" s="12" t="str">
        <f ca="1"/>
        <v>Chemical</v>
      </c>
      <c r="L179" s="12" t="str">
        <f ca="1"/>
        <v>ADVENZYMES</v>
      </c>
      <c r="M179" s="12" t="str">
        <f ca="1"/>
        <v>No</v>
      </c>
      <c r="N179" s="12" t="str">
        <f ca="1"/>
        <v>No</v>
      </c>
      <c r="O179" s="12" t="str">
        <f ca="1"/>
        <v>Good Stock</v>
      </c>
      <c r="P179" s="12" t="str">
        <f ca="1"/>
        <v>Low Cap</v>
      </c>
    </row>
    <row r="180" spans="1:16" ht="13.2">
      <c r="A180" s="12" t="str">
        <f ca="1">IFERROR(__xludf.DUMMYFUNCTION("""COMPUTED_VALUE"""),"Thyrocare")</f>
        <v>Thyrocare</v>
      </c>
      <c r="B180" s="13">
        <f ca="1">IFERROR(__xludf.DUMMYFUNCTION("""COMPUTED_VALUE"""),3024.4291291)</f>
        <v>3024.4291291</v>
      </c>
      <c r="C180" s="12">
        <f ca="1">IFERROR(__xludf.DUMMYFUNCTION("""COMPUTED_VALUE"""),571.8)</f>
        <v>571.79999999999995</v>
      </c>
      <c r="D180" s="12">
        <f ca="1">IFERROR(__xludf.DUMMYFUNCTION("""COMPUTED_VALUE"""),35.81)</f>
        <v>35.81</v>
      </c>
      <c r="E180" s="12">
        <f ca="1">IFERROR(__xludf.DUMMYFUNCTION("""COMPUTED_VALUE"""),1087)</f>
        <v>1087</v>
      </c>
      <c r="F180" s="14">
        <f ca="1">IFERROR(__xludf.DUMMYFUNCTION("""COMPUTED_VALUE"""),0.473965041398344)</f>
        <v>0.473965041398344</v>
      </c>
      <c r="G180" s="12">
        <f ca="1">IFERROR(__xludf.DUMMYFUNCTION("""COMPUTED_VALUE"""),562.1)</f>
        <v>562.1</v>
      </c>
      <c r="H180" s="14">
        <f ca="1">IFERROR(__xludf.DUMMYFUNCTION("""COMPUTED_VALUE"""),0.0172567158868527)</f>
        <v>1.7256715886852701E-2</v>
      </c>
      <c r="I180" s="12">
        <f ca="1">IFERROR(__xludf.DUMMYFUNCTION("""COMPUTED_VALUE"""),574.7)</f>
        <v>574.70000000000005</v>
      </c>
      <c r="J180" s="14">
        <f ca="1">IFERROR(__xludf.DUMMYFUNCTION("""COMPUTED_VALUE"""),-0.00504611101444247)</f>
        <v>-5.0461110144424696E-3</v>
      </c>
      <c r="K180" s="12" t="str">
        <f ca="1"/>
        <v>Healthcare</v>
      </c>
      <c r="L180" s="12" t="str">
        <f ca="1"/>
        <v>THYROCARE</v>
      </c>
      <c r="M180" s="12" t="str">
        <f ca="1"/>
        <v>No</v>
      </c>
      <c r="N180" s="12" t="str">
        <f ca="1"/>
        <v>No</v>
      </c>
      <c r="O180" s="12" t="str">
        <f ca="1"/>
        <v>Good Stock</v>
      </c>
      <c r="P180" s="12" t="str">
        <f ca="1"/>
        <v>Low Cap</v>
      </c>
    </row>
    <row r="181" spans="1:16" ht="13.2">
      <c r="A181" s="12" t="str">
        <f ca="1">IFERROR(__xludf.DUMMYFUNCTION("""COMPUTED_VALUE"""),"Newgen")</f>
        <v>Newgen</v>
      </c>
      <c r="B181" s="13">
        <f ca="1">IFERROR(__xludf.DUMMYFUNCTION("""COMPUTED_VALUE"""),2664.205)</f>
        <v>2664.2049999999999</v>
      </c>
      <c r="C181" s="12">
        <f ca="1">IFERROR(__xludf.DUMMYFUNCTION("""COMPUTED_VALUE"""),382.15)</f>
        <v>382.15</v>
      </c>
      <c r="D181" s="12">
        <f ca="1">IFERROR(__xludf.DUMMYFUNCTION("""COMPUTED_VALUE"""),17.49)</f>
        <v>17.489999999999998</v>
      </c>
      <c r="E181" s="12">
        <f ca="1">IFERROR(__xludf.DUMMYFUNCTION("""COMPUTED_VALUE"""),671)</f>
        <v>671</v>
      </c>
      <c r="F181" s="14">
        <f ca="1">IFERROR(__xludf.DUMMYFUNCTION("""COMPUTED_VALUE"""),0.430476900149031)</f>
        <v>0.43047690014903101</v>
      </c>
      <c r="G181" s="12">
        <f ca="1">IFERROR(__xludf.DUMMYFUNCTION("""COMPUTED_VALUE"""),320.85)</f>
        <v>320.85000000000002</v>
      </c>
      <c r="H181" s="14">
        <f ca="1">IFERROR(__xludf.DUMMYFUNCTION("""COMPUTED_VALUE"""),0.191055010129343)</f>
        <v>0.19105501012934301</v>
      </c>
      <c r="I181" s="12">
        <f ca="1">IFERROR(__xludf.DUMMYFUNCTION("""COMPUTED_VALUE"""),362.3)</f>
        <v>362.3</v>
      </c>
      <c r="J181" s="14">
        <f ca="1">IFERROR(__xludf.DUMMYFUNCTION("""COMPUTED_VALUE"""),0.0547888490201489)</f>
        <v>5.4788849020148897E-2</v>
      </c>
      <c r="K181" s="12" t="str">
        <f ca="1"/>
        <v>IT</v>
      </c>
      <c r="L181" s="12" t="str">
        <f ca="1"/>
        <v>BOM:540900</v>
      </c>
      <c r="M181" s="12" t="str">
        <f ca="1"/>
        <v>No</v>
      </c>
      <c r="N181" s="12" t="str">
        <f ca="1"/>
        <v>No</v>
      </c>
      <c r="O181" s="12" t="str">
        <f ca="1"/>
        <v>Good Stock</v>
      </c>
      <c r="P181" s="12" t="str">
        <f ca="1"/>
        <v>Low Cap</v>
      </c>
    </row>
    <row r="182" spans="1:16" ht="13.2">
      <c r="A182" s="12" t="str">
        <f ca="1">IFERROR(__xludf.DUMMYFUNCTION("""COMPUTED_VALUE"""),"Wipro")</f>
        <v>Wipro</v>
      </c>
      <c r="B182" s="13">
        <f ca="1">IFERROR(__xludf.DUMMYFUNCTION("""COMPUTED_VALUE"""),2618.5195811)</f>
        <v>2618.5195810999999</v>
      </c>
      <c r="C182" s="12">
        <f ca="1">IFERROR(__xludf.DUMMYFUNCTION("""COMPUTED_VALUE"""),393.65)</f>
        <v>393.65</v>
      </c>
      <c r="D182" s="12">
        <f ca="1">IFERROR(__xludf.DUMMYFUNCTION("""COMPUTED_VALUE"""),19.15)</f>
        <v>19.149999999999999</v>
      </c>
      <c r="E182" s="12">
        <f ca="1">IFERROR(__xludf.DUMMYFUNCTION("""COMPUTED_VALUE"""),666)</f>
        <v>666</v>
      </c>
      <c r="F182" s="14">
        <f ca="1">IFERROR(__xludf.DUMMYFUNCTION("""COMPUTED_VALUE"""),0.408933933933933)</f>
        <v>0.40893393393393301</v>
      </c>
      <c r="G182" s="12">
        <f ca="1">IFERROR(__xludf.DUMMYFUNCTION("""COMPUTED_VALUE"""),372.4)</f>
        <v>372.4</v>
      </c>
      <c r="H182" s="14">
        <f ca="1">IFERROR(__xludf.DUMMYFUNCTION("""COMPUTED_VALUE"""),0.0570622986036519)</f>
        <v>5.7062298603651897E-2</v>
      </c>
      <c r="I182" s="12">
        <f ca="1">IFERROR(__xludf.DUMMYFUNCTION("""COMPUTED_VALUE"""),394.45)</f>
        <v>394.45</v>
      </c>
      <c r="J182" s="14">
        <f ca="1">IFERROR(__xludf.DUMMYFUNCTION("""COMPUTED_VALUE"""),-0.0020281404487261)</f>
        <v>-2.0281404487261E-3</v>
      </c>
      <c r="K182" s="12" t="str">
        <f ca="1"/>
        <v>IT</v>
      </c>
      <c r="L182" s="12" t="str">
        <f ca="1"/>
        <v>BOM:507685</v>
      </c>
      <c r="M182" s="12" t="str">
        <f ca="1"/>
        <v>No</v>
      </c>
      <c r="N182" s="12" t="str">
        <f ca="1"/>
        <v>No</v>
      </c>
      <c r="O182" s="12" t="str">
        <f ca="1"/>
        <v>Good Stock</v>
      </c>
      <c r="P182" s="12" t="str">
        <f ca="1"/>
        <v>Low Cap</v>
      </c>
    </row>
    <row r="183" spans="1:16" ht="13.2">
      <c r="A183" s="12" t="str">
        <f ca="1">IFERROR(__xludf.DUMMYFUNCTION("""COMPUTED_VALUE"""),"Gokaldas Export")</f>
        <v>Gokaldas Export</v>
      </c>
      <c r="B183" s="13">
        <f ca="1">IFERROR(__xludf.DUMMYFUNCTION("""COMPUTED_VALUE"""),2340.128)</f>
        <v>2340.1280000000002</v>
      </c>
      <c r="C183" s="12">
        <f ca="1">IFERROR(__xludf.DUMMYFUNCTION("""COMPUTED_VALUE"""),386)</f>
        <v>386</v>
      </c>
      <c r="D183" s="12">
        <f ca="1">IFERROR(__xludf.DUMMYFUNCTION("""COMPUTED_VALUE"""),13.46)</f>
        <v>13.46</v>
      </c>
      <c r="E183" s="12">
        <f ca="1">IFERROR(__xludf.DUMMYFUNCTION("""COMPUTED_VALUE"""),519.55)</f>
        <v>519.54999999999995</v>
      </c>
      <c r="F183" s="14">
        <f ca="1">IFERROR(__xludf.DUMMYFUNCTION("""COMPUTED_VALUE"""),0.257049369646809)</f>
        <v>0.25704936964680902</v>
      </c>
      <c r="G183" s="12">
        <f ca="1">IFERROR(__xludf.DUMMYFUNCTION("""COMPUTED_VALUE"""),301.1)</f>
        <v>301.10000000000002</v>
      </c>
      <c r="H183" s="14">
        <f ca="1">IFERROR(__xludf.DUMMYFUNCTION("""COMPUTED_VALUE"""),0.281966124211225)</f>
        <v>0.28196612421122502</v>
      </c>
      <c r="I183" s="12">
        <f ca="1">IFERROR(__xludf.DUMMYFUNCTION("""COMPUTED_VALUE"""),381.5)</f>
        <v>381.5</v>
      </c>
      <c r="J183" s="14">
        <f ca="1">IFERROR(__xludf.DUMMYFUNCTION("""COMPUTED_VALUE"""),0.0117955439056356)</f>
        <v>1.17955439056356E-2</v>
      </c>
      <c r="K183" s="12">
        <f ca="1"/>
        <v>0</v>
      </c>
      <c r="L183" s="12" t="str">
        <f ca="1"/>
        <v>BOM:532630</v>
      </c>
      <c r="M183" s="12" t="str">
        <f ca="1"/>
        <v>No</v>
      </c>
      <c r="N183" s="12" t="str">
        <f ca="1"/>
        <v>No</v>
      </c>
      <c r="O183" s="12" t="str">
        <f ca="1"/>
        <v>Good Stock</v>
      </c>
      <c r="P183" s="12" t="str">
        <f ca="1"/>
        <v>Low Cap</v>
      </c>
    </row>
    <row r="184" spans="1:16" ht="13.2">
      <c r="A184" s="12" t="str">
        <f ca="1">IFERROR(__xludf.DUMMYFUNCTION("""COMPUTED_VALUE"""),"Paras Defense")</f>
        <v>Paras Defense</v>
      </c>
      <c r="B184" s="13">
        <f ca="1">IFERROR(__xludf.DUMMYFUNCTION("""COMPUTED_VALUE"""),2250.9146116)</f>
        <v>2250.9146116000002</v>
      </c>
      <c r="C184" s="12">
        <f ca="1">IFERROR(__xludf.DUMMYFUNCTION("""COMPUTED_VALUE"""),577.8)</f>
        <v>577.79999999999995</v>
      </c>
      <c r="D184" s="12">
        <f ca="1">IFERROR(__xludf.DUMMYFUNCTION("""COMPUTED_VALUE"""),67.14)</f>
        <v>67.14</v>
      </c>
      <c r="E184" s="12">
        <f ca="1">IFERROR(__xludf.DUMMYFUNCTION("""COMPUTED_VALUE"""),811.35)</f>
        <v>811.35</v>
      </c>
      <c r="F184" s="14">
        <f ca="1">IFERROR(__xludf.DUMMYFUNCTION("""COMPUTED_VALUE"""),0.287853577371048)</f>
        <v>0.287853577371048</v>
      </c>
      <c r="G184" s="12">
        <f ca="1">IFERROR(__xludf.DUMMYFUNCTION("""COMPUTED_VALUE"""),524.3)</f>
        <v>524.29999999999995</v>
      </c>
      <c r="H184" s="14">
        <f ca="1">IFERROR(__xludf.DUMMYFUNCTION("""COMPUTED_VALUE"""),0.10204081632653)</f>
        <v>0.10204081632653</v>
      </c>
      <c r="I184" s="12">
        <f ca="1">IFERROR(__xludf.DUMMYFUNCTION("""COMPUTED_VALUE"""),583.75)</f>
        <v>583.75</v>
      </c>
      <c r="J184" s="14">
        <f ca="1">IFERROR(__xludf.DUMMYFUNCTION("""COMPUTED_VALUE"""),-0.0101927194860814)</f>
        <v>-1.01927194860814E-2</v>
      </c>
      <c r="K184" s="12" t="str">
        <f ca="1"/>
        <v>Defence</v>
      </c>
      <c r="L184" s="12" t="str">
        <f ca="1"/>
        <v>BOM:543367</v>
      </c>
      <c r="M184" s="12" t="str">
        <f ca="1"/>
        <v>No</v>
      </c>
      <c r="N184" s="12" t="str">
        <f ca="1"/>
        <v>No</v>
      </c>
      <c r="O184" s="12" t="str">
        <f ca="1"/>
        <v/>
      </c>
      <c r="P184" s="12" t="str">
        <f ca="1"/>
        <v>Low Cap</v>
      </c>
    </row>
    <row r="185" spans="1:16" ht="13.2">
      <c r="A185" s="12" t="str">
        <f ca="1">IFERROR(__xludf.DUMMYFUNCTION("""COMPUTED_VALUE"""),"Apollo pipes")</f>
        <v>Apollo pipes</v>
      </c>
      <c r="B185" s="13">
        <f ca="1">IFERROR(__xludf.DUMMYFUNCTION("""COMPUTED_VALUE"""),1991.1000155)</f>
        <v>1991.1000154999999</v>
      </c>
      <c r="C185" s="12">
        <f ca="1">IFERROR(__xludf.DUMMYFUNCTION("""COMPUTED_VALUE"""),510)</f>
        <v>510</v>
      </c>
      <c r="D185" s="12">
        <f ca="1">IFERROR(__xludf.DUMMYFUNCTION("""COMPUTED_VALUE"""),64.75)</f>
        <v>64.75</v>
      </c>
      <c r="E185" s="12">
        <f ca="1">IFERROR(__xludf.DUMMYFUNCTION("""COMPUTED_VALUE"""),635.7)</f>
        <v>635.70000000000005</v>
      </c>
      <c r="F185" s="14">
        <f ca="1">IFERROR(__xludf.DUMMYFUNCTION("""COMPUTED_VALUE"""),0.197734780556866)</f>
        <v>0.197734780556866</v>
      </c>
      <c r="G185" s="12">
        <f ca="1">IFERROR(__xludf.DUMMYFUNCTION("""COMPUTED_VALUE"""),395)</f>
        <v>395</v>
      </c>
      <c r="H185" s="14">
        <f ca="1">IFERROR(__xludf.DUMMYFUNCTION("""COMPUTED_VALUE"""),0.291139240506329)</f>
        <v>0.291139240506329</v>
      </c>
      <c r="I185" s="12">
        <f ca="1">IFERROR(__xludf.DUMMYFUNCTION("""COMPUTED_VALUE"""),514.85)</f>
        <v>514.85</v>
      </c>
      <c r="J185" s="14">
        <f ca="1">IFERROR(__xludf.DUMMYFUNCTION("""COMPUTED_VALUE"""),-0.00942021948140239)</f>
        <v>-9.4202194814023907E-3</v>
      </c>
      <c r="K185" s="12" t="str">
        <f ca="1"/>
        <v>Piping</v>
      </c>
      <c r="L185" s="12" t="str">
        <f ca="1"/>
        <v>BOM:531761</v>
      </c>
      <c r="M185" s="12" t="str">
        <f ca="1"/>
        <v>No</v>
      </c>
      <c r="N185" s="12" t="str">
        <f ca="1"/>
        <v>No</v>
      </c>
      <c r="O185" s="12" t="str">
        <f ca="1"/>
        <v>Good Stock</v>
      </c>
      <c r="P185" s="12" t="str">
        <f ca="1"/>
        <v>Low Cap</v>
      </c>
    </row>
    <row r="186" spans="1:16" ht="13.2">
      <c r="A186" s="12" t="str">
        <f ca="1">IFERROR(__xludf.DUMMYFUNCTION("""COMPUTED_VALUE"""),"Bhansali Engineering")</f>
        <v>Bhansali Engineering</v>
      </c>
      <c r="B186" s="13">
        <f ca="1">IFERROR(__xludf.DUMMYFUNCTION("""COMPUTED_VALUE"""),1954.368)</f>
        <v>1954.3679999999999</v>
      </c>
      <c r="C186" s="12">
        <f ca="1">IFERROR(__xludf.DUMMYFUNCTION("""COMPUTED_VALUE"""),118.6)</f>
        <v>118.6</v>
      </c>
      <c r="D186" s="12">
        <f ca="1">IFERROR(__xludf.DUMMYFUNCTION("""COMPUTED_VALUE"""),8.27)</f>
        <v>8.27</v>
      </c>
      <c r="E186" s="12">
        <f ca="1">IFERROR(__xludf.DUMMYFUNCTION("""COMPUTED_VALUE"""),182.4)</f>
        <v>182.4</v>
      </c>
      <c r="F186" s="14">
        <f ca="1">IFERROR(__xludf.DUMMYFUNCTION("""COMPUTED_VALUE"""),0.349780701754386)</f>
        <v>0.34978070175438603</v>
      </c>
      <c r="G186" s="12">
        <f ca="1">IFERROR(__xludf.DUMMYFUNCTION("""COMPUTED_VALUE"""),98)</f>
        <v>98</v>
      </c>
      <c r="H186" s="14">
        <f ca="1">IFERROR(__xludf.DUMMYFUNCTION("""COMPUTED_VALUE"""),0.210204081632653)</f>
        <v>0.210204081632653</v>
      </c>
      <c r="I186" s="12">
        <f ca="1">IFERROR(__xludf.DUMMYFUNCTION("""COMPUTED_VALUE"""),120.25)</f>
        <v>120.25</v>
      </c>
      <c r="J186" s="14">
        <f ca="1">IFERROR(__xludf.DUMMYFUNCTION("""COMPUTED_VALUE"""),-0.0137214137214137)</f>
        <v>-1.37214137214137E-2</v>
      </c>
      <c r="K186" s="12">
        <f ca="1"/>
        <v>0</v>
      </c>
      <c r="L186" s="12" t="str">
        <f ca="1"/>
        <v>BOM:500052</v>
      </c>
      <c r="M186" s="12" t="str">
        <f ca="1"/>
        <v>No</v>
      </c>
      <c r="N186" s="12" t="str">
        <f ca="1"/>
        <v>No</v>
      </c>
      <c r="O186" s="12" t="str">
        <f ca="1"/>
        <v>Good Stock</v>
      </c>
      <c r="P186" s="12" t="str">
        <f ca="1"/>
        <v>Low Cap</v>
      </c>
    </row>
    <row r="187" spans="1:16" ht="13.2">
      <c r="A187" s="12" t="str">
        <f ca="1">IFERROR(__xludf.DUMMYFUNCTION("""COMPUTED_VALUE"""),"Heranba")</f>
        <v>Heranba</v>
      </c>
      <c r="B187" s="13">
        <f ca="1">IFERROR(__xludf.DUMMYFUNCTION("""COMPUTED_VALUE"""),1923.4465903)</f>
        <v>1923.4465903</v>
      </c>
      <c r="C187" s="12">
        <f ca="1">IFERROR(__xludf.DUMMYFUNCTION("""COMPUTED_VALUE"""),481.35)</f>
        <v>481.35</v>
      </c>
      <c r="D187" s="12">
        <f ca="1">IFERROR(__xludf.DUMMYFUNCTION("""COMPUTED_VALUE"""),10.9)</f>
        <v>10.9</v>
      </c>
      <c r="E187" s="12">
        <f ca="1">IFERROR(__xludf.DUMMYFUNCTION("""COMPUTED_VALUE"""),744.15)</f>
        <v>744.15</v>
      </c>
      <c r="F187" s="14">
        <f ca="1">IFERROR(__xludf.DUMMYFUNCTION("""COMPUTED_VALUE"""),0.353154605926224)</f>
        <v>0.353154605926224</v>
      </c>
      <c r="G187" s="12">
        <f ca="1">IFERROR(__xludf.DUMMYFUNCTION("""COMPUTED_VALUE"""),477.8)</f>
        <v>477.8</v>
      </c>
      <c r="H187" s="14">
        <f ca="1">IFERROR(__xludf.DUMMYFUNCTION("""COMPUTED_VALUE"""),0.00742988698200086)</f>
        <v>7.4298869820008601E-3</v>
      </c>
      <c r="I187" s="12">
        <f ca="1">IFERROR(__xludf.DUMMYFUNCTION("""COMPUTED_VALUE"""),481.85)</f>
        <v>481.85</v>
      </c>
      <c r="J187" s="14">
        <f ca="1">IFERROR(__xludf.DUMMYFUNCTION("""COMPUTED_VALUE"""),-0.00103766732385597)</f>
        <v>-1.03766732385597E-3</v>
      </c>
      <c r="K187" s="12" t="str">
        <f ca="1"/>
        <v>Agrochemical</v>
      </c>
      <c r="L187" s="12" t="str">
        <f ca="1"/>
        <v>BOM:543266</v>
      </c>
      <c r="M187" s="12" t="str">
        <f ca="1"/>
        <v>No</v>
      </c>
      <c r="N187" s="12" t="str">
        <f ca="1"/>
        <v>No</v>
      </c>
      <c r="O187" s="12" t="str">
        <f ca="1"/>
        <v>Good Stock</v>
      </c>
      <c r="P187" s="12" t="str">
        <f ca="1"/>
        <v>Low Cap</v>
      </c>
    </row>
    <row r="188" spans="1:16" ht="13.2">
      <c r="A188" s="12" t="str">
        <f ca="1">IFERROR(__xludf.DUMMYFUNCTION("""COMPUTED_VALUE"""),"Goldiam International")</f>
        <v>Goldiam International</v>
      </c>
      <c r="B188" s="13">
        <f ca="1">IFERROR(__xludf.DUMMYFUNCTION("""COMPUTED_VALUE"""),1794.8020805)</f>
        <v>1794.8020805000001</v>
      </c>
      <c r="C188" s="12">
        <f ca="1">IFERROR(__xludf.DUMMYFUNCTION("""COMPUTED_VALUE"""),165.55)</f>
        <v>165.55</v>
      </c>
      <c r="D188" s="12">
        <f ca="1">IFERROR(__xludf.DUMMYFUNCTION("""COMPUTED_VALUE"""),17.83)</f>
        <v>17.829999999999998</v>
      </c>
      <c r="E188" s="12">
        <f ca="1">IFERROR(__xludf.DUMMYFUNCTION("""COMPUTED_VALUE"""),209.41)</f>
        <v>209.41</v>
      </c>
      <c r="F188" s="14">
        <f ca="1">IFERROR(__xludf.DUMMYFUNCTION("""COMPUTED_VALUE"""),0.209445585215605)</f>
        <v>0.209445585215605</v>
      </c>
      <c r="G188" s="12">
        <f ca="1">IFERROR(__xludf.DUMMYFUNCTION("""COMPUTED_VALUE"""),116.75)</f>
        <v>116.75</v>
      </c>
      <c r="H188" s="14">
        <f ca="1">IFERROR(__xludf.DUMMYFUNCTION("""COMPUTED_VALUE"""),0.417987152034261)</f>
        <v>0.41798715203426101</v>
      </c>
      <c r="I188" s="12">
        <f ca="1">IFERROR(__xludf.DUMMYFUNCTION("""COMPUTED_VALUE"""),165.4)</f>
        <v>165.4</v>
      </c>
      <c r="J188" s="14">
        <f ca="1">IFERROR(__xludf.DUMMYFUNCTION("""COMPUTED_VALUE"""),0.000906892382104024)</f>
        <v>9.0689238210402395E-4</v>
      </c>
      <c r="K188" s="12" t="str">
        <f ca="1"/>
        <v>Retail</v>
      </c>
      <c r="L188" s="12" t="str">
        <f ca="1"/>
        <v>BOM:526729</v>
      </c>
      <c r="M188" s="12" t="str">
        <f ca="1"/>
        <v>No</v>
      </c>
      <c r="N188" s="12" t="str">
        <f ca="1"/>
        <v>No</v>
      </c>
      <c r="O188" s="12" t="str">
        <f ca="1"/>
        <v>Good Stock</v>
      </c>
      <c r="P188" s="12" t="str">
        <f ca="1"/>
        <v>Low Cap</v>
      </c>
    </row>
    <row r="189" spans="1:16" ht="13.2">
      <c r="A189" s="12" t="str">
        <f ca="1">IFERROR(__xludf.DUMMYFUNCTION("""COMPUTED_VALUE"""),"stove kraft")</f>
        <v>stove kraft</v>
      </c>
      <c r="B189" s="13">
        <f ca="1">IFERROR(__xludf.DUMMYFUNCTION("""COMPUTED_VALUE"""),1639.276373)</f>
        <v>1639.2763729999999</v>
      </c>
      <c r="C189" s="12">
        <f ca="1">IFERROR(__xludf.DUMMYFUNCTION("""COMPUTED_VALUE"""),498.5)</f>
        <v>498.5</v>
      </c>
      <c r="D189" s="12">
        <f ca="1">IFERROR(__xludf.DUMMYFUNCTION("""COMPUTED_VALUE"""),30.76)</f>
        <v>30.76</v>
      </c>
      <c r="E189" s="12">
        <f ca="1">IFERROR(__xludf.DUMMYFUNCTION("""COMPUTED_VALUE"""),1000)</f>
        <v>1000</v>
      </c>
      <c r="F189" s="14">
        <f ca="1">IFERROR(__xludf.DUMMYFUNCTION("""COMPUTED_VALUE"""),0.5015)</f>
        <v>0.50149999999999995</v>
      </c>
      <c r="G189" s="12">
        <f ca="1">IFERROR(__xludf.DUMMYFUNCTION("""COMPUTED_VALUE"""),472.2)</f>
        <v>472.2</v>
      </c>
      <c r="H189" s="14">
        <f ca="1">IFERROR(__xludf.DUMMYFUNCTION("""COMPUTED_VALUE"""),0.055696738670055)</f>
        <v>5.5696738670055E-2</v>
      </c>
      <c r="I189" s="12">
        <f ca="1">IFERROR(__xludf.DUMMYFUNCTION("""COMPUTED_VALUE"""),503.15)</f>
        <v>503.15</v>
      </c>
      <c r="J189" s="14">
        <f ca="1">IFERROR(__xludf.DUMMYFUNCTION("""COMPUTED_VALUE"""),-0.00924177680612139)</f>
        <v>-9.2417768061213903E-3</v>
      </c>
      <c r="K189" s="12" t="str">
        <f ca="1"/>
        <v>kitchen</v>
      </c>
      <c r="L189" s="12" t="str">
        <f ca="1"/>
        <v>BOM:543260</v>
      </c>
      <c r="M189" s="12" t="str">
        <f ca="1"/>
        <v>No</v>
      </c>
      <c r="N189" s="12" t="str">
        <f ca="1"/>
        <v>No</v>
      </c>
      <c r="O189" s="12" t="str">
        <f ca="1"/>
        <v>Good Stock</v>
      </c>
      <c r="P189" s="12" t="str">
        <f ca="1"/>
        <v>Low Cap</v>
      </c>
    </row>
    <row r="190" spans="1:16" ht="13.2">
      <c r="A190" s="12" t="str">
        <f ca="1">IFERROR(__xludf.DUMMYFUNCTION("""COMPUTED_VALUE"""),"Krisna dignostic")</f>
        <v>Krisna dignostic</v>
      </c>
      <c r="B190" s="13">
        <f ca="1">IFERROR(__xludf.DUMMYFUNCTION("""COMPUTED_VALUE"""),1347.5935652)</f>
        <v>1347.5935652000001</v>
      </c>
      <c r="C190" s="12">
        <f ca="1">IFERROR(__xludf.DUMMYFUNCTION("""COMPUTED_VALUE"""),429.35)</f>
        <v>429.35</v>
      </c>
      <c r="D190" s="12">
        <f ca="1">IFERROR(__xludf.DUMMYFUNCTION("""COMPUTED_VALUE"""),20.29)</f>
        <v>20.29</v>
      </c>
      <c r="E190" s="12">
        <f ca="1">IFERROR(__xludf.DUMMYFUNCTION("""COMPUTED_VALUE"""),778)</f>
        <v>778</v>
      </c>
      <c r="F190" s="14">
        <f ca="1">IFERROR(__xludf.DUMMYFUNCTION("""COMPUTED_VALUE"""),0.448136246786632)</f>
        <v>0.448136246786632</v>
      </c>
      <c r="G190" s="12">
        <f ca="1">IFERROR(__xludf.DUMMYFUNCTION("""COMPUTED_VALUE"""),428.9)</f>
        <v>428.9</v>
      </c>
      <c r="H190" s="14">
        <f ca="1">IFERROR(__xludf.DUMMYFUNCTION("""COMPUTED_VALUE"""),0.00104919561669397)</f>
        <v>1.0491956166939699E-3</v>
      </c>
      <c r="I190" s="12">
        <f ca="1">IFERROR(__xludf.DUMMYFUNCTION("""COMPUTED_VALUE"""),436.85)</f>
        <v>436.85</v>
      </c>
      <c r="J190" s="14">
        <f ca="1">IFERROR(__xludf.DUMMYFUNCTION("""COMPUTED_VALUE"""),-0.0171683644271489)</f>
        <v>-1.7168364427148902E-2</v>
      </c>
      <c r="K190" s="12">
        <f ca="1"/>
        <v>0</v>
      </c>
      <c r="L190" s="12" t="str">
        <f ca="1"/>
        <v>BOM:543328</v>
      </c>
      <c r="M190" s="12" t="str">
        <f ca="1"/>
        <v>No</v>
      </c>
      <c r="N190" s="12" t="str">
        <f ca="1"/>
        <v>No</v>
      </c>
      <c r="O190" s="12" t="str">
        <f ca="1"/>
        <v>Good Stock</v>
      </c>
      <c r="P190" s="12" t="str">
        <f ca="1"/>
        <v>Low Cap</v>
      </c>
    </row>
    <row r="191" spans="1:16" ht="13.2">
      <c r="A191" s="12" t="str">
        <f ca="1">IFERROR(__xludf.DUMMYFUNCTION("""COMPUTED_VALUE"""),"Chemcom Speciality")</f>
        <v>Chemcom Speciality</v>
      </c>
      <c r="B191" s="13">
        <f ca="1">IFERROR(__xludf.DUMMYFUNCTION("""COMPUTED_VALUE"""),1059.9071153)</f>
        <v>1059.9071153</v>
      </c>
      <c r="C191" s="12">
        <f ca="1">IFERROR(__xludf.DUMMYFUNCTION("""COMPUTED_VALUE"""),288.1)</f>
        <v>288.10000000000002</v>
      </c>
      <c r="D191" s="12">
        <f ca="1">IFERROR(__xludf.DUMMYFUNCTION("""COMPUTED_VALUE"""),15.51)</f>
        <v>15.51</v>
      </c>
      <c r="E191" s="12">
        <f ca="1">IFERROR(__xludf.DUMMYFUNCTION("""COMPUTED_VALUE"""),477.95)</f>
        <v>477.95</v>
      </c>
      <c r="F191" s="14">
        <f ca="1">IFERROR(__xludf.DUMMYFUNCTION("""COMPUTED_VALUE"""),0.397217282142483)</f>
        <v>0.39721728214248297</v>
      </c>
      <c r="G191" s="12">
        <f ca="1">IFERROR(__xludf.DUMMYFUNCTION("""COMPUTED_VALUE"""),261)</f>
        <v>261</v>
      </c>
      <c r="H191" s="14">
        <f ca="1">IFERROR(__xludf.DUMMYFUNCTION("""COMPUTED_VALUE"""),0.103831417624521)</f>
        <v>0.103831417624521</v>
      </c>
      <c r="I191" s="12">
        <f ca="1">IFERROR(__xludf.DUMMYFUNCTION("""COMPUTED_VALUE"""),290.1)</f>
        <v>290.10000000000002</v>
      </c>
      <c r="J191" s="14">
        <f ca="1">IFERROR(__xludf.DUMMYFUNCTION("""COMPUTED_VALUE"""),-0.00689417442261289)</f>
        <v>-6.8941744226128903E-3</v>
      </c>
      <c r="K191" s="12" t="str">
        <f ca="1"/>
        <v>Chemical</v>
      </c>
      <c r="L191" s="12" t="str">
        <f ca="1"/>
        <v>CHEMCON</v>
      </c>
      <c r="M191" s="12" t="str">
        <f ca="1"/>
        <v>No</v>
      </c>
      <c r="N191" s="12" t="str">
        <f ca="1"/>
        <v>No</v>
      </c>
      <c r="O191" s="12" t="str">
        <f ca="1"/>
        <v>Good Stock</v>
      </c>
      <c r="P191" s="12" t="str">
        <f ca="1"/>
        <v>Low Cap</v>
      </c>
    </row>
    <row r="192" spans="1:16" ht="13.2">
      <c r="A192" s="12" t="str">
        <f ca="1">IFERROR(__xludf.DUMMYFUNCTION("""COMPUTED_VALUE"""),"Dr Reddy")</f>
        <v>Dr Reddy</v>
      </c>
      <c r="B192" s="13">
        <f ca="1">IFERROR(__xludf.DUMMYFUNCTION("""COMPUTED_VALUE"""),880.6892469)</f>
        <v>880.68924689999994</v>
      </c>
      <c r="C192" s="12">
        <f ca="1">IFERROR(__xludf.DUMMYFUNCTION("""COMPUTED_VALUE"""),4323.5)</f>
        <v>4323.5</v>
      </c>
      <c r="D192" s="12">
        <f ca="1">IFERROR(__xludf.DUMMYFUNCTION("""COMPUTED_VALUE"""),23.13)</f>
        <v>23.13</v>
      </c>
      <c r="E192" s="12">
        <f ca="1">IFERROR(__xludf.DUMMYFUNCTION("""COMPUTED_VALUE"""),4759.6)</f>
        <v>4759.6000000000004</v>
      </c>
      <c r="F192" s="14">
        <f ca="1">IFERROR(__xludf.DUMMYFUNCTION("""COMPUTED_VALUE"""),0.0916253466677872)</f>
        <v>9.1625346667787197E-2</v>
      </c>
      <c r="G192" s="12">
        <f ca="1">IFERROR(__xludf.DUMMYFUNCTION("""COMPUTED_VALUE"""),3654)</f>
        <v>3654</v>
      </c>
      <c r="H192" s="14">
        <f ca="1">IFERROR(__xludf.DUMMYFUNCTION("""COMPUTED_VALUE"""),0.183223864258347)</f>
        <v>0.183223864258347</v>
      </c>
      <c r="I192" s="12">
        <f ca="1">IFERROR(__xludf.DUMMYFUNCTION("""COMPUTED_VALUE"""),4310.6)</f>
        <v>4310.6000000000004</v>
      </c>
      <c r="J192" s="14">
        <f ca="1">IFERROR(__xludf.DUMMYFUNCTION("""COMPUTED_VALUE"""),0.00299262283672798)</f>
        <v>2.9926228367279802E-3</v>
      </c>
      <c r="K192" s="12" t="str">
        <f ca="1"/>
        <v>Pharma</v>
      </c>
      <c r="L192" s="12" t="str">
        <f ca="1"/>
        <v>DRREDDY</v>
      </c>
      <c r="M192" s="12" t="str">
        <f ca="1"/>
        <v>No</v>
      </c>
      <c r="N192" s="12" t="str">
        <f ca="1"/>
        <v>No</v>
      </c>
      <c r="O192" s="12" t="str">
        <f ca="1"/>
        <v>Good Stock</v>
      </c>
      <c r="P192" s="12" t="str">
        <f ca="1"/>
        <v>Low Cap</v>
      </c>
    </row>
    <row r="193" spans="11:16" ht="13.2">
      <c r="K193" s="12" t="str">
        <v/>
      </c>
      <c r="L193" s="12" t="str">
        <v/>
      </c>
      <c r="M193" s="12" t="str">
        <v/>
      </c>
      <c r="N193" s="12" t="str">
        <v/>
      </c>
      <c r="O193" s="12" t="str">
        <v/>
      </c>
      <c r="P193" s="12" t="str">
        <f ca="1"/>
        <v/>
      </c>
    </row>
    <row r="194" spans="11:16" ht="13.2">
      <c r="K194" s="12" t="str">
        <v/>
      </c>
      <c r="L194" s="12" t="str">
        <v/>
      </c>
      <c r="M194" s="12" t="str">
        <v/>
      </c>
      <c r="N194" s="12" t="str">
        <v/>
      </c>
      <c r="O194" s="12" t="str">
        <v/>
      </c>
      <c r="P194" s="12" t="str">
        <f ca="1"/>
        <v/>
      </c>
    </row>
    <row r="195" spans="11:16" ht="13.2">
      <c r="K195" s="12" t="str">
        <v/>
      </c>
      <c r="L195" s="12" t="str">
        <v/>
      </c>
      <c r="M195" s="12" t="str">
        <v/>
      </c>
      <c r="N195" s="12" t="str">
        <v/>
      </c>
      <c r="O195" s="12" t="str">
        <v/>
      </c>
      <c r="P195" s="12" t="str">
        <f ca="1"/>
        <v/>
      </c>
    </row>
    <row r="196" spans="11:16" ht="13.2">
      <c r="K196" s="12" t="str">
        <v/>
      </c>
      <c r="L196" s="12" t="str">
        <v/>
      </c>
      <c r="M196" s="12" t="str">
        <v/>
      </c>
      <c r="N196" s="12" t="str">
        <v/>
      </c>
      <c r="O196" s="12" t="str">
        <v/>
      </c>
      <c r="P196" s="12" t="str">
        <f ca="1"/>
        <v/>
      </c>
    </row>
    <row r="197" spans="11:16" ht="13.2">
      <c r="K197" s="12" t="str">
        <v/>
      </c>
      <c r="L197" s="12" t="str">
        <v/>
      </c>
      <c r="M197" s="12" t="str">
        <v/>
      </c>
      <c r="N197" s="12" t="str">
        <v/>
      </c>
      <c r="O197" s="12" t="str">
        <v/>
      </c>
      <c r="P197" s="12" t="str">
        <f ca="1"/>
        <v/>
      </c>
    </row>
    <row r="198" spans="11:16" ht="13.2">
      <c r="K198" s="12" t="str">
        <v/>
      </c>
      <c r="L198" s="12" t="str">
        <v/>
      </c>
      <c r="M198" s="12" t="str">
        <v/>
      </c>
      <c r="N198" s="12" t="str">
        <v/>
      </c>
      <c r="O198" s="12" t="str">
        <v/>
      </c>
      <c r="P198" s="12" t="str">
        <f ca="1"/>
        <v/>
      </c>
    </row>
    <row r="199" spans="11:16" ht="13.2">
      <c r="K199" s="12" t="str">
        <v/>
      </c>
      <c r="L199" s="12" t="str">
        <v/>
      </c>
      <c r="M199" s="12" t="str">
        <v/>
      </c>
      <c r="N199" s="12" t="str">
        <v/>
      </c>
      <c r="O199" s="12" t="str">
        <v/>
      </c>
      <c r="P199" s="12" t="str">
        <f ca="1"/>
        <v/>
      </c>
    </row>
    <row r="200" spans="11:16" ht="13.2">
      <c r="K200" s="12" t="str">
        <v/>
      </c>
      <c r="L200" s="12" t="str">
        <v/>
      </c>
      <c r="M200" s="12" t="str">
        <v/>
      </c>
      <c r="N200" s="12" t="str">
        <v/>
      </c>
      <c r="O200" s="12" t="str">
        <v/>
      </c>
      <c r="P200" s="12" t="str">
        <f ca="1"/>
        <v/>
      </c>
    </row>
    <row r="201" spans="11:16" ht="13.2">
      <c r="K201" s="12" t="str">
        <v/>
      </c>
      <c r="L201" s="12" t="str">
        <v/>
      </c>
      <c r="M201" s="12" t="str">
        <v/>
      </c>
      <c r="N201" s="12" t="str">
        <v/>
      </c>
      <c r="O201" s="12" t="str">
        <v/>
      </c>
      <c r="P201" s="12" t="str">
        <f ca="1"/>
        <v/>
      </c>
    </row>
    <row r="202" spans="11:16" ht="13.2">
      <c r="K202" s="12" t="str">
        <v/>
      </c>
      <c r="L202" s="12" t="str">
        <v/>
      </c>
      <c r="M202" s="12" t="str">
        <v/>
      </c>
      <c r="N202" s="12" t="str">
        <v/>
      </c>
      <c r="O202" s="12" t="str">
        <v/>
      </c>
      <c r="P202" s="12" t="str">
        <f ca="1"/>
        <v/>
      </c>
    </row>
    <row r="203" spans="11:16" ht="13.2">
      <c r="K203" s="12" t="str">
        <v/>
      </c>
      <c r="L203" s="12" t="str">
        <v/>
      </c>
      <c r="M203" s="12" t="str">
        <v/>
      </c>
      <c r="N203" s="12" t="str">
        <v/>
      </c>
      <c r="O203" s="12" t="str">
        <v/>
      </c>
      <c r="P203" s="12" t="str">
        <f ca="1"/>
        <v/>
      </c>
    </row>
    <row r="204" spans="11:16" ht="13.2">
      <c r="K204" s="12" t="str">
        <v/>
      </c>
      <c r="L204" s="12" t="str">
        <v/>
      </c>
      <c r="M204" s="12" t="str">
        <v/>
      </c>
      <c r="N204" s="12" t="str">
        <v/>
      </c>
      <c r="O204" s="12" t="str">
        <v/>
      </c>
      <c r="P204" s="12" t="str">
        <f ca="1"/>
        <v/>
      </c>
    </row>
    <row r="205" spans="11:16" ht="13.2">
      <c r="K205" s="12" t="str">
        <v/>
      </c>
      <c r="L205" s="12" t="str">
        <v/>
      </c>
      <c r="M205" s="12" t="str">
        <v/>
      </c>
      <c r="N205" s="12" t="str">
        <v/>
      </c>
      <c r="O205" s="12" t="str">
        <v/>
      </c>
      <c r="P205" s="12" t="str">
        <f ca="1"/>
        <v/>
      </c>
    </row>
    <row r="206" spans="11:16" ht="13.2">
      <c r="K206" s="12" t="str">
        <v/>
      </c>
      <c r="L206" s="12" t="str">
        <v/>
      </c>
      <c r="M206" s="12" t="str">
        <v/>
      </c>
      <c r="N206" s="12" t="str">
        <v/>
      </c>
      <c r="O206" s="12" t="str">
        <v/>
      </c>
      <c r="P206" s="12" t="str">
        <f ca="1"/>
        <v/>
      </c>
    </row>
    <row r="207" spans="11:16" ht="13.2">
      <c r="K207" s="12" t="str">
        <v/>
      </c>
      <c r="L207" s="12" t="str">
        <v/>
      </c>
      <c r="M207" s="12" t="str">
        <v/>
      </c>
      <c r="N207" s="12" t="str">
        <v/>
      </c>
      <c r="O207" s="12" t="str">
        <v/>
      </c>
      <c r="P207" s="12" t="str">
        <f ca="1"/>
        <v/>
      </c>
    </row>
    <row r="208" spans="11:16" ht="13.2">
      <c r="K208" s="12" t="str">
        <v/>
      </c>
      <c r="L208" s="12" t="str">
        <v/>
      </c>
      <c r="M208" s="12" t="str">
        <v/>
      </c>
      <c r="N208" s="12" t="str">
        <v/>
      </c>
      <c r="O208" s="12" t="str">
        <v/>
      </c>
      <c r="P208" s="12" t="str">
        <f ca="1"/>
        <v/>
      </c>
    </row>
    <row r="209" spans="11:16" ht="13.2">
      <c r="K209" s="12" t="str">
        <v/>
      </c>
      <c r="L209" s="12" t="str">
        <v/>
      </c>
      <c r="M209" s="12" t="str">
        <v/>
      </c>
      <c r="N209" s="12" t="str">
        <v/>
      </c>
      <c r="O209" s="12" t="str">
        <v/>
      </c>
      <c r="P209" s="12" t="str">
        <f ca="1"/>
        <v/>
      </c>
    </row>
    <row r="210" spans="11:16" ht="13.2">
      <c r="K210" s="12" t="str">
        <v/>
      </c>
      <c r="L210" s="12" t="str">
        <v/>
      </c>
      <c r="M210" s="12" t="str">
        <v/>
      </c>
      <c r="N210" s="12" t="str">
        <v/>
      </c>
      <c r="O210" s="12" t="str">
        <v/>
      </c>
      <c r="P210" s="12" t="str">
        <f ca="1"/>
        <v/>
      </c>
    </row>
    <row r="211" spans="11:16" ht="13.2">
      <c r="K211" s="12" t="str">
        <v/>
      </c>
      <c r="L211" s="12" t="str">
        <v/>
      </c>
      <c r="M211" s="12" t="str">
        <v/>
      </c>
      <c r="N211" s="12" t="str">
        <v/>
      </c>
      <c r="O211" s="12" t="str">
        <v/>
      </c>
      <c r="P211" s="12" t="str">
        <f ca="1"/>
        <v/>
      </c>
    </row>
    <row r="212" spans="11:16" ht="13.2">
      <c r="K212" s="12" t="str">
        <v/>
      </c>
      <c r="L212" s="12" t="str">
        <v/>
      </c>
      <c r="M212" s="12" t="str">
        <v/>
      </c>
      <c r="N212" s="12" t="str">
        <v/>
      </c>
      <c r="O212" s="12" t="str">
        <v/>
      </c>
      <c r="P212" s="12" t="str">
        <f ca="1"/>
        <v/>
      </c>
    </row>
    <row r="213" spans="11:16" ht="13.2">
      <c r="K213" s="12" t="str">
        <v/>
      </c>
      <c r="L213" s="12" t="str">
        <v/>
      </c>
      <c r="M213" s="12" t="str">
        <v/>
      </c>
      <c r="N213" s="12" t="str">
        <v/>
      </c>
      <c r="O213" s="12" t="str">
        <v/>
      </c>
      <c r="P213" s="12" t="str">
        <f ca="1"/>
        <v/>
      </c>
    </row>
    <row r="214" spans="11:16" ht="13.2">
      <c r="K214" s="12" t="str">
        <v/>
      </c>
      <c r="L214" s="12" t="str">
        <v/>
      </c>
      <c r="M214" s="12" t="str">
        <v/>
      </c>
      <c r="N214" s="12" t="str">
        <v/>
      </c>
      <c r="O214" s="12" t="str">
        <v/>
      </c>
      <c r="P214" s="12" t="str">
        <f ca="1"/>
        <v/>
      </c>
    </row>
    <row r="215" spans="11:16" ht="13.2">
      <c r="K215" s="12" t="str">
        <v/>
      </c>
      <c r="L215" s="12" t="str">
        <v/>
      </c>
      <c r="M215" s="12" t="str">
        <v/>
      </c>
      <c r="N215" s="12" t="str">
        <v/>
      </c>
      <c r="O215" s="12" t="str">
        <v/>
      </c>
      <c r="P215" s="12" t="str">
        <f ca="1"/>
        <v/>
      </c>
    </row>
    <row r="216" spans="11:16" ht="13.2">
      <c r="K216" s="12" t="str">
        <v/>
      </c>
      <c r="L216" s="12" t="str">
        <v/>
      </c>
      <c r="M216" s="12" t="str">
        <v/>
      </c>
      <c r="N216" s="12" t="str">
        <v/>
      </c>
      <c r="O216" s="12" t="str">
        <v/>
      </c>
      <c r="P216" s="12" t="str">
        <f ca="1"/>
        <v/>
      </c>
    </row>
    <row r="217" spans="11:16" ht="13.2">
      <c r="K217" s="12" t="str">
        <v/>
      </c>
      <c r="L217" s="12" t="str">
        <v/>
      </c>
      <c r="M217" s="12" t="str">
        <v/>
      </c>
      <c r="N217" s="12" t="str">
        <v/>
      </c>
      <c r="O217" s="12" t="str">
        <v/>
      </c>
      <c r="P217" s="12" t="str">
        <f ca="1"/>
        <v/>
      </c>
    </row>
    <row r="218" spans="11:16" ht="13.2">
      <c r="K218" s="12" t="str">
        <v/>
      </c>
      <c r="L218" s="12" t="str">
        <v/>
      </c>
      <c r="M218" s="12" t="str">
        <v/>
      </c>
      <c r="N218" s="12" t="str">
        <v/>
      </c>
      <c r="O218" s="12" t="str">
        <v/>
      </c>
      <c r="P218" s="12" t="str">
        <f ca="1"/>
        <v/>
      </c>
    </row>
    <row r="219" spans="11:16" ht="13.2">
      <c r="K219" s="12" t="str">
        <v/>
      </c>
      <c r="L219" s="12" t="str">
        <v/>
      </c>
      <c r="M219" s="12" t="str">
        <v/>
      </c>
      <c r="N219" s="12" t="str">
        <v/>
      </c>
      <c r="O219" s="12" t="str">
        <v/>
      </c>
      <c r="P219" s="12" t="str">
        <f ca="1"/>
        <v/>
      </c>
    </row>
    <row r="220" spans="11:16" ht="13.2">
      <c r="K220" s="12" t="str">
        <v/>
      </c>
      <c r="L220" s="12" t="str">
        <v/>
      </c>
      <c r="M220" s="12" t="str">
        <v/>
      </c>
      <c r="N220" s="12" t="str">
        <v/>
      </c>
      <c r="O220" s="12" t="str">
        <v/>
      </c>
      <c r="P220" s="12" t="str">
        <f ca="1"/>
        <v/>
      </c>
    </row>
    <row r="221" spans="11:16" ht="13.2">
      <c r="K221" s="12" t="str">
        <v/>
      </c>
      <c r="L221" s="12" t="str">
        <v/>
      </c>
      <c r="M221" s="12" t="str">
        <v/>
      </c>
      <c r="N221" s="12" t="str">
        <v/>
      </c>
      <c r="O221" s="12" t="str">
        <v/>
      </c>
      <c r="P221" s="12" t="str">
        <f ca="1"/>
        <v/>
      </c>
    </row>
    <row r="222" spans="11:16" ht="13.2">
      <c r="K222" s="12" t="str">
        <v/>
      </c>
      <c r="L222" s="12" t="str">
        <v/>
      </c>
      <c r="M222" s="12" t="str">
        <v/>
      </c>
      <c r="N222" s="12" t="str">
        <v/>
      </c>
      <c r="O222" s="12" t="str">
        <v/>
      </c>
      <c r="P222" s="12" t="str">
        <f ca="1"/>
        <v/>
      </c>
    </row>
    <row r="223" spans="11:16" ht="13.2">
      <c r="K223" s="12" t="str">
        <v/>
      </c>
      <c r="L223" s="12" t="str">
        <v/>
      </c>
      <c r="M223" s="12" t="str">
        <v/>
      </c>
      <c r="N223" s="12" t="str">
        <v/>
      </c>
      <c r="O223" s="12" t="str">
        <v/>
      </c>
      <c r="P223" s="12" t="str">
        <f ca="1"/>
        <v/>
      </c>
    </row>
    <row r="224" spans="11:16" ht="13.2">
      <c r="K224" s="12" t="str">
        <v/>
      </c>
      <c r="L224" s="12" t="str">
        <v/>
      </c>
      <c r="M224" s="12" t="str">
        <v/>
      </c>
      <c r="N224" s="12" t="str">
        <v/>
      </c>
      <c r="O224" s="12" t="str">
        <v/>
      </c>
      <c r="P224" s="12" t="str">
        <f ca="1"/>
        <v/>
      </c>
    </row>
    <row r="225" spans="11:16" ht="13.2">
      <c r="K225" s="12" t="str">
        <v/>
      </c>
      <c r="L225" s="12" t="str">
        <v/>
      </c>
      <c r="M225" s="12" t="str">
        <v/>
      </c>
      <c r="N225" s="12" t="str">
        <v/>
      </c>
      <c r="O225" s="12" t="str">
        <v/>
      </c>
      <c r="P225" s="12" t="str">
        <f ca="1"/>
        <v/>
      </c>
    </row>
    <row r="226" spans="11:16" ht="13.2">
      <c r="K226" s="12" t="str">
        <v/>
      </c>
      <c r="L226" s="12" t="str">
        <v/>
      </c>
      <c r="M226" s="12" t="str">
        <v/>
      </c>
      <c r="N226" s="12" t="str">
        <v/>
      </c>
      <c r="O226" s="12" t="str">
        <v/>
      </c>
      <c r="P226" s="12" t="str">
        <f ca="1"/>
        <v/>
      </c>
    </row>
    <row r="227" spans="11:16" ht="13.2">
      <c r="K227" s="12" t="str">
        <v/>
      </c>
      <c r="L227" s="12" t="str">
        <v/>
      </c>
      <c r="M227" s="12" t="str">
        <v/>
      </c>
      <c r="N227" s="12" t="str">
        <v/>
      </c>
      <c r="O227" s="12" t="str">
        <v/>
      </c>
      <c r="P227" s="12" t="str">
        <f ca="1"/>
        <v/>
      </c>
    </row>
    <row r="228" spans="11:16" ht="13.2">
      <c r="K228" s="12" t="str">
        <v/>
      </c>
      <c r="L228" s="12" t="str">
        <v/>
      </c>
      <c r="M228" s="12" t="str">
        <v/>
      </c>
      <c r="N228" s="12" t="str">
        <v/>
      </c>
      <c r="O228" s="12" t="str">
        <v/>
      </c>
      <c r="P228" s="12" t="str">
        <f ca="1"/>
        <v/>
      </c>
    </row>
    <row r="229" spans="11:16" ht="13.2">
      <c r="K229" s="12" t="str">
        <v/>
      </c>
      <c r="L229" s="12" t="str">
        <v/>
      </c>
      <c r="M229" s="12" t="str">
        <v/>
      </c>
      <c r="N229" s="12" t="str">
        <v/>
      </c>
      <c r="O229" s="12" t="str">
        <v/>
      </c>
      <c r="P229" s="12" t="str">
        <f ca="1"/>
        <v/>
      </c>
    </row>
    <row r="230" spans="11:16" ht="13.2">
      <c r="K230" s="12" t="str">
        <v/>
      </c>
      <c r="L230" s="12" t="str">
        <v/>
      </c>
      <c r="M230" s="12" t="str">
        <v/>
      </c>
      <c r="N230" s="12" t="str">
        <v/>
      </c>
      <c r="O230" s="12" t="str">
        <v/>
      </c>
      <c r="P230" s="12" t="str">
        <f ca="1"/>
        <v/>
      </c>
    </row>
    <row r="231" spans="11:16" ht="13.2">
      <c r="K231" s="12" t="str">
        <v/>
      </c>
      <c r="L231" s="12" t="str">
        <v/>
      </c>
      <c r="M231" s="12" t="str">
        <v/>
      </c>
      <c r="N231" s="12" t="str">
        <v/>
      </c>
      <c r="O231" s="12" t="str">
        <v/>
      </c>
      <c r="P231" s="12" t="str">
        <f ca="1"/>
        <v/>
      </c>
    </row>
    <row r="232" spans="11:16" ht="13.2">
      <c r="K232" s="12" t="str">
        <v/>
      </c>
      <c r="L232" s="12" t="str">
        <v/>
      </c>
      <c r="M232" s="12" t="str">
        <v/>
      </c>
      <c r="N232" s="12" t="str">
        <v/>
      </c>
      <c r="O232" s="12" t="str">
        <v/>
      </c>
      <c r="P232" s="12" t="str">
        <f ca="1"/>
        <v/>
      </c>
    </row>
    <row r="233" spans="11:16" ht="13.2">
      <c r="K233" s="12" t="str">
        <v/>
      </c>
      <c r="L233" s="12" t="str">
        <v/>
      </c>
      <c r="M233" s="12" t="str">
        <v/>
      </c>
      <c r="N233" s="12" t="str">
        <v/>
      </c>
      <c r="O233" s="12" t="str">
        <v/>
      </c>
      <c r="P233" s="12" t="str">
        <f ca="1"/>
        <v/>
      </c>
    </row>
    <row r="234" spans="11:16" ht="13.2">
      <c r="K234" s="12" t="str">
        <v/>
      </c>
      <c r="L234" s="12" t="str">
        <v/>
      </c>
      <c r="M234" s="12" t="str">
        <v/>
      </c>
      <c r="N234" s="12" t="str">
        <v/>
      </c>
      <c r="O234" s="12" t="str">
        <v/>
      </c>
      <c r="P234" s="12" t="str">
        <f ca="1"/>
        <v/>
      </c>
    </row>
    <row r="235" spans="11:16" ht="13.2">
      <c r="K235" s="12" t="str">
        <v/>
      </c>
      <c r="L235" s="12" t="str">
        <v/>
      </c>
      <c r="M235" s="12" t="str">
        <v/>
      </c>
      <c r="N235" s="12" t="str">
        <v/>
      </c>
      <c r="O235" s="12" t="str">
        <v/>
      </c>
      <c r="P235" s="12" t="str">
        <f ca="1"/>
        <v/>
      </c>
    </row>
    <row r="236" spans="11:16" ht="13.2">
      <c r="K236" s="12" t="str">
        <v/>
      </c>
      <c r="L236" s="12" t="str">
        <v/>
      </c>
      <c r="M236" s="12" t="str">
        <v/>
      </c>
      <c r="N236" s="12" t="str">
        <v/>
      </c>
      <c r="O236" s="12" t="str">
        <v/>
      </c>
      <c r="P236" s="12" t="str">
        <f ca="1"/>
        <v/>
      </c>
    </row>
    <row r="237" spans="11:16" ht="13.2">
      <c r="K237" s="12" t="str">
        <v/>
      </c>
      <c r="L237" s="12" t="str">
        <v/>
      </c>
      <c r="M237" s="12" t="str">
        <v/>
      </c>
      <c r="N237" s="12" t="str">
        <v/>
      </c>
      <c r="O237" s="12" t="str">
        <v/>
      </c>
      <c r="P237" s="12" t="str">
        <f ca="1"/>
        <v/>
      </c>
    </row>
    <row r="238" spans="11:16" ht="13.2">
      <c r="K238" s="12" t="str">
        <v/>
      </c>
      <c r="L238" s="12" t="str">
        <v/>
      </c>
      <c r="M238" s="12" t="str">
        <v/>
      </c>
      <c r="N238" s="12" t="str">
        <v/>
      </c>
      <c r="O238" s="12" t="str">
        <v/>
      </c>
      <c r="P238" s="12" t="str">
        <f ca="1"/>
        <v/>
      </c>
    </row>
    <row r="239" spans="11:16" ht="13.2">
      <c r="K239" s="12" t="str">
        <v/>
      </c>
      <c r="L239" s="12" t="str">
        <v/>
      </c>
      <c r="M239" s="12" t="str">
        <v/>
      </c>
      <c r="N239" s="12" t="str">
        <v/>
      </c>
      <c r="O239" s="12" t="str">
        <v/>
      </c>
      <c r="P239" s="12" t="str">
        <f ca="1"/>
        <v/>
      </c>
    </row>
    <row r="240" spans="11:16" ht="13.2">
      <c r="K240" s="12" t="str">
        <v/>
      </c>
      <c r="L240" s="12" t="str">
        <v/>
      </c>
      <c r="M240" s="12" t="str">
        <v/>
      </c>
      <c r="N240" s="12" t="str">
        <v/>
      </c>
      <c r="O240" s="12" t="str">
        <v/>
      </c>
      <c r="P240" s="12" t="str">
        <f ca="1"/>
        <v/>
      </c>
    </row>
    <row r="241" spans="11:16" ht="13.2">
      <c r="K241" s="12" t="str">
        <v/>
      </c>
      <c r="L241" s="12" t="str">
        <v/>
      </c>
      <c r="M241" s="12" t="str">
        <v/>
      </c>
      <c r="N241" s="12" t="str">
        <v/>
      </c>
      <c r="O241" s="12" t="str">
        <v/>
      </c>
      <c r="P241" s="12" t="str">
        <f ca="1"/>
        <v/>
      </c>
    </row>
    <row r="242" spans="11:16" ht="13.2">
      <c r="K242" s="12" t="str">
        <v/>
      </c>
      <c r="L242" s="12" t="str">
        <v/>
      </c>
      <c r="M242" s="12" t="str">
        <v/>
      </c>
      <c r="N242" s="12" t="str">
        <v/>
      </c>
      <c r="O242" s="12" t="str">
        <v/>
      </c>
      <c r="P242" s="12" t="str">
        <f ca="1"/>
        <v/>
      </c>
    </row>
    <row r="243" spans="11:16" ht="13.2">
      <c r="K243" s="12" t="str">
        <v/>
      </c>
      <c r="L243" s="12" t="str">
        <v/>
      </c>
      <c r="M243" s="12" t="str">
        <v/>
      </c>
      <c r="N243" s="12" t="str">
        <v/>
      </c>
      <c r="O243" s="12" t="str">
        <v/>
      </c>
      <c r="P243" s="12" t="str">
        <f ca="1"/>
        <v/>
      </c>
    </row>
    <row r="244" spans="11:16" ht="13.2">
      <c r="K244" s="12" t="str">
        <v/>
      </c>
      <c r="L244" s="12" t="str">
        <v/>
      </c>
      <c r="M244" s="12" t="str">
        <v/>
      </c>
      <c r="N244" s="12" t="str">
        <v/>
      </c>
      <c r="O244" s="12" t="str">
        <v/>
      </c>
      <c r="P244" s="12" t="str">
        <f ca="1"/>
        <v/>
      </c>
    </row>
    <row r="245" spans="11:16" ht="13.2">
      <c r="K245" s="12" t="str">
        <v/>
      </c>
      <c r="L245" s="12" t="str">
        <v/>
      </c>
      <c r="M245" s="12" t="str">
        <v/>
      </c>
      <c r="N245" s="12" t="str">
        <v/>
      </c>
      <c r="O245" s="12" t="str">
        <v/>
      </c>
      <c r="P245" s="12" t="str">
        <f ca="1"/>
        <v/>
      </c>
    </row>
    <row r="246" spans="11:16" ht="13.2">
      <c r="K246" s="12" t="str">
        <v/>
      </c>
      <c r="L246" s="12" t="str">
        <v/>
      </c>
      <c r="M246" s="12" t="str">
        <v/>
      </c>
      <c r="N246" s="12" t="str">
        <v/>
      </c>
      <c r="O246" s="12" t="str">
        <v/>
      </c>
      <c r="P246" s="12" t="str">
        <f ca="1"/>
        <v/>
      </c>
    </row>
    <row r="247" spans="11:16" ht="13.2">
      <c r="K247" s="12" t="str">
        <v/>
      </c>
      <c r="L247" s="12" t="str">
        <v/>
      </c>
      <c r="M247" s="12" t="str">
        <v/>
      </c>
      <c r="N247" s="12" t="str">
        <v/>
      </c>
      <c r="O247" s="12" t="str">
        <v/>
      </c>
      <c r="P247" s="12" t="str">
        <f ca="1"/>
        <v/>
      </c>
    </row>
    <row r="248" spans="11:16" ht="13.2">
      <c r="K248" s="12" t="str">
        <v/>
      </c>
      <c r="L248" s="12" t="str">
        <v/>
      </c>
      <c r="M248" s="12" t="str">
        <v/>
      </c>
      <c r="N248" s="12" t="str">
        <v/>
      </c>
      <c r="O248" s="12" t="str">
        <v/>
      </c>
      <c r="P248" s="12" t="str">
        <f ca="1"/>
        <v/>
      </c>
    </row>
    <row r="249" spans="11:16" ht="13.2">
      <c r="K249" s="12" t="str">
        <v/>
      </c>
      <c r="L249" s="12" t="str">
        <v/>
      </c>
      <c r="M249" s="12" t="str">
        <v/>
      </c>
      <c r="N249" s="12" t="str">
        <v/>
      </c>
      <c r="O249" s="12" t="str">
        <v/>
      </c>
      <c r="P249" s="12" t="str">
        <f ca="1"/>
        <v/>
      </c>
    </row>
    <row r="250" spans="11:16" ht="13.2">
      <c r="K250" s="12" t="str">
        <v/>
      </c>
      <c r="L250" s="12" t="str">
        <v/>
      </c>
      <c r="M250" s="12" t="str">
        <v/>
      </c>
      <c r="N250" s="12" t="str">
        <v/>
      </c>
      <c r="O250" s="12" t="str">
        <v/>
      </c>
      <c r="P250" s="12" t="str">
        <f ca="1"/>
        <v/>
      </c>
    </row>
    <row r="251" spans="11:16" ht="13.2">
      <c r="K251" s="12" t="str">
        <v/>
      </c>
      <c r="L251" s="12" t="str">
        <v/>
      </c>
      <c r="M251" s="12" t="str">
        <v/>
      </c>
      <c r="N251" s="12" t="str">
        <v/>
      </c>
      <c r="O251" s="12" t="str">
        <v/>
      </c>
      <c r="P251" s="12" t="str">
        <f ca="1"/>
        <v/>
      </c>
    </row>
    <row r="252" spans="11:16" ht="13.2">
      <c r="K252" s="12" t="str">
        <v/>
      </c>
      <c r="L252" s="12" t="str">
        <v/>
      </c>
      <c r="M252" s="12" t="str">
        <v/>
      </c>
      <c r="N252" s="12" t="str">
        <v/>
      </c>
      <c r="O252" s="12" t="str">
        <v/>
      </c>
      <c r="P252" s="12" t="str">
        <f ca="1"/>
        <v/>
      </c>
    </row>
    <row r="253" spans="11:16" ht="13.2">
      <c r="K253" s="12" t="str">
        <v/>
      </c>
      <c r="L253" s="12" t="str">
        <v/>
      </c>
      <c r="M253" s="12" t="str">
        <v/>
      </c>
      <c r="N253" s="12" t="str">
        <v/>
      </c>
      <c r="O253" s="12" t="str">
        <v/>
      </c>
      <c r="P253" s="12" t="str">
        <f ca="1"/>
        <v/>
      </c>
    </row>
    <row r="254" spans="11:16" ht="13.2">
      <c r="K254" s="12" t="str">
        <v/>
      </c>
      <c r="L254" s="12" t="str">
        <v/>
      </c>
      <c r="M254" s="12" t="str">
        <v/>
      </c>
      <c r="N254" s="12" t="str">
        <v/>
      </c>
      <c r="O254" s="12" t="str">
        <v/>
      </c>
      <c r="P254" s="12" t="str">
        <f ca="1"/>
        <v/>
      </c>
    </row>
    <row r="255" spans="11:16" ht="13.2">
      <c r="K255" s="12" t="str">
        <v/>
      </c>
      <c r="L255" s="12" t="str">
        <v/>
      </c>
      <c r="M255" s="12" t="str">
        <v/>
      </c>
      <c r="N255" s="12" t="str">
        <v/>
      </c>
      <c r="O255" s="12" t="str">
        <v/>
      </c>
      <c r="P255" s="12" t="str">
        <f ca="1"/>
        <v/>
      </c>
    </row>
    <row r="256" spans="11:16" ht="13.2">
      <c r="K256" s="12" t="str">
        <v/>
      </c>
      <c r="L256" s="12" t="str">
        <v/>
      </c>
      <c r="M256" s="12" t="str">
        <v/>
      </c>
      <c r="N256" s="12" t="str">
        <v/>
      </c>
      <c r="O256" s="12" t="str">
        <v/>
      </c>
      <c r="P256" s="12" t="str">
        <f ca="1"/>
        <v/>
      </c>
    </row>
    <row r="257" spans="11:16" ht="13.2">
      <c r="K257" s="12" t="str">
        <v/>
      </c>
      <c r="L257" s="12" t="str">
        <v/>
      </c>
      <c r="M257" s="12" t="str">
        <v/>
      </c>
      <c r="N257" s="12" t="str">
        <v/>
      </c>
      <c r="O257" s="12" t="str">
        <v/>
      </c>
      <c r="P257" s="12" t="str">
        <f ca="1"/>
        <v/>
      </c>
    </row>
    <row r="258" spans="11:16" ht="13.2">
      <c r="K258" s="12" t="str">
        <v/>
      </c>
      <c r="L258" s="12" t="str">
        <v/>
      </c>
      <c r="M258" s="12" t="str">
        <v/>
      </c>
      <c r="N258" s="12" t="str">
        <v/>
      </c>
      <c r="O258" s="12" t="str">
        <v/>
      </c>
      <c r="P258" s="12" t="str">
        <f ca="1"/>
        <v/>
      </c>
    </row>
    <row r="259" spans="11:16" ht="13.2">
      <c r="K259" s="12" t="str">
        <v/>
      </c>
      <c r="L259" s="12" t="str">
        <v/>
      </c>
      <c r="M259" s="12" t="str">
        <v/>
      </c>
      <c r="N259" s="12" t="str">
        <v/>
      </c>
      <c r="O259" s="12" t="str">
        <v/>
      </c>
      <c r="P259" s="12" t="str">
        <f ca="1"/>
        <v/>
      </c>
    </row>
    <row r="260" spans="11:16" ht="13.2">
      <c r="K260" s="12" t="str">
        <v/>
      </c>
      <c r="L260" s="12" t="str">
        <v/>
      </c>
      <c r="M260" s="12" t="str">
        <v/>
      </c>
      <c r="N260" s="12" t="str">
        <v/>
      </c>
      <c r="O260" s="12" t="str">
        <v/>
      </c>
      <c r="P260" s="12" t="str">
        <f ca="1"/>
        <v/>
      </c>
    </row>
    <row r="261" spans="11:16" ht="13.2">
      <c r="K261" s="12" t="str">
        <v/>
      </c>
      <c r="L261" s="12" t="str">
        <v/>
      </c>
      <c r="M261" s="12" t="str">
        <v/>
      </c>
      <c r="N261" s="12" t="str">
        <v/>
      </c>
      <c r="O261" s="12" t="str">
        <v/>
      </c>
      <c r="P261" s="12" t="str">
        <f ca="1"/>
        <v/>
      </c>
    </row>
    <row r="262" spans="11:16" ht="13.2">
      <c r="K262" s="12" t="str">
        <v/>
      </c>
      <c r="L262" s="12" t="str">
        <v/>
      </c>
      <c r="M262" s="12" t="str">
        <v/>
      </c>
      <c r="N262" s="12" t="str">
        <v/>
      </c>
      <c r="O262" s="12" t="str">
        <v/>
      </c>
      <c r="P262" s="12" t="str">
        <f ca="1"/>
        <v/>
      </c>
    </row>
    <row r="263" spans="11:16" ht="13.2">
      <c r="K263" s="12" t="str">
        <v/>
      </c>
      <c r="L263" s="12" t="str">
        <v/>
      </c>
      <c r="M263" s="12" t="str">
        <v/>
      </c>
      <c r="N263" s="12" t="str">
        <v/>
      </c>
      <c r="O263" s="12" t="str">
        <v/>
      </c>
      <c r="P263" s="12" t="str">
        <f ca="1"/>
        <v/>
      </c>
    </row>
    <row r="264" spans="11:16" ht="13.2">
      <c r="K264" s="12" t="str">
        <v/>
      </c>
      <c r="L264" s="12" t="str">
        <v/>
      </c>
      <c r="M264" s="12" t="str">
        <v/>
      </c>
      <c r="N264" s="12" t="str">
        <v/>
      </c>
      <c r="O264" s="12" t="str">
        <v/>
      </c>
      <c r="P264" s="12" t="str">
        <f ca="1"/>
        <v/>
      </c>
    </row>
    <row r="265" spans="11:16" ht="13.2">
      <c r="K265" s="12" t="str">
        <v/>
      </c>
      <c r="L265" s="12" t="str">
        <v/>
      </c>
      <c r="M265" s="12" t="str">
        <v/>
      </c>
      <c r="N265" s="12" t="str">
        <v/>
      </c>
      <c r="O265" s="12" t="str">
        <v/>
      </c>
      <c r="P265" s="12" t="str">
        <f ca="1"/>
        <v/>
      </c>
    </row>
    <row r="266" spans="11:16" ht="13.2">
      <c r="K266" s="12" t="str">
        <v/>
      </c>
      <c r="L266" s="12" t="str">
        <v/>
      </c>
      <c r="M266" s="12" t="str">
        <v/>
      </c>
      <c r="N266" s="12" t="str">
        <v/>
      </c>
      <c r="O266" s="12" t="str">
        <v/>
      </c>
      <c r="P266" s="12" t="str">
        <f ca="1"/>
        <v/>
      </c>
    </row>
    <row r="267" spans="11:16" ht="13.2">
      <c r="K267" s="12" t="str">
        <v/>
      </c>
      <c r="L267" s="12" t="str">
        <v/>
      </c>
      <c r="M267" s="12" t="str">
        <v/>
      </c>
      <c r="N267" s="12" t="str">
        <v/>
      </c>
      <c r="O267" s="12" t="str">
        <v/>
      </c>
      <c r="P267" s="12" t="str">
        <f ca="1"/>
        <v/>
      </c>
    </row>
    <row r="268" spans="11:16" ht="13.2">
      <c r="K268" s="12" t="str">
        <v/>
      </c>
      <c r="L268" s="12" t="str">
        <v/>
      </c>
      <c r="M268" s="12" t="str">
        <v/>
      </c>
      <c r="N268" s="12" t="str">
        <v/>
      </c>
      <c r="O268" s="12" t="str">
        <v/>
      </c>
      <c r="P268" s="12" t="str">
        <f ca="1"/>
        <v/>
      </c>
    </row>
    <row r="269" spans="11:16" ht="13.2">
      <c r="K269" s="12" t="str">
        <v/>
      </c>
      <c r="L269" s="12" t="str">
        <v/>
      </c>
      <c r="M269" s="12" t="str">
        <v/>
      </c>
      <c r="N269" s="12" t="str">
        <v/>
      </c>
      <c r="O269" s="12" t="str">
        <v/>
      </c>
      <c r="P269" s="12" t="str">
        <f ca="1"/>
        <v/>
      </c>
    </row>
    <row r="270" spans="11:16" ht="13.2">
      <c r="K270" s="12" t="str">
        <v/>
      </c>
      <c r="L270" s="12" t="str">
        <v/>
      </c>
      <c r="M270" s="12" t="str">
        <v/>
      </c>
      <c r="N270" s="12" t="str">
        <v/>
      </c>
      <c r="O270" s="12" t="str">
        <v/>
      </c>
      <c r="P270" s="12" t="str">
        <f ca="1"/>
        <v/>
      </c>
    </row>
    <row r="271" spans="11:16" ht="13.2">
      <c r="K271" s="12" t="str">
        <v/>
      </c>
      <c r="L271" s="12" t="str">
        <v/>
      </c>
      <c r="M271" s="12" t="str">
        <v/>
      </c>
      <c r="N271" s="12" t="str">
        <v/>
      </c>
      <c r="O271" s="12" t="str">
        <v/>
      </c>
      <c r="P271" s="12" t="str">
        <f ca="1"/>
        <v/>
      </c>
    </row>
    <row r="272" spans="11:16" ht="13.2">
      <c r="K272" s="12" t="str">
        <v/>
      </c>
      <c r="L272" s="12" t="str">
        <v/>
      </c>
      <c r="M272" s="12" t="str">
        <v/>
      </c>
      <c r="N272" s="12" t="str">
        <v/>
      </c>
      <c r="O272" s="12" t="str">
        <v/>
      </c>
      <c r="P272" s="12" t="str">
        <f ca="1"/>
        <v/>
      </c>
    </row>
    <row r="273" spans="11:16" ht="13.2">
      <c r="K273" s="12" t="str">
        <v/>
      </c>
      <c r="L273" s="12" t="str">
        <v/>
      </c>
      <c r="M273" s="12" t="str">
        <v/>
      </c>
      <c r="N273" s="12" t="str">
        <v/>
      </c>
      <c r="O273" s="12" t="str">
        <v/>
      </c>
      <c r="P273" s="12" t="str">
        <f ca="1"/>
        <v/>
      </c>
    </row>
    <row r="274" spans="11:16" ht="13.2">
      <c r="K274" s="12" t="str">
        <v/>
      </c>
      <c r="L274" s="12" t="str">
        <v/>
      </c>
      <c r="M274" s="12" t="str">
        <v/>
      </c>
      <c r="N274" s="12" t="str">
        <v/>
      </c>
      <c r="O274" s="12" t="str">
        <v/>
      </c>
      <c r="P274" s="12" t="str">
        <f ca="1"/>
        <v/>
      </c>
    </row>
    <row r="275" spans="11:16" ht="13.2">
      <c r="K275" s="12" t="str">
        <v/>
      </c>
      <c r="L275" s="12" t="str">
        <v/>
      </c>
      <c r="M275" s="12" t="str">
        <v/>
      </c>
      <c r="N275" s="12" t="str">
        <v/>
      </c>
      <c r="O275" s="12" t="str">
        <v/>
      </c>
      <c r="P275" s="12" t="str">
        <f ca="1"/>
        <v/>
      </c>
    </row>
    <row r="276" spans="11:16" ht="13.2">
      <c r="K276" s="12" t="str">
        <v/>
      </c>
      <c r="L276" s="12" t="str">
        <v/>
      </c>
      <c r="M276" s="12" t="str">
        <v/>
      </c>
      <c r="N276" s="12" t="str">
        <v/>
      </c>
      <c r="O276" s="12" t="str">
        <v/>
      </c>
      <c r="P276" s="12" t="str">
        <f ca="1"/>
        <v/>
      </c>
    </row>
    <row r="277" spans="11:16" ht="13.2">
      <c r="K277" s="12" t="str">
        <v/>
      </c>
      <c r="L277" s="12" t="str">
        <v/>
      </c>
      <c r="M277" s="12" t="str">
        <v/>
      </c>
      <c r="N277" s="12" t="str">
        <v/>
      </c>
      <c r="O277" s="12" t="str">
        <v/>
      </c>
      <c r="P277" s="12" t="str">
        <f ca="1"/>
        <v/>
      </c>
    </row>
    <row r="278" spans="11:16" ht="13.2">
      <c r="K278" s="12" t="str">
        <v/>
      </c>
      <c r="L278" s="12" t="str">
        <v/>
      </c>
      <c r="M278" s="12" t="str">
        <v/>
      </c>
      <c r="N278" s="12" t="str">
        <v/>
      </c>
      <c r="O278" s="12" t="str">
        <v/>
      </c>
      <c r="P278" s="12" t="str">
        <f ca="1"/>
        <v/>
      </c>
    </row>
    <row r="279" spans="11:16" ht="13.2">
      <c r="K279" s="12" t="str">
        <v/>
      </c>
      <c r="L279" s="12" t="str">
        <v/>
      </c>
      <c r="M279" s="12" t="str">
        <v/>
      </c>
      <c r="N279" s="12" t="str">
        <v/>
      </c>
      <c r="O279" s="12" t="str">
        <v/>
      </c>
      <c r="P279" s="12" t="str">
        <f ca="1"/>
        <v/>
      </c>
    </row>
    <row r="280" spans="11:16" ht="13.2">
      <c r="K280" s="12" t="str">
        <v/>
      </c>
      <c r="L280" s="12" t="str">
        <v/>
      </c>
      <c r="M280" s="12" t="str">
        <v/>
      </c>
      <c r="N280" s="12" t="str">
        <v/>
      </c>
      <c r="O280" s="12" t="str">
        <v/>
      </c>
      <c r="P280" s="12" t="str">
        <f ca="1"/>
        <v/>
      </c>
    </row>
    <row r="281" spans="11:16" ht="13.2">
      <c r="K281" s="12" t="str">
        <v/>
      </c>
      <c r="L281" s="12" t="str">
        <v/>
      </c>
      <c r="M281" s="12" t="str">
        <v/>
      </c>
      <c r="N281" s="12" t="str">
        <v/>
      </c>
      <c r="O281" s="12" t="str">
        <v/>
      </c>
      <c r="P281" s="12" t="str">
        <f ca="1"/>
        <v/>
      </c>
    </row>
    <row r="282" spans="11:16" ht="13.2">
      <c r="K282" s="12" t="str">
        <v/>
      </c>
      <c r="L282" s="12" t="str">
        <v/>
      </c>
      <c r="M282" s="12" t="str">
        <v/>
      </c>
      <c r="N282" s="12" t="str">
        <v/>
      </c>
      <c r="O282" s="12" t="str">
        <v/>
      </c>
      <c r="P282" s="12" t="str">
        <f ca="1"/>
        <v/>
      </c>
    </row>
    <row r="283" spans="11:16" ht="13.2">
      <c r="K283" s="12" t="str">
        <v/>
      </c>
      <c r="L283" s="12" t="str">
        <v/>
      </c>
      <c r="M283" s="12" t="str">
        <v/>
      </c>
      <c r="N283" s="12" t="str">
        <v/>
      </c>
      <c r="O283" s="12" t="str">
        <v/>
      </c>
      <c r="P283" s="12" t="str">
        <f ca="1"/>
        <v/>
      </c>
    </row>
    <row r="284" spans="11:16" ht="13.2">
      <c r="K284" s="12" t="str">
        <v/>
      </c>
      <c r="L284" s="12" t="str">
        <v/>
      </c>
      <c r="M284" s="12" t="str">
        <v/>
      </c>
      <c r="N284" s="12" t="str">
        <v/>
      </c>
      <c r="O284" s="12" t="str">
        <v/>
      </c>
      <c r="P284" s="12" t="str">
        <f ca="1"/>
        <v/>
      </c>
    </row>
    <row r="285" spans="11:16" ht="13.2">
      <c r="K285" s="12" t="str">
        <v/>
      </c>
      <c r="L285" s="12" t="str">
        <v/>
      </c>
      <c r="M285" s="12" t="str">
        <v/>
      </c>
      <c r="N285" s="12" t="str">
        <v/>
      </c>
      <c r="O285" s="12" t="str">
        <v/>
      </c>
      <c r="P285" s="12" t="str">
        <f ca="1"/>
        <v/>
      </c>
    </row>
    <row r="286" spans="11:16" ht="13.2">
      <c r="K286" s="12" t="str">
        <v/>
      </c>
      <c r="L286" s="12" t="str">
        <v/>
      </c>
      <c r="M286" s="12" t="str">
        <v/>
      </c>
      <c r="N286" s="12" t="str">
        <v/>
      </c>
      <c r="O286" s="12" t="str">
        <v/>
      </c>
      <c r="P286" s="12" t="str">
        <f ca="1"/>
        <v/>
      </c>
    </row>
    <row r="287" spans="11:16" ht="13.2">
      <c r="K287" s="12" t="str">
        <v/>
      </c>
      <c r="L287" s="12" t="str">
        <v/>
      </c>
      <c r="M287" s="12" t="str">
        <v/>
      </c>
      <c r="N287" s="12" t="str">
        <v/>
      </c>
      <c r="O287" s="12" t="str">
        <v/>
      </c>
      <c r="P287" s="12" t="str">
        <f ca="1"/>
        <v/>
      </c>
    </row>
    <row r="288" spans="11:16" ht="13.2">
      <c r="K288" s="12" t="str">
        <v/>
      </c>
      <c r="L288" s="12" t="str">
        <v/>
      </c>
      <c r="M288" s="12" t="str">
        <v/>
      </c>
      <c r="N288" s="12" t="str">
        <v/>
      </c>
      <c r="O288" s="12" t="str">
        <v/>
      </c>
      <c r="P288" s="12" t="str">
        <f ca="1"/>
        <v/>
      </c>
    </row>
    <row r="289" spans="11:16" ht="13.2">
      <c r="K289" s="12" t="str">
        <v/>
      </c>
      <c r="L289" s="12" t="str">
        <v/>
      </c>
      <c r="M289" s="12" t="str">
        <v/>
      </c>
      <c r="N289" s="12" t="str">
        <v/>
      </c>
      <c r="O289" s="12" t="str">
        <v/>
      </c>
      <c r="P289" s="12" t="str">
        <f ca="1"/>
        <v/>
      </c>
    </row>
    <row r="290" spans="11:16" ht="13.2">
      <c r="K290" s="12" t="str">
        <v/>
      </c>
      <c r="L290" s="12" t="str">
        <v/>
      </c>
      <c r="M290" s="12" t="str">
        <v/>
      </c>
      <c r="N290" s="12" t="str">
        <v/>
      </c>
      <c r="O290" s="12" t="str">
        <v/>
      </c>
      <c r="P290" s="12" t="str">
        <f ca="1"/>
        <v/>
      </c>
    </row>
    <row r="291" spans="11:16" ht="13.2">
      <c r="K291" s="12" t="str">
        <v/>
      </c>
      <c r="L291" s="12" t="str">
        <v/>
      </c>
      <c r="M291" s="12" t="str">
        <v/>
      </c>
      <c r="N291" s="12" t="str">
        <v/>
      </c>
      <c r="O291" s="12" t="str">
        <v/>
      </c>
      <c r="P291" s="12" t="str">
        <f ca="1"/>
        <v/>
      </c>
    </row>
    <row r="292" spans="11:16" ht="13.2">
      <c r="K292" s="12" t="str">
        <v/>
      </c>
      <c r="L292" s="12" t="str">
        <v/>
      </c>
      <c r="M292" s="12" t="str">
        <v/>
      </c>
      <c r="N292" s="12" t="str">
        <v/>
      </c>
      <c r="O292" s="12" t="str">
        <v/>
      </c>
      <c r="P292" s="12" t="str">
        <f ca="1"/>
        <v/>
      </c>
    </row>
    <row r="293" spans="11:16" ht="13.2">
      <c r="K293" s="12" t="str">
        <v/>
      </c>
      <c r="L293" s="12" t="str">
        <v/>
      </c>
      <c r="M293" s="12" t="str">
        <v/>
      </c>
      <c r="N293" s="12" t="str">
        <v/>
      </c>
      <c r="O293" s="12" t="str">
        <v/>
      </c>
      <c r="P293" s="12" t="str">
        <f ca="1"/>
        <v/>
      </c>
    </row>
    <row r="294" spans="11:16" ht="13.2">
      <c r="K294" s="12" t="str">
        <v/>
      </c>
      <c r="L294" s="12" t="str">
        <v/>
      </c>
      <c r="M294" s="12" t="str">
        <v/>
      </c>
      <c r="N294" s="12" t="str">
        <v/>
      </c>
      <c r="O294" s="12" t="str">
        <v/>
      </c>
      <c r="P294" s="12" t="str">
        <f ca="1"/>
        <v/>
      </c>
    </row>
    <row r="295" spans="11:16" ht="13.2">
      <c r="K295" s="12" t="str">
        <v/>
      </c>
      <c r="L295" s="12" t="str">
        <v/>
      </c>
      <c r="M295" s="12" t="str">
        <v/>
      </c>
      <c r="N295" s="12" t="str">
        <v/>
      </c>
      <c r="O295" s="12" t="str">
        <v/>
      </c>
      <c r="P295" s="12" t="str">
        <f ca="1"/>
        <v/>
      </c>
    </row>
    <row r="296" spans="11:16" ht="13.2">
      <c r="K296" s="12" t="str">
        <v/>
      </c>
      <c r="L296" s="12" t="str">
        <v/>
      </c>
      <c r="M296" s="12" t="str">
        <v/>
      </c>
      <c r="N296" s="12" t="str">
        <v/>
      </c>
      <c r="O296" s="12" t="str">
        <v/>
      </c>
      <c r="P296" s="12" t="str">
        <f ca="1"/>
        <v/>
      </c>
    </row>
    <row r="297" spans="11:16" ht="13.2">
      <c r="K297" s="12" t="str">
        <v/>
      </c>
      <c r="L297" s="12" t="str">
        <v/>
      </c>
      <c r="M297" s="12" t="str">
        <v/>
      </c>
      <c r="N297" s="12" t="str">
        <v/>
      </c>
      <c r="O297" s="12" t="str">
        <v/>
      </c>
      <c r="P297" s="12" t="str">
        <f ca="1"/>
        <v/>
      </c>
    </row>
    <row r="298" spans="11:16" ht="13.2">
      <c r="K298" s="12" t="str">
        <v/>
      </c>
      <c r="L298" s="12" t="str">
        <v/>
      </c>
      <c r="M298" s="12" t="str">
        <v/>
      </c>
      <c r="N298" s="12" t="str">
        <v/>
      </c>
      <c r="O298" s="12" t="str">
        <v/>
      </c>
      <c r="P298" s="12" t="str">
        <f ca="1"/>
        <v/>
      </c>
    </row>
    <row r="299" spans="11:16" ht="13.2">
      <c r="K299" s="12" t="str">
        <v/>
      </c>
      <c r="L299" s="12" t="str">
        <v/>
      </c>
      <c r="M299" s="12" t="str">
        <v/>
      </c>
      <c r="N299" s="12" t="str">
        <v/>
      </c>
      <c r="O299" s="12" t="str">
        <v/>
      </c>
      <c r="P299" s="12" t="str">
        <f ca="1"/>
        <v/>
      </c>
    </row>
    <row r="300" spans="11:16" ht="13.2">
      <c r="K300" s="12" t="str">
        <v/>
      </c>
      <c r="L300" s="12" t="str">
        <v/>
      </c>
      <c r="M300" s="12" t="str">
        <v/>
      </c>
      <c r="N300" s="12" t="str">
        <v/>
      </c>
      <c r="O300" s="12" t="str">
        <v/>
      </c>
      <c r="P300" s="12" t="str">
        <f ca="1"/>
        <v/>
      </c>
    </row>
    <row r="301" spans="11:16" ht="13.2">
      <c r="K301" s="12" t="str">
        <v/>
      </c>
      <c r="L301" s="12" t="str">
        <v/>
      </c>
      <c r="M301" s="12" t="str">
        <v/>
      </c>
      <c r="N301" s="12" t="str">
        <v/>
      </c>
      <c r="O301" s="12" t="str">
        <v/>
      </c>
      <c r="P301" s="12" t="str">
        <f ca="1"/>
        <v/>
      </c>
    </row>
    <row r="302" spans="11:16" ht="13.2">
      <c r="K302" s="12" t="str">
        <v/>
      </c>
      <c r="L302" s="12" t="str">
        <v/>
      </c>
      <c r="M302" s="12" t="str">
        <v/>
      </c>
      <c r="N302" s="12" t="str">
        <v/>
      </c>
      <c r="O302" s="12" t="str">
        <v/>
      </c>
      <c r="P302" s="12" t="str">
        <f ca="1"/>
        <v/>
      </c>
    </row>
    <row r="303" spans="11:16" ht="13.2">
      <c r="K303" s="12" t="str">
        <v/>
      </c>
      <c r="L303" s="12" t="str">
        <v/>
      </c>
      <c r="M303" s="12" t="str">
        <v/>
      </c>
      <c r="N303" s="12" t="str">
        <v/>
      </c>
      <c r="O303" s="12" t="str">
        <v/>
      </c>
      <c r="P303" s="12" t="str">
        <f ca="1"/>
        <v/>
      </c>
    </row>
    <row r="304" spans="11:16" ht="13.2">
      <c r="K304" s="12" t="str">
        <v/>
      </c>
      <c r="L304" s="12" t="str">
        <v/>
      </c>
      <c r="M304" s="12" t="str">
        <v/>
      </c>
      <c r="N304" s="12" t="str">
        <v/>
      </c>
      <c r="O304" s="12" t="str">
        <v/>
      </c>
      <c r="P304" s="12" t="str">
        <f ca="1"/>
        <v/>
      </c>
    </row>
    <row r="305" spans="11:16" ht="13.2">
      <c r="K305" s="12" t="str">
        <v/>
      </c>
      <c r="L305" s="12" t="str">
        <v/>
      </c>
      <c r="M305" s="12" t="str">
        <v/>
      </c>
      <c r="N305" s="12" t="str">
        <v/>
      </c>
      <c r="O305" s="12" t="str">
        <v/>
      </c>
      <c r="P305" s="12" t="str">
        <f ca="1"/>
        <v/>
      </c>
    </row>
    <row r="306" spans="11:16" ht="13.2">
      <c r="K306" s="12" t="str">
        <v/>
      </c>
      <c r="L306" s="12" t="str">
        <v/>
      </c>
      <c r="M306" s="12" t="str">
        <v/>
      </c>
      <c r="N306" s="12" t="str">
        <v/>
      </c>
      <c r="O306" s="12" t="str">
        <v/>
      </c>
      <c r="P306" s="12" t="str">
        <f ca="1"/>
        <v/>
      </c>
    </row>
    <row r="307" spans="11:16" ht="13.2">
      <c r="K307" s="12" t="str">
        <v/>
      </c>
      <c r="L307" s="12" t="str">
        <v/>
      </c>
      <c r="M307" s="12" t="str">
        <v/>
      </c>
      <c r="N307" s="12" t="str">
        <v/>
      </c>
      <c r="O307" s="12" t="str">
        <v/>
      </c>
      <c r="P307" s="12" t="str">
        <f ca="1"/>
        <v/>
      </c>
    </row>
    <row r="308" spans="11:16" ht="13.2">
      <c r="K308" s="12" t="str">
        <v/>
      </c>
      <c r="L308" s="12" t="str">
        <v/>
      </c>
      <c r="M308" s="12" t="str">
        <v/>
      </c>
      <c r="N308" s="12" t="str">
        <v/>
      </c>
      <c r="O308" s="12" t="str">
        <v/>
      </c>
      <c r="P308" s="12" t="str">
        <f ca="1"/>
        <v/>
      </c>
    </row>
    <row r="309" spans="11:16" ht="13.2">
      <c r="K309" s="12" t="str">
        <v/>
      </c>
      <c r="L309" s="12" t="str">
        <v/>
      </c>
      <c r="M309" s="12" t="str">
        <v/>
      </c>
      <c r="N309" s="12" t="str">
        <v/>
      </c>
      <c r="O309" s="12" t="str">
        <v/>
      </c>
      <c r="P309" s="12" t="str">
        <f ca="1"/>
        <v/>
      </c>
    </row>
    <row r="310" spans="11:16" ht="13.2">
      <c r="K310" s="12" t="str">
        <v/>
      </c>
      <c r="L310" s="12" t="str">
        <v/>
      </c>
      <c r="M310" s="12" t="str">
        <v/>
      </c>
      <c r="N310" s="12" t="str">
        <v/>
      </c>
      <c r="O310" s="12" t="str">
        <v/>
      </c>
      <c r="P310" s="12" t="str">
        <f ca="1"/>
        <v/>
      </c>
    </row>
    <row r="311" spans="11:16" ht="13.2">
      <c r="K311" s="12" t="str">
        <v/>
      </c>
      <c r="L311" s="12" t="str">
        <v/>
      </c>
      <c r="M311" s="12" t="str">
        <v/>
      </c>
      <c r="N311" s="12" t="str">
        <v/>
      </c>
      <c r="O311" s="12" t="str">
        <v/>
      </c>
      <c r="P311" s="12" t="str">
        <f ca="1"/>
        <v/>
      </c>
    </row>
    <row r="312" spans="11:16" ht="13.2">
      <c r="K312" s="12" t="str">
        <v/>
      </c>
      <c r="L312" s="12" t="str">
        <v/>
      </c>
      <c r="M312" s="12" t="str">
        <v/>
      </c>
      <c r="N312" s="12" t="str">
        <v/>
      </c>
      <c r="O312" s="12" t="str">
        <v/>
      </c>
      <c r="P312" s="12" t="str">
        <f ca="1"/>
        <v/>
      </c>
    </row>
    <row r="313" spans="11:16" ht="13.2">
      <c r="K313" s="12" t="str">
        <v/>
      </c>
      <c r="L313" s="12" t="str">
        <v/>
      </c>
      <c r="M313" s="12" t="str">
        <v/>
      </c>
      <c r="N313" s="12" t="str">
        <v/>
      </c>
      <c r="O313" s="12" t="str">
        <v/>
      </c>
      <c r="P313" s="12" t="str">
        <f ca="1"/>
        <v/>
      </c>
    </row>
    <row r="314" spans="11:16" ht="13.2">
      <c r="K314" s="12" t="str">
        <v/>
      </c>
      <c r="L314" s="12" t="str">
        <v/>
      </c>
      <c r="M314" s="12" t="str">
        <v/>
      </c>
      <c r="N314" s="12" t="str">
        <v/>
      </c>
      <c r="O314" s="12" t="str">
        <v/>
      </c>
      <c r="P314" s="12" t="str">
        <f ca="1"/>
        <v/>
      </c>
    </row>
    <row r="315" spans="11:16" ht="13.2">
      <c r="K315" s="12" t="str">
        <v/>
      </c>
      <c r="L315" s="12" t="str">
        <v/>
      </c>
      <c r="M315" s="12" t="str">
        <v/>
      </c>
      <c r="N315" s="12" t="str">
        <v/>
      </c>
      <c r="O315" s="12" t="str">
        <v/>
      </c>
      <c r="P315" s="12" t="str">
        <f ca="1"/>
        <v/>
      </c>
    </row>
    <row r="316" spans="11:16" ht="13.2">
      <c r="K316" s="12" t="str">
        <v/>
      </c>
      <c r="L316" s="12" t="str">
        <v/>
      </c>
      <c r="M316" s="12" t="str">
        <v/>
      </c>
      <c r="N316" s="12" t="str">
        <v/>
      </c>
      <c r="O316" s="12" t="str">
        <v/>
      </c>
      <c r="P316" s="12" t="str">
        <f ca="1"/>
        <v/>
      </c>
    </row>
    <row r="317" spans="11:16" ht="13.2">
      <c r="K317" s="12" t="str">
        <v/>
      </c>
      <c r="L317" s="12" t="str">
        <v/>
      </c>
      <c r="M317" s="12" t="str">
        <v/>
      </c>
      <c r="N317" s="12" t="str">
        <v/>
      </c>
      <c r="O317" s="12" t="str">
        <v/>
      </c>
      <c r="P317" s="12" t="str">
        <f ca="1"/>
        <v/>
      </c>
    </row>
    <row r="318" spans="11:16" ht="13.2">
      <c r="K318" s="12" t="str">
        <v/>
      </c>
      <c r="L318" s="12" t="str">
        <v/>
      </c>
      <c r="M318" s="12" t="str">
        <v/>
      </c>
      <c r="N318" s="12" t="str">
        <v/>
      </c>
      <c r="O318" s="12" t="str">
        <v/>
      </c>
      <c r="P318" s="12" t="str">
        <f ca="1"/>
        <v/>
      </c>
    </row>
    <row r="319" spans="11:16" ht="13.2">
      <c r="K319" s="12" t="str">
        <v/>
      </c>
      <c r="L319" s="12" t="str">
        <v/>
      </c>
      <c r="M319" s="12" t="str">
        <v/>
      </c>
      <c r="N319" s="12" t="str">
        <v/>
      </c>
      <c r="O319" s="12" t="str">
        <v/>
      </c>
      <c r="P319" s="12" t="str">
        <f ca="1"/>
        <v/>
      </c>
    </row>
    <row r="320" spans="11:16" ht="13.2">
      <c r="K320" s="12" t="str">
        <v/>
      </c>
      <c r="L320" s="12" t="str">
        <v/>
      </c>
      <c r="M320" s="12" t="str">
        <v/>
      </c>
      <c r="N320" s="12" t="str">
        <v/>
      </c>
      <c r="O320" s="12" t="str">
        <v/>
      </c>
      <c r="P320" s="12" t="str">
        <f ca="1"/>
        <v/>
      </c>
    </row>
    <row r="321" spans="11:16" ht="13.2">
      <c r="K321" s="12" t="str">
        <v/>
      </c>
      <c r="L321" s="12" t="str">
        <v/>
      </c>
      <c r="M321" s="12" t="str">
        <v/>
      </c>
      <c r="N321" s="12" t="str">
        <v/>
      </c>
      <c r="O321" s="12" t="str">
        <v/>
      </c>
      <c r="P321" s="12" t="str">
        <f ca="1"/>
        <v/>
      </c>
    </row>
    <row r="322" spans="11:16" ht="13.2">
      <c r="K322" s="12" t="str">
        <v/>
      </c>
      <c r="L322" s="12" t="str">
        <v/>
      </c>
      <c r="M322" s="12" t="str">
        <v/>
      </c>
      <c r="N322" s="12" t="str">
        <v/>
      </c>
      <c r="O322" s="12" t="str">
        <v/>
      </c>
      <c r="P322" s="12" t="str">
        <f ca="1"/>
        <v/>
      </c>
    </row>
    <row r="323" spans="11:16" ht="13.2">
      <c r="K323" s="12" t="str">
        <v/>
      </c>
      <c r="L323" s="12" t="str">
        <v/>
      </c>
      <c r="M323" s="12" t="str">
        <v/>
      </c>
      <c r="N323" s="12" t="str">
        <v/>
      </c>
      <c r="O323" s="12" t="str">
        <v/>
      </c>
      <c r="P323" s="12" t="str">
        <f ca="1"/>
        <v/>
      </c>
    </row>
    <row r="324" spans="11:16" ht="13.2">
      <c r="K324" s="12" t="str">
        <v/>
      </c>
      <c r="L324" s="12" t="str">
        <v/>
      </c>
      <c r="M324" s="12" t="str">
        <v/>
      </c>
      <c r="N324" s="12" t="str">
        <v/>
      </c>
      <c r="O324" s="12" t="str">
        <v/>
      </c>
      <c r="P324" s="12" t="str">
        <f ca="1"/>
        <v/>
      </c>
    </row>
    <row r="325" spans="11:16" ht="13.2">
      <c r="K325" s="12" t="str">
        <v/>
      </c>
      <c r="L325" s="12" t="str">
        <v/>
      </c>
      <c r="M325" s="12" t="str">
        <v/>
      </c>
      <c r="N325" s="12" t="str">
        <v/>
      </c>
      <c r="O325" s="12" t="str">
        <v/>
      </c>
      <c r="P325" s="12" t="str">
        <f ca="1"/>
        <v/>
      </c>
    </row>
    <row r="326" spans="11:16" ht="13.2">
      <c r="K326" s="12" t="str">
        <v/>
      </c>
      <c r="L326" s="12" t="str">
        <v/>
      </c>
      <c r="M326" s="12" t="str">
        <v/>
      </c>
      <c r="N326" s="12" t="str">
        <v/>
      </c>
      <c r="O326" s="12" t="str">
        <v/>
      </c>
      <c r="P326" s="12" t="str">
        <f ca="1"/>
        <v/>
      </c>
    </row>
    <row r="327" spans="11:16" ht="13.2">
      <c r="K327" s="12" t="str">
        <v/>
      </c>
      <c r="L327" s="12" t="str">
        <v/>
      </c>
      <c r="M327" s="12" t="str">
        <v/>
      </c>
      <c r="N327" s="12" t="str">
        <v/>
      </c>
      <c r="O327" s="12" t="str">
        <v/>
      </c>
      <c r="P327" s="12" t="str">
        <f ca="1"/>
        <v/>
      </c>
    </row>
    <row r="328" spans="11:16" ht="13.2">
      <c r="K328" s="12" t="str">
        <v/>
      </c>
      <c r="L328" s="12" t="str">
        <v/>
      </c>
      <c r="M328" s="12" t="str">
        <v/>
      </c>
      <c r="N328" s="12" t="str">
        <v/>
      </c>
      <c r="O328" s="12" t="str">
        <v/>
      </c>
      <c r="P328" s="12" t="str">
        <f ca="1"/>
        <v/>
      </c>
    </row>
    <row r="329" spans="11:16" ht="13.2">
      <c r="K329" s="12" t="str">
        <v/>
      </c>
      <c r="L329" s="12" t="str">
        <v/>
      </c>
      <c r="M329" s="12" t="str">
        <v/>
      </c>
      <c r="N329" s="12" t="str">
        <v/>
      </c>
      <c r="O329" s="12" t="str">
        <v/>
      </c>
      <c r="P329" s="12" t="str">
        <f ca="1"/>
        <v/>
      </c>
    </row>
    <row r="330" spans="11:16" ht="13.2">
      <c r="K330" s="12" t="str">
        <v/>
      </c>
      <c r="L330" s="12" t="str">
        <v/>
      </c>
      <c r="M330" s="12" t="str">
        <v/>
      </c>
      <c r="N330" s="12" t="str">
        <v/>
      </c>
      <c r="O330" s="12" t="str">
        <v/>
      </c>
      <c r="P330" s="12" t="str">
        <f ca="1"/>
        <v/>
      </c>
    </row>
    <row r="331" spans="11:16" ht="13.2">
      <c r="K331" s="12" t="str">
        <v/>
      </c>
      <c r="L331" s="12" t="str">
        <v/>
      </c>
      <c r="M331" s="12" t="str">
        <v/>
      </c>
      <c r="N331" s="12" t="str">
        <v/>
      </c>
      <c r="O331" s="12" t="str">
        <v/>
      </c>
      <c r="P331" s="12" t="str">
        <f ca="1"/>
        <v/>
      </c>
    </row>
    <row r="332" spans="11:16" ht="13.2">
      <c r="K332" s="12" t="str">
        <v/>
      </c>
      <c r="L332" s="12" t="str">
        <v/>
      </c>
      <c r="M332" s="12" t="str">
        <v/>
      </c>
      <c r="N332" s="12" t="str">
        <v/>
      </c>
      <c r="O332" s="12" t="str">
        <v/>
      </c>
      <c r="P332" s="12" t="str">
        <f ca="1"/>
        <v/>
      </c>
    </row>
    <row r="333" spans="11:16" ht="13.2">
      <c r="K333" s="12" t="str">
        <v/>
      </c>
      <c r="L333" s="12" t="str">
        <v/>
      </c>
      <c r="M333" s="12" t="str">
        <v/>
      </c>
      <c r="N333" s="12" t="str">
        <v/>
      </c>
      <c r="O333" s="12" t="str">
        <v/>
      </c>
      <c r="P333" s="12" t="str">
        <f ca="1"/>
        <v/>
      </c>
    </row>
    <row r="334" spans="11:16" ht="13.2">
      <c r="K334" s="12" t="str">
        <v/>
      </c>
      <c r="L334" s="12" t="str">
        <v/>
      </c>
      <c r="M334" s="12" t="str">
        <v/>
      </c>
      <c r="N334" s="12" t="str">
        <v/>
      </c>
      <c r="O334" s="12" t="str">
        <v/>
      </c>
      <c r="P334" s="12" t="str">
        <f ca="1"/>
        <v/>
      </c>
    </row>
    <row r="335" spans="11:16" ht="13.2">
      <c r="K335" s="12" t="str">
        <v/>
      </c>
      <c r="L335" s="12" t="str">
        <v/>
      </c>
      <c r="M335" s="12" t="str">
        <v/>
      </c>
      <c r="N335" s="12" t="str">
        <v/>
      </c>
      <c r="O335" s="12" t="str">
        <v/>
      </c>
      <c r="P335" s="12" t="str">
        <f ca="1"/>
        <v/>
      </c>
    </row>
    <row r="336" spans="11:16" ht="13.2">
      <c r="K336" s="12" t="str">
        <v/>
      </c>
      <c r="L336" s="12" t="str">
        <v/>
      </c>
      <c r="M336" s="12" t="str">
        <v/>
      </c>
      <c r="N336" s="12" t="str">
        <v/>
      </c>
      <c r="O336" s="12" t="str">
        <v/>
      </c>
      <c r="P336" s="12" t="str">
        <f ca="1"/>
        <v/>
      </c>
    </row>
    <row r="337" spans="11:16" ht="13.2">
      <c r="K337" s="12" t="str">
        <v/>
      </c>
      <c r="L337" s="12" t="str">
        <v/>
      </c>
      <c r="M337" s="12" t="str">
        <v/>
      </c>
      <c r="N337" s="12" t="str">
        <v/>
      </c>
      <c r="O337" s="12" t="str">
        <v/>
      </c>
      <c r="P337" s="12" t="str">
        <f ca="1"/>
        <v/>
      </c>
    </row>
    <row r="338" spans="11:16" ht="13.2">
      <c r="K338" s="12" t="str">
        <v/>
      </c>
      <c r="L338" s="12" t="str">
        <v/>
      </c>
      <c r="M338" s="12" t="str">
        <v/>
      </c>
      <c r="N338" s="12" t="str">
        <v/>
      </c>
      <c r="O338" s="12" t="str">
        <v/>
      </c>
      <c r="P338" s="12" t="str">
        <f ca="1"/>
        <v/>
      </c>
    </row>
    <row r="339" spans="11:16" ht="13.2">
      <c r="K339" s="12" t="str">
        <v/>
      </c>
      <c r="L339" s="12" t="str">
        <v/>
      </c>
      <c r="M339" s="12" t="str">
        <v/>
      </c>
      <c r="N339" s="12" t="str">
        <v/>
      </c>
      <c r="O339" s="12" t="str">
        <v/>
      </c>
      <c r="P339" s="12" t="str">
        <f ca="1"/>
        <v/>
      </c>
    </row>
    <row r="340" spans="11:16" ht="13.2">
      <c r="K340" s="12" t="str">
        <v/>
      </c>
      <c r="L340" s="12" t="str">
        <v/>
      </c>
      <c r="M340" s="12" t="str">
        <v/>
      </c>
      <c r="N340" s="12" t="str">
        <v/>
      </c>
      <c r="O340" s="12" t="str">
        <v/>
      </c>
      <c r="P340" s="12" t="str">
        <f ca="1"/>
        <v/>
      </c>
    </row>
    <row r="341" spans="11:16" ht="13.2">
      <c r="K341" s="12" t="str">
        <v/>
      </c>
      <c r="L341" s="12" t="str">
        <v/>
      </c>
      <c r="M341" s="12" t="str">
        <v/>
      </c>
      <c r="N341" s="12" t="str">
        <v/>
      </c>
      <c r="O341" s="12" t="str">
        <v/>
      </c>
      <c r="P341" s="12" t="str">
        <f ca="1"/>
        <v/>
      </c>
    </row>
    <row r="342" spans="11:16" ht="13.2">
      <c r="K342" s="12" t="str">
        <v/>
      </c>
      <c r="L342" s="12" t="str">
        <v/>
      </c>
      <c r="M342" s="12" t="str">
        <v/>
      </c>
      <c r="N342" s="12" t="str">
        <v/>
      </c>
      <c r="O342" s="12" t="str">
        <v/>
      </c>
      <c r="P342" s="12" t="str">
        <f ca="1"/>
        <v/>
      </c>
    </row>
    <row r="343" spans="11:16" ht="13.2">
      <c r="K343" s="12" t="str">
        <v/>
      </c>
      <c r="L343" s="12" t="str">
        <v/>
      </c>
      <c r="M343" s="12" t="str">
        <v/>
      </c>
      <c r="N343" s="12" t="str">
        <v/>
      </c>
      <c r="O343" s="12" t="str">
        <v/>
      </c>
      <c r="P343" s="12" t="str">
        <f ca="1"/>
        <v/>
      </c>
    </row>
    <row r="344" spans="11:16" ht="13.2">
      <c r="K344" s="12" t="str">
        <v/>
      </c>
      <c r="L344" s="12" t="str">
        <v/>
      </c>
      <c r="M344" s="12" t="str">
        <v/>
      </c>
      <c r="N344" s="12" t="str">
        <v/>
      </c>
      <c r="O344" s="12" t="str">
        <v/>
      </c>
      <c r="P344" s="12" t="str">
        <f ca="1"/>
        <v/>
      </c>
    </row>
    <row r="345" spans="11:16" ht="13.2">
      <c r="K345" s="12" t="str">
        <v/>
      </c>
      <c r="L345" s="12" t="str">
        <v/>
      </c>
      <c r="M345" s="12" t="str">
        <v/>
      </c>
      <c r="N345" s="12" t="str">
        <v/>
      </c>
      <c r="O345" s="12" t="str">
        <v/>
      </c>
      <c r="P345" s="12" t="str">
        <f ca="1"/>
        <v/>
      </c>
    </row>
    <row r="346" spans="11:16" ht="13.2">
      <c r="K346" s="12" t="str">
        <v/>
      </c>
      <c r="L346" s="12" t="str">
        <v/>
      </c>
      <c r="M346" s="12" t="str">
        <v/>
      </c>
      <c r="N346" s="12" t="str">
        <v/>
      </c>
      <c r="O346" s="12" t="str">
        <v/>
      </c>
      <c r="P346" s="12" t="str">
        <f ca="1"/>
        <v/>
      </c>
    </row>
    <row r="347" spans="11:16" ht="13.2">
      <c r="K347" s="12" t="str">
        <v/>
      </c>
      <c r="L347" s="12" t="str">
        <v/>
      </c>
      <c r="M347" s="12" t="str">
        <v/>
      </c>
      <c r="N347" s="12" t="str">
        <v/>
      </c>
      <c r="O347" s="12" t="str">
        <v/>
      </c>
      <c r="P347" s="12" t="str">
        <f ca="1"/>
        <v/>
      </c>
    </row>
    <row r="348" spans="11:16" ht="13.2">
      <c r="K348" s="12" t="str">
        <v/>
      </c>
      <c r="L348" s="12" t="str">
        <v/>
      </c>
      <c r="M348" s="12" t="str">
        <v/>
      </c>
      <c r="N348" s="12" t="str">
        <v/>
      </c>
      <c r="O348" s="12" t="str">
        <v/>
      </c>
      <c r="P348" s="12" t="str">
        <f ca="1"/>
        <v/>
      </c>
    </row>
    <row r="349" spans="11:16" ht="13.2">
      <c r="K349" s="12" t="str">
        <v/>
      </c>
      <c r="L349" s="12" t="str">
        <v/>
      </c>
      <c r="M349" s="12" t="str">
        <v/>
      </c>
      <c r="N349" s="12" t="str">
        <v/>
      </c>
      <c r="O349" s="12" t="str">
        <v/>
      </c>
      <c r="P349" s="12" t="str">
        <f ca="1"/>
        <v/>
      </c>
    </row>
    <row r="350" spans="11:16" ht="13.2">
      <c r="K350" s="12" t="str">
        <v/>
      </c>
      <c r="L350" s="12" t="str">
        <v/>
      </c>
      <c r="M350" s="12" t="str">
        <v/>
      </c>
      <c r="N350" s="12" t="str">
        <v/>
      </c>
      <c r="O350" s="12" t="str">
        <v/>
      </c>
      <c r="P350" s="12" t="str">
        <f ca="1"/>
        <v/>
      </c>
    </row>
    <row r="351" spans="11:16" ht="13.2">
      <c r="K351" s="12" t="str">
        <v/>
      </c>
      <c r="L351" s="12" t="str">
        <v/>
      </c>
      <c r="M351" s="12" t="str">
        <v/>
      </c>
      <c r="N351" s="12" t="str">
        <v/>
      </c>
      <c r="O351" s="12" t="str">
        <v/>
      </c>
      <c r="P351" s="12" t="str">
        <f ca="1"/>
        <v/>
      </c>
    </row>
    <row r="352" spans="11:16" ht="13.2">
      <c r="K352" s="12" t="str">
        <v/>
      </c>
      <c r="L352" s="12" t="str">
        <v/>
      </c>
      <c r="M352" s="12" t="str">
        <v/>
      </c>
      <c r="N352" s="12" t="str">
        <v/>
      </c>
      <c r="O352" s="12" t="str">
        <v/>
      </c>
      <c r="P352" s="12" t="str">
        <f ca="1"/>
        <v/>
      </c>
    </row>
    <row r="353" spans="11:16" ht="13.2">
      <c r="K353" s="12" t="str">
        <v/>
      </c>
      <c r="L353" s="12" t="str">
        <v/>
      </c>
      <c r="M353" s="12" t="str">
        <v/>
      </c>
      <c r="N353" s="12" t="str">
        <v/>
      </c>
      <c r="O353" s="12" t="str">
        <v/>
      </c>
      <c r="P353" s="12" t="str">
        <f ca="1"/>
        <v/>
      </c>
    </row>
    <row r="354" spans="11:16" ht="13.2">
      <c r="K354" s="12" t="str">
        <v/>
      </c>
      <c r="L354" s="12" t="str">
        <v/>
      </c>
      <c r="M354" s="12" t="str">
        <v/>
      </c>
      <c r="N354" s="12" t="str">
        <v/>
      </c>
      <c r="O354" s="12" t="str">
        <v/>
      </c>
      <c r="P354" s="12" t="str">
        <f ca="1"/>
        <v/>
      </c>
    </row>
    <row r="355" spans="11:16" ht="13.2">
      <c r="K355" s="12" t="str">
        <v/>
      </c>
      <c r="L355" s="12" t="str">
        <v/>
      </c>
      <c r="M355" s="12" t="str">
        <v/>
      </c>
      <c r="N355" s="12" t="str">
        <v/>
      </c>
      <c r="O355" s="12" t="str">
        <v/>
      </c>
      <c r="P355" s="12" t="str">
        <f ca="1"/>
        <v/>
      </c>
    </row>
    <row r="356" spans="11:16" ht="13.2">
      <c r="K356" s="12" t="str">
        <v/>
      </c>
      <c r="L356" s="12" t="str">
        <v/>
      </c>
      <c r="M356" s="12" t="str">
        <v/>
      </c>
      <c r="N356" s="12" t="str">
        <v/>
      </c>
      <c r="O356" s="12" t="str">
        <v/>
      </c>
      <c r="P356" s="12" t="str">
        <f ca="1"/>
        <v/>
      </c>
    </row>
    <row r="357" spans="11:16" ht="13.2">
      <c r="K357" s="12" t="str">
        <v/>
      </c>
      <c r="L357" s="12" t="str">
        <v/>
      </c>
      <c r="M357" s="12" t="str">
        <v/>
      </c>
      <c r="N357" s="12" t="str">
        <v/>
      </c>
      <c r="O357" s="12" t="str">
        <v/>
      </c>
      <c r="P357" s="12" t="str">
        <f ca="1"/>
        <v/>
      </c>
    </row>
    <row r="358" spans="11:16" ht="13.2">
      <c r="K358" s="12" t="str">
        <v/>
      </c>
      <c r="L358" s="12" t="str">
        <v/>
      </c>
      <c r="M358" s="12" t="str">
        <v/>
      </c>
      <c r="N358" s="12" t="str">
        <v/>
      </c>
      <c r="O358" s="12" t="str">
        <v/>
      </c>
      <c r="P358" s="12" t="str">
        <f ca="1"/>
        <v/>
      </c>
    </row>
    <row r="359" spans="11:16" ht="13.2">
      <c r="K359" s="12" t="str">
        <v/>
      </c>
      <c r="L359" s="12" t="str">
        <v/>
      </c>
      <c r="M359" s="12" t="str">
        <v/>
      </c>
      <c r="N359" s="12" t="str">
        <v/>
      </c>
      <c r="O359" s="12" t="str">
        <v/>
      </c>
      <c r="P359" s="12" t="str">
        <f ca="1"/>
        <v/>
      </c>
    </row>
    <row r="360" spans="11:16" ht="13.2">
      <c r="K360" s="12" t="str">
        <v/>
      </c>
      <c r="L360" s="12" t="str">
        <v/>
      </c>
      <c r="M360" s="12" t="str">
        <v/>
      </c>
      <c r="N360" s="12" t="str">
        <v/>
      </c>
      <c r="O360" s="12" t="str">
        <v/>
      </c>
      <c r="P360" s="12" t="str">
        <f ca="1"/>
        <v/>
      </c>
    </row>
    <row r="361" spans="11:16" ht="13.2">
      <c r="K361" s="12" t="str">
        <v/>
      </c>
      <c r="L361" s="12" t="str">
        <v/>
      </c>
      <c r="M361" s="12" t="str">
        <v/>
      </c>
      <c r="N361" s="12" t="str">
        <v/>
      </c>
      <c r="O361" s="12" t="str">
        <v/>
      </c>
      <c r="P361" s="12" t="str">
        <f ca="1"/>
        <v/>
      </c>
    </row>
    <row r="362" spans="11:16" ht="13.2">
      <c r="K362" s="12" t="str">
        <v/>
      </c>
      <c r="L362" s="12" t="str">
        <v/>
      </c>
      <c r="M362" s="12" t="str">
        <v/>
      </c>
      <c r="N362" s="12" t="str">
        <v/>
      </c>
      <c r="O362" s="12" t="str">
        <v/>
      </c>
      <c r="P362" s="12" t="str">
        <f ca="1"/>
        <v/>
      </c>
    </row>
    <row r="363" spans="11:16" ht="13.2">
      <c r="K363" s="12" t="str">
        <v/>
      </c>
      <c r="L363" s="12" t="str">
        <v/>
      </c>
      <c r="M363" s="12" t="str">
        <v/>
      </c>
      <c r="N363" s="12" t="str">
        <v/>
      </c>
      <c r="O363" s="12" t="str">
        <v/>
      </c>
      <c r="P363" s="12" t="str">
        <f ca="1"/>
        <v/>
      </c>
    </row>
    <row r="364" spans="11:16" ht="13.2">
      <c r="K364" s="12" t="str">
        <v/>
      </c>
      <c r="L364" s="12" t="str">
        <v/>
      </c>
      <c r="M364" s="12" t="str">
        <v/>
      </c>
      <c r="N364" s="12" t="str">
        <v/>
      </c>
      <c r="O364" s="12" t="str">
        <v/>
      </c>
      <c r="P364" s="12" t="str">
        <f ca="1"/>
        <v/>
      </c>
    </row>
    <row r="365" spans="11:16" ht="13.2">
      <c r="K365" s="12" t="str">
        <v/>
      </c>
      <c r="L365" s="12" t="str">
        <v/>
      </c>
      <c r="M365" s="12" t="str">
        <v/>
      </c>
      <c r="N365" s="12" t="str">
        <v/>
      </c>
      <c r="O365" s="12" t="str">
        <v/>
      </c>
      <c r="P365" s="12" t="str">
        <f ca="1"/>
        <v/>
      </c>
    </row>
    <row r="366" spans="11:16" ht="13.2">
      <c r="K366" s="12" t="str">
        <v/>
      </c>
      <c r="L366" s="12" t="str">
        <v/>
      </c>
      <c r="M366" s="12" t="str">
        <v/>
      </c>
      <c r="N366" s="12" t="str">
        <v/>
      </c>
      <c r="O366" s="12" t="str">
        <v/>
      </c>
      <c r="P366" s="12" t="str">
        <f ca="1"/>
        <v/>
      </c>
    </row>
    <row r="367" spans="11:16" ht="13.2">
      <c r="K367" s="12" t="str">
        <v/>
      </c>
      <c r="L367" s="12" t="str">
        <v/>
      </c>
      <c r="M367" s="12" t="str">
        <v/>
      </c>
      <c r="N367" s="12" t="str">
        <v/>
      </c>
      <c r="O367" s="12" t="str">
        <v/>
      </c>
      <c r="P367" s="12" t="str">
        <f ca="1"/>
        <v/>
      </c>
    </row>
    <row r="368" spans="11:16" ht="13.2">
      <c r="K368" s="12" t="str">
        <v/>
      </c>
      <c r="L368" s="12" t="str">
        <v/>
      </c>
      <c r="M368" s="12" t="str">
        <v/>
      </c>
      <c r="N368" s="12" t="str">
        <v/>
      </c>
      <c r="O368" s="12" t="str">
        <v/>
      </c>
      <c r="P368" s="12" t="str">
        <f ca="1"/>
        <v/>
      </c>
    </row>
    <row r="369" spans="11:16" ht="13.2">
      <c r="K369" s="12" t="str">
        <v/>
      </c>
      <c r="L369" s="12" t="str">
        <v/>
      </c>
      <c r="M369" s="12" t="str">
        <v/>
      </c>
      <c r="N369" s="12" t="str">
        <v/>
      </c>
      <c r="O369" s="12" t="str">
        <v/>
      </c>
      <c r="P369" s="12" t="str">
        <f ca="1"/>
        <v/>
      </c>
    </row>
    <row r="370" spans="11:16" ht="13.2">
      <c r="K370" s="12" t="str">
        <v/>
      </c>
      <c r="L370" s="12" t="str">
        <v/>
      </c>
      <c r="M370" s="12" t="str">
        <v/>
      </c>
      <c r="N370" s="12" t="str">
        <v/>
      </c>
      <c r="O370" s="12" t="str">
        <v/>
      </c>
      <c r="P370" s="12" t="str">
        <f ca="1"/>
        <v/>
      </c>
    </row>
    <row r="371" spans="11:16" ht="13.2">
      <c r="K371" s="12" t="str">
        <v/>
      </c>
      <c r="L371" s="12" t="str">
        <v/>
      </c>
      <c r="M371" s="12" t="str">
        <v/>
      </c>
      <c r="N371" s="12" t="str">
        <v/>
      </c>
      <c r="O371" s="12" t="str">
        <v/>
      </c>
      <c r="P371" s="12" t="str">
        <f ca="1"/>
        <v/>
      </c>
    </row>
    <row r="372" spans="11:16" ht="13.2">
      <c r="K372" s="12" t="str">
        <v/>
      </c>
      <c r="L372" s="12" t="str">
        <v/>
      </c>
      <c r="M372" s="12" t="str">
        <v/>
      </c>
      <c r="N372" s="12" t="str">
        <v/>
      </c>
      <c r="O372" s="12" t="str">
        <v/>
      </c>
      <c r="P372" s="12" t="str">
        <f ca="1"/>
        <v/>
      </c>
    </row>
    <row r="373" spans="11:16" ht="13.2">
      <c r="K373" s="12" t="str">
        <v/>
      </c>
      <c r="L373" s="12" t="str">
        <v/>
      </c>
      <c r="M373" s="12" t="str">
        <v/>
      </c>
      <c r="N373" s="12" t="str">
        <v/>
      </c>
      <c r="O373" s="12" t="str">
        <v/>
      </c>
      <c r="P373" s="12" t="str">
        <f ca="1"/>
        <v/>
      </c>
    </row>
    <row r="374" spans="11:16" ht="13.2">
      <c r="K374" s="12" t="str">
        <v/>
      </c>
      <c r="L374" s="12" t="str">
        <v/>
      </c>
      <c r="M374" s="12" t="str">
        <v/>
      </c>
      <c r="N374" s="12" t="str">
        <v/>
      </c>
      <c r="O374" s="12" t="str">
        <v/>
      </c>
      <c r="P374" s="12" t="str">
        <f ca="1"/>
        <v/>
      </c>
    </row>
    <row r="375" spans="11:16" ht="13.2">
      <c r="K375" s="12" t="str">
        <v/>
      </c>
      <c r="L375" s="12" t="str">
        <v/>
      </c>
      <c r="M375" s="12" t="str">
        <v/>
      </c>
      <c r="N375" s="12" t="str">
        <v/>
      </c>
      <c r="O375" s="12" t="str">
        <v/>
      </c>
      <c r="P375" s="12" t="str">
        <f ca="1"/>
        <v/>
      </c>
    </row>
    <row r="376" spans="11:16" ht="13.2">
      <c r="K376" s="12" t="str">
        <v/>
      </c>
      <c r="L376" s="12" t="str">
        <v/>
      </c>
      <c r="M376" s="12" t="str">
        <v/>
      </c>
      <c r="N376" s="12" t="str">
        <v/>
      </c>
      <c r="O376" s="12" t="str">
        <v/>
      </c>
      <c r="P376" s="12" t="str">
        <f ca="1"/>
        <v/>
      </c>
    </row>
    <row r="377" spans="11:16" ht="13.2">
      <c r="K377" s="12" t="str">
        <v/>
      </c>
      <c r="L377" s="12" t="str">
        <v/>
      </c>
      <c r="M377" s="12" t="str">
        <v/>
      </c>
      <c r="N377" s="12" t="str">
        <v/>
      </c>
      <c r="O377" s="12" t="str">
        <v/>
      </c>
      <c r="P377" s="12" t="str">
        <f ca="1"/>
        <v/>
      </c>
    </row>
    <row r="378" spans="11:16" ht="13.2">
      <c r="K378" s="12" t="str">
        <v/>
      </c>
      <c r="L378" s="12" t="str">
        <v/>
      </c>
      <c r="M378" s="12" t="str">
        <v/>
      </c>
      <c r="N378" s="12" t="str">
        <v/>
      </c>
      <c r="O378" s="12" t="str">
        <v/>
      </c>
      <c r="P378" s="12" t="str">
        <f ca="1"/>
        <v/>
      </c>
    </row>
    <row r="379" spans="11:16" ht="13.2">
      <c r="K379" s="12" t="str">
        <v/>
      </c>
      <c r="L379" s="12" t="str">
        <v/>
      </c>
      <c r="M379" s="12" t="str">
        <v/>
      </c>
      <c r="N379" s="12" t="str">
        <v/>
      </c>
      <c r="O379" s="12" t="str">
        <v/>
      </c>
      <c r="P379" s="12" t="str">
        <f ca="1"/>
        <v/>
      </c>
    </row>
    <row r="380" spans="11:16" ht="13.2">
      <c r="K380" s="12" t="str">
        <v/>
      </c>
      <c r="L380" s="12" t="str">
        <v/>
      </c>
      <c r="M380" s="12" t="str">
        <v/>
      </c>
      <c r="N380" s="12" t="str">
        <v/>
      </c>
      <c r="O380" s="12" t="str">
        <v/>
      </c>
      <c r="P380" s="12" t="str">
        <f ca="1"/>
        <v/>
      </c>
    </row>
    <row r="381" spans="11:16" ht="13.2">
      <c r="K381" s="12" t="str">
        <v/>
      </c>
      <c r="L381" s="12" t="str">
        <v/>
      </c>
      <c r="M381" s="12" t="str">
        <v/>
      </c>
      <c r="N381" s="12" t="str">
        <v/>
      </c>
      <c r="O381" s="12" t="str">
        <v/>
      </c>
      <c r="P381" s="12" t="str">
        <f ca="1"/>
        <v/>
      </c>
    </row>
    <row r="382" spans="11:16" ht="13.2">
      <c r="K382" s="12" t="str">
        <v/>
      </c>
      <c r="L382" s="12" t="str">
        <v/>
      </c>
      <c r="M382" s="12" t="str">
        <v/>
      </c>
      <c r="N382" s="12" t="str">
        <v/>
      </c>
      <c r="O382" s="12" t="str">
        <v/>
      </c>
      <c r="P382" s="12" t="str">
        <f ca="1"/>
        <v/>
      </c>
    </row>
    <row r="383" spans="11:16" ht="13.2">
      <c r="K383" s="12" t="str">
        <v/>
      </c>
      <c r="L383" s="12" t="str">
        <v/>
      </c>
      <c r="M383" s="12" t="str">
        <v/>
      </c>
      <c r="N383" s="12" t="str">
        <v/>
      </c>
      <c r="O383" s="12" t="str">
        <v/>
      </c>
      <c r="P383" s="12" t="str">
        <f ca="1"/>
        <v/>
      </c>
    </row>
    <row r="384" spans="11:16" ht="13.2">
      <c r="K384" s="12" t="str">
        <v/>
      </c>
      <c r="L384" s="12" t="str">
        <v/>
      </c>
      <c r="M384" s="12" t="str">
        <v/>
      </c>
      <c r="N384" s="12" t="str">
        <v/>
      </c>
      <c r="O384" s="12" t="str">
        <v/>
      </c>
      <c r="P384" s="12" t="str">
        <f ca="1"/>
        <v/>
      </c>
    </row>
    <row r="385" spans="11:16" ht="13.2">
      <c r="K385" s="12" t="str">
        <v/>
      </c>
      <c r="L385" s="12" t="str">
        <v/>
      </c>
      <c r="M385" s="12" t="str">
        <v/>
      </c>
      <c r="N385" s="12" t="str">
        <v/>
      </c>
      <c r="O385" s="12" t="str">
        <v/>
      </c>
      <c r="P385" s="12" t="str">
        <f ca="1"/>
        <v/>
      </c>
    </row>
    <row r="386" spans="11:16" ht="13.2">
      <c r="K386" s="12" t="str">
        <v/>
      </c>
      <c r="L386" s="12" t="str">
        <v/>
      </c>
      <c r="M386" s="12" t="str">
        <v/>
      </c>
      <c r="N386" s="12" t="str">
        <v/>
      </c>
      <c r="O386" s="12" t="str">
        <v/>
      </c>
      <c r="P386" s="12" t="str">
        <f ca="1"/>
        <v/>
      </c>
    </row>
    <row r="387" spans="11:16" ht="13.2">
      <c r="K387" s="12" t="str">
        <v/>
      </c>
      <c r="L387" s="12" t="str">
        <v/>
      </c>
      <c r="M387" s="12" t="str">
        <v/>
      </c>
      <c r="N387" s="12" t="str">
        <v/>
      </c>
      <c r="O387" s="12" t="str">
        <v/>
      </c>
      <c r="P387" s="12" t="str">
        <f ca="1"/>
        <v/>
      </c>
    </row>
    <row r="388" spans="11:16" ht="13.2">
      <c r="K388" s="12" t="str">
        <v/>
      </c>
      <c r="L388" s="12" t="str">
        <v/>
      </c>
      <c r="M388" s="12" t="str">
        <v/>
      </c>
      <c r="N388" s="12" t="str">
        <v/>
      </c>
      <c r="O388" s="12" t="str">
        <v/>
      </c>
      <c r="P388" s="12" t="str">
        <f ca="1"/>
        <v/>
      </c>
    </row>
    <row r="389" spans="11:16" ht="13.2">
      <c r="K389" s="12" t="str">
        <v/>
      </c>
      <c r="L389" s="12" t="str">
        <v/>
      </c>
      <c r="M389" s="12" t="str">
        <v/>
      </c>
      <c r="N389" s="12" t="str">
        <v/>
      </c>
      <c r="O389" s="12" t="str">
        <v/>
      </c>
      <c r="P389" s="12" t="str">
        <f ca="1"/>
        <v/>
      </c>
    </row>
    <row r="390" spans="11:16" ht="13.2">
      <c r="K390" s="12" t="str">
        <v/>
      </c>
      <c r="L390" s="12" t="str">
        <v/>
      </c>
      <c r="M390" s="12" t="str">
        <v/>
      </c>
      <c r="N390" s="12" t="str">
        <v/>
      </c>
      <c r="O390" s="12" t="str">
        <v/>
      </c>
      <c r="P390" s="12" t="str">
        <f ca="1"/>
        <v/>
      </c>
    </row>
    <row r="391" spans="11:16" ht="13.2">
      <c r="K391" s="12" t="str">
        <v/>
      </c>
      <c r="L391" s="12" t="str">
        <v/>
      </c>
      <c r="M391" s="12" t="str">
        <v/>
      </c>
      <c r="N391" s="12" t="str">
        <v/>
      </c>
      <c r="O391" s="12" t="str">
        <v/>
      </c>
      <c r="P391" s="12" t="str">
        <f ca="1"/>
        <v/>
      </c>
    </row>
    <row r="392" spans="11:16" ht="13.2">
      <c r="K392" s="12" t="str">
        <v/>
      </c>
      <c r="L392" s="12" t="str">
        <v/>
      </c>
      <c r="M392" s="12" t="str">
        <v/>
      </c>
      <c r="N392" s="12" t="str">
        <v/>
      </c>
      <c r="O392" s="12" t="str">
        <v/>
      </c>
      <c r="P392" s="12" t="str">
        <f ca="1"/>
        <v/>
      </c>
    </row>
    <row r="393" spans="11:16" ht="13.2">
      <c r="K393" s="12" t="str">
        <v/>
      </c>
      <c r="L393" s="12" t="str">
        <v/>
      </c>
      <c r="M393" s="12" t="str">
        <v/>
      </c>
      <c r="N393" s="12" t="str">
        <v/>
      </c>
      <c r="O393" s="12" t="str">
        <v/>
      </c>
      <c r="P393" s="12" t="str">
        <f ca="1"/>
        <v/>
      </c>
    </row>
    <row r="394" spans="11:16" ht="13.2">
      <c r="K394" s="12" t="str">
        <v/>
      </c>
      <c r="L394" s="12" t="str">
        <v/>
      </c>
      <c r="M394" s="12" t="str">
        <v/>
      </c>
      <c r="N394" s="12" t="str">
        <v/>
      </c>
      <c r="O394" s="12" t="str">
        <v/>
      </c>
      <c r="P394" s="12" t="str">
        <f ca="1"/>
        <v/>
      </c>
    </row>
    <row r="395" spans="11:16" ht="13.2">
      <c r="K395" s="12" t="str">
        <v/>
      </c>
      <c r="L395" s="12" t="str">
        <v/>
      </c>
      <c r="M395" s="12" t="str">
        <v/>
      </c>
      <c r="N395" s="12" t="str">
        <v/>
      </c>
      <c r="O395" s="12" t="str">
        <v/>
      </c>
      <c r="P395" s="12" t="str">
        <f ca="1"/>
        <v/>
      </c>
    </row>
    <row r="396" spans="11:16" ht="13.2">
      <c r="K396" s="12" t="str">
        <v/>
      </c>
      <c r="L396" s="12" t="str">
        <v/>
      </c>
      <c r="M396" s="12" t="str">
        <v/>
      </c>
      <c r="N396" s="12" t="str">
        <v/>
      </c>
      <c r="O396" s="12" t="str">
        <v/>
      </c>
      <c r="P396" s="12" t="str">
        <f ca="1"/>
        <v/>
      </c>
    </row>
    <row r="397" spans="11:16" ht="13.2">
      <c r="K397" s="12" t="str">
        <v/>
      </c>
      <c r="L397" s="12" t="str">
        <v/>
      </c>
      <c r="M397" s="12" t="str">
        <v/>
      </c>
      <c r="N397" s="12" t="str">
        <v/>
      </c>
      <c r="O397" s="12" t="str">
        <v/>
      </c>
      <c r="P397" s="12" t="str">
        <f ca="1"/>
        <v/>
      </c>
    </row>
    <row r="398" spans="11:16" ht="13.2">
      <c r="K398" s="12" t="str">
        <v/>
      </c>
      <c r="L398" s="12" t="str">
        <v/>
      </c>
      <c r="M398" s="12" t="str">
        <v/>
      </c>
      <c r="N398" s="12" t="str">
        <v/>
      </c>
      <c r="O398" s="12" t="str">
        <v/>
      </c>
      <c r="P398" s="12" t="str">
        <f ca="1"/>
        <v/>
      </c>
    </row>
    <row r="399" spans="11:16" ht="13.2">
      <c r="K399" s="12" t="str">
        <v/>
      </c>
      <c r="L399" s="12" t="str">
        <v/>
      </c>
      <c r="M399" s="12" t="str">
        <v/>
      </c>
      <c r="N399" s="12" t="str">
        <v/>
      </c>
      <c r="O399" s="12" t="str">
        <v/>
      </c>
      <c r="P399" s="12" t="str">
        <f ca="1"/>
        <v/>
      </c>
    </row>
    <row r="400" spans="11:16" ht="13.2">
      <c r="K400" s="12" t="str">
        <v/>
      </c>
      <c r="L400" s="12" t="str">
        <v/>
      </c>
      <c r="M400" s="12" t="str">
        <v/>
      </c>
      <c r="N400" s="12" t="str">
        <v/>
      </c>
      <c r="O400" s="12" t="str">
        <v/>
      </c>
      <c r="P400" s="12" t="str">
        <f ca="1"/>
        <v/>
      </c>
    </row>
    <row r="401" spans="11:16" ht="13.2">
      <c r="K401" s="12" t="str">
        <v/>
      </c>
      <c r="L401" s="12" t="str">
        <v/>
      </c>
      <c r="M401" s="12" t="str">
        <v/>
      </c>
      <c r="N401" s="12" t="str">
        <v/>
      </c>
      <c r="O401" s="12" t="str">
        <v/>
      </c>
      <c r="P401" s="12" t="str">
        <f ca="1"/>
        <v/>
      </c>
    </row>
    <row r="402" spans="11:16" ht="13.2">
      <c r="K402" s="12" t="str">
        <v/>
      </c>
      <c r="L402" s="12" t="str">
        <v/>
      </c>
      <c r="M402" s="12" t="str">
        <v/>
      </c>
      <c r="N402" s="12" t="str">
        <v/>
      </c>
      <c r="O402" s="12" t="str">
        <v/>
      </c>
      <c r="P402" s="12" t="str">
        <f ca="1"/>
        <v/>
      </c>
    </row>
    <row r="403" spans="11:16" ht="13.2">
      <c r="K403" s="12" t="str">
        <v/>
      </c>
      <c r="L403" s="12" t="str">
        <v/>
      </c>
      <c r="M403" s="12" t="str">
        <v/>
      </c>
      <c r="N403" s="12" t="str">
        <v/>
      </c>
      <c r="O403" s="12" t="str">
        <v/>
      </c>
      <c r="P403" s="12" t="str">
        <f ca="1"/>
        <v/>
      </c>
    </row>
    <row r="404" spans="11:16" ht="13.2">
      <c r="K404" s="12" t="str">
        <v/>
      </c>
      <c r="L404" s="12" t="str">
        <v/>
      </c>
      <c r="M404" s="12" t="str">
        <v/>
      </c>
      <c r="N404" s="12" t="str">
        <v/>
      </c>
      <c r="O404" s="12" t="str">
        <v/>
      </c>
      <c r="P404" s="12" t="str">
        <f ca="1"/>
        <v/>
      </c>
    </row>
    <row r="405" spans="11:16" ht="13.2">
      <c r="K405" s="12" t="str">
        <v/>
      </c>
      <c r="L405" s="12" t="str">
        <v/>
      </c>
      <c r="M405" s="12" t="str">
        <v/>
      </c>
      <c r="N405" s="12" t="str">
        <v/>
      </c>
      <c r="O405" s="12" t="str">
        <v/>
      </c>
      <c r="P405" s="12" t="str">
        <f ca="1"/>
        <v/>
      </c>
    </row>
    <row r="406" spans="11:16" ht="13.2">
      <c r="K406" s="12" t="str">
        <v/>
      </c>
      <c r="L406" s="12" t="str">
        <v/>
      </c>
      <c r="M406" s="12" t="str">
        <v/>
      </c>
      <c r="N406" s="12" t="str">
        <v/>
      </c>
      <c r="O406" s="12" t="str">
        <v/>
      </c>
      <c r="P406" s="12" t="str">
        <f ca="1"/>
        <v/>
      </c>
    </row>
    <row r="407" spans="11:16" ht="13.2">
      <c r="K407" s="12" t="str">
        <v/>
      </c>
      <c r="L407" s="12" t="str">
        <v/>
      </c>
      <c r="M407" s="12" t="str">
        <v/>
      </c>
      <c r="N407" s="12" t="str">
        <v/>
      </c>
      <c r="O407" s="12" t="str">
        <v/>
      </c>
      <c r="P407" s="12" t="str">
        <f ca="1"/>
        <v/>
      </c>
    </row>
    <row r="408" spans="11:16" ht="13.2">
      <c r="K408" s="12" t="str">
        <v/>
      </c>
      <c r="L408" s="12" t="str">
        <v/>
      </c>
      <c r="M408" s="12" t="str">
        <v/>
      </c>
      <c r="N408" s="12" t="str">
        <v/>
      </c>
      <c r="O408" s="12" t="str">
        <v/>
      </c>
      <c r="P408" s="12" t="str">
        <f ca="1"/>
        <v/>
      </c>
    </row>
    <row r="409" spans="11:16" ht="13.2">
      <c r="K409" s="12" t="str">
        <v/>
      </c>
      <c r="L409" s="12" t="str">
        <v/>
      </c>
      <c r="M409" s="12" t="str">
        <v/>
      </c>
      <c r="N409" s="12" t="str">
        <v/>
      </c>
      <c r="O409" s="12" t="str">
        <v/>
      </c>
      <c r="P409" s="12" t="str">
        <f ca="1"/>
        <v/>
      </c>
    </row>
    <row r="410" spans="11:16" ht="13.2">
      <c r="K410" s="12" t="str">
        <v/>
      </c>
      <c r="L410" s="12" t="str">
        <v/>
      </c>
      <c r="M410" s="12" t="str">
        <v/>
      </c>
      <c r="N410" s="12" t="str">
        <v/>
      </c>
      <c r="O410" s="12" t="str">
        <v/>
      </c>
      <c r="P410" s="12" t="str">
        <f ca="1"/>
        <v/>
      </c>
    </row>
    <row r="411" spans="11:16" ht="13.2">
      <c r="K411" s="12" t="str">
        <v/>
      </c>
      <c r="L411" s="12" t="str">
        <v/>
      </c>
      <c r="M411" s="12" t="str">
        <v/>
      </c>
      <c r="N411" s="12" t="str">
        <v/>
      </c>
      <c r="O411" s="12" t="str">
        <v/>
      </c>
      <c r="P411" s="12" t="str">
        <f ca="1"/>
        <v/>
      </c>
    </row>
    <row r="412" spans="11:16" ht="13.2">
      <c r="K412" s="12" t="str">
        <v/>
      </c>
      <c r="L412" s="12" t="str">
        <v/>
      </c>
      <c r="M412" s="12" t="str">
        <v/>
      </c>
      <c r="N412" s="12" t="str">
        <v/>
      </c>
      <c r="O412" s="12" t="str">
        <v/>
      </c>
      <c r="P412" s="12" t="str">
        <f ca="1"/>
        <v/>
      </c>
    </row>
    <row r="413" spans="11:16" ht="13.2">
      <c r="K413" s="12" t="str">
        <v/>
      </c>
      <c r="L413" s="12" t="str">
        <v/>
      </c>
      <c r="M413" s="12" t="str">
        <v/>
      </c>
      <c r="N413" s="12" t="str">
        <v/>
      </c>
      <c r="O413" s="12" t="str">
        <v/>
      </c>
      <c r="P413" s="12" t="str">
        <f ca="1"/>
        <v/>
      </c>
    </row>
    <row r="414" spans="11:16" ht="13.2">
      <c r="K414" s="12" t="str">
        <v/>
      </c>
      <c r="L414" s="12" t="str">
        <v/>
      </c>
      <c r="M414" s="12" t="str">
        <v/>
      </c>
      <c r="N414" s="12" t="str">
        <v/>
      </c>
      <c r="O414" s="12" t="str">
        <v/>
      </c>
      <c r="P414" s="12" t="str">
        <f ca="1"/>
        <v/>
      </c>
    </row>
    <row r="415" spans="11:16" ht="13.2">
      <c r="K415" s="12" t="str">
        <v/>
      </c>
      <c r="L415" s="12" t="str">
        <v/>
      </c>
      <c r="M415" s="12" t="str">
        <v/>
      </c>
      <c r="N415" s="12" t="str">
        <v/>
      </c>
      <c r="O415" s="12" t="str">
        <v/>
      </c>
      <c r="P415" s="12" t="str">
        <f ca="1"/>
        <v/>
      </c>
    </row>
    <row r="416" spans="11:16" ht="13.2">
      <c r="K416" s="12" t="str">
        <v/>
      </c>
      <c r="L416" s="12" t="str">
        <v/>
      </c>
      <c r="M416" s="12" t="str">
        <v/>
      </c>
      <c r="N416" s="12" t="str">
        <v/>
      </c>
      <c r="O416" s="12" t="str">
        <v/>
      </c>
      <c r="P416" s="12" t="str">
        <f ca="1"/>
        <v/>
      </c>
    </row>
    <row r="417" spans="11:16" ht="13.2">
      <c r="K417" s="12" t="str">
        <v/>
      </c>
      <c r="L417" s="12" t="str">
        <v/>
      </c>
      <c r="M417" s="12" t="str">
        <v/>
      </c>
      <c r="N417" s="12" t="str">
        <v/>
      </c>
      <c r="O417" s="12" t="str">
        <v/>
      </c>
      <c r="P417" s="12" t="str">
        <f ca="1"/>
        <v/>
      </c>
    </row>
    <row r="418" spans="11:16" ht="13.2">
      <c r="K418" s="12" t="str">
        <v/>
      </c>
      <c r="L418" s="12" t="str">
        <v/>
      </c>
      <c r="M418" s="12" t="str">
        <v/>
      </c>
      <c r="N418" s="12" t="str">
        <v/>
      </c>
      <c r="O418" s="12" t="str">
        <v/>
      </c>
      <c r="P418" s="12" t="str">
        <f ca="1"/>
        <v/>
      </c>
    </row>
    <row r="419" spans="11:16" ht="13.2">
      <c r="K419" s="12" t="str">
        <v/>
      </c>
      <c r="L419" s="12" t="str">
        <v/>
      </c>
      <c r="M419" s="12" t="str">
        <v/>
      </c>
      <c r="N419" s="12" t="str">
        <v/>
      </c>
      <c r="O419" s="12" t="str">
        <v/>
      </c>
      <c r="P419" s="12" t="str">
        <f ca="1"/>
        <v/>
      </c>
    </row>
    <row r="420" spans="11:16" ht="13.2">
      <c r="K420" s="12" t="str">
        <v/>
      </c>
      <c r="L420" s="12" t="str">
        <v/>
      </c>
      <c r="M420" s="12" t="str">
        <v/>
      </c>
      <c r="N420" s="12" t="str">
        <v/>
      </c>
      <c r="O420" s="12" t="str">
        <v/>
      </c>
      <c r="P420" s="12" t="str">
        <f ca="1"/>
        <v/>
      </c>
    </row>
    <row r="421" spans="11:16" ht="13.2">
      <c r="K421" s="12" t="str">
        <v/>
      </c>
      <c r="L421" s="12" t="str">
        <v/>
      </c>
      <c r="M421" s="12" t="str">
        <v/>
      </c>
      <c r="N421" s="12" t="str">
        <v/>
      </c>
      <c r="O421" s="12" t="str">
        <v/>
      </c>
      <c r="P421" s="12" t="str">
        <f ca="1"/>
        <v/>
      </c>
    </row>
    <row r="422" spans="11:16" ht="13.2">
      <c r="K422" s="12" t="str">
        <v/>
      </c>
      <c r="L422" s="12" t="str">
        <v/>
      </c>
      <c r="M422" s="12" t="str">
        <v/>
      </c>
      <c r="N422" s="12" t="str">
        <v/>
      </c>
      <c r="O422" s="12" t="str">
        <v/>
      </c>
      <c r="P422" s="12" t="str">
        <f ca="1"/>
        <v/>
      </c>
    </row>
    <row r="423" spans="11:16" ht="13.2">
      <c r="K423" s="12" t="str">
        <v/>
      </c>
      <c r="L423" s="12" t="str">
        <v/>
      </c>
      <c r="M423" s="12" t="str">
        <v/>
      </c>
      <c r="N423" s="12" t="str">
        <v/>
      </c>
      <c r="O423" s="12" t="str">
        <v/>
      </c>
      <c r="P423" s="12" t="str">
        <f ca="1"/>
        <v/>
      </c>
    </row>
    <row r="424" spans="11:16" ht="13.2">
      <c r="K424" s="12" t="str">
        <v/>
      </c>
      <c r="L424" s="12" t="str">
        <v/>
      </c>
      <c r="M424" s="12" t="str">
        <v/>
      </c>
      <c r="N424" s="12" t="str">
        <v/>
      </c>
      <c r="O424" s="12" t="str">
        <v/>
      </c>
      <c r="P424" s="12" t="str">
        <f ca="1"/>
        <v/>
      </c>
    </row>
    <row r="425" spans="11:16" ht="13.2">
      <c r="K425" s="12" t="str">
        <v/>
      </c>
      <c r="L425" s="12" t="str">
        <v/>
      </c>
      <c r="M425" s="12" t="str">
        <v/>
      </c>
      <c r="N425" s="12" t="str">
        <v/>
      </c>
      <c r="O425" s="12" t="str">
        <v/>
      </c>
      <c r="P425" s="12" t="str">
        <f ca="1"/>
        <v/>
      </c>
    </row>
    <row r="426" spans="11:16" ht="13.2">
      <c r="K426" s="12" t="str">
        <v/>
      </c>
      <c r="L426" s="12" t="str">
        <v/>
      </c>
      <c r="M426" s="12" t="str">
        <v/>
      </c>
      <c r="N426" s="12" t="str">
        <v/>
      </c>
      <c r="O426" s="12" t="str">
        <v/>
      </c>
      <c r="P426" s="12" t="str">
        <f ca="1"/>
        <v/>
      </c>
    </row>
    <row r="427" spans="11:16" ht="13.2">
      <c r="K427" s="12" t="str">
        <v/>
      </c>
      <c r="L427" s="12" t="str">
        <v/>
      </c>
      <c r="M427" s="12" t="str">
        <v/>
      </c>
      <c r="N427" s="12" t="str">
        <v/>
      </c>
      <c r="O427" s="12" t="str">
        <v/>
      </c>
      <c r="P427" s="12" t="str">
        <f ca="1"/>
        <v/>
      </c>
    </row>
    <row r="428" spans="11:16" ht="13.2">
      <c r="K428" s="12" t="str">
        <v/>
      </c>
      <c r="L428" s="12" t="str">
        <v/>
      </c>
      <c r="M428" s="12" t="str">
        <v/>
      </c>
      <c r="N428" s="12" t="str">
        <v/>
      </c>
      <c r="O428" s="12" t="str">
        <v/>
      </c>
      <c r="P428" s="12" t="str">
        <f ca="1"/>
        <v/>
      </c>
    </row>
    <row r="429" spans="11:16" ht="13.2">
      <c r="K429" s="12" t="str">
        <v/>
      </c>
      <c r="L429" s="12" t="str">
        <v/>
      </c>
      <c r="M429" s="12" t="str">
        <v/>
      </c>
      <c r="N429" s="12" t="str">
        <v/>
      </c>
      <c r="O429" s="12" t="str">
        <v/>
      </c>
      <c r="P429" s="12" t="str">
        <f ca="1"/>
        <v/>
      </c>
    </row>
    <row r="430" spans="11:16" ht="13.2">
      <c r="K430" s="12" t="str">
        <v/>
      </c>
      <c r="L430" s="12" t="str">
        <v/>
      </c>
      <c r="M430" s="12" t="str">
        <v/>
      </c>
      <c r="N430" s="12" t="str">
        <v/>
      </c>
      <c r="O430" s="12" t="str">
        <v/>
      </c>
      <c r="P430" s="12" t="str">
        <f ca="1"/>
        <v/>
      </c>
    </row>
    <row r="431" spans="11:16" ht="13.2">
      <c r="K431" s="12" t="str">
        <v/>
      </c>
      <c r="L431" s="12" t="str">
        <v/>
      </c>
      <c r="M431" s="12" t="str">
        <v/>
      </c>
      <c r="N431" s="12" t="str">
        <v/>
      </c>
      <c r="O431" s="12" t="str">
        <v/>
      </c>
      <c r="P431" s="12" t="str">
        <f ca="1"/>
        <v/>
      </c>
    </row>
    <row r="432" spans="11:16" ht="13.2">
      <c r="K432" s="12" t="str">
        <v/>
      </c>
      <c r="L432" s="12" t="str">
        <v/>
      </c>
      <c r="M432" s="12" t="str">
        <v/>
      </c>
      <c r="N432" s="12" t="str">
        <v/>
      </c>
      <c r="O432" s="12" t="str">
        <v/>
      </c>
      <c r="P432" s="12" t="str">
        <f ca="1"/>
        <v/>
      </c>
    </row>
    <row r="433" spans="11:16" ht="13.2">
      <c r="K433" s="12" t="str">
        <v/>
      </c>
      <c r="L433" s="12" t="str">
        <v/>
      </c>
      <c r="M433" s="12" t="str">
        <v/>
      </c>
      <c r="N433" s="12" t="str">
        <v/>
      </c>
      <c r="O433" s="12" t="str">
        <v/>
      </c>
      <c r="P433" s="12" t="str">
        <f ca="1"/>
        <v/>
      </c>
    </row>
    <row r="434" spans="11:16" ht="13.2">
      <c r="K434" s="12" t="str">
        <v/>
      </c>
      <c r="L434" s="12" t="str">
        <v/>
      </c>
      <c r="M434" s="12" t="str">
        <v/>
      </c>
      <c r="N434" s="12" t="str">
        <v/>
      </c>
      <c r="O434" s="12" t="str">
        <v/>
      </c>
      <c r="P434" s="12" t="str">
        <f ca="1"/>
        <v/>
      </c>
    </row>
    <row r="435" spans="11:16" ht="13.2">
      <c r="K435" s="12" t="str">
        <v/>
      </c>
      <c r="L435" s="12" t="str">
        <v/>
      </c>
      <c r="M435" s="12" t="str">
        <v/>
      </c>
      <c r="N435" s="12" t="str">
        <v/>
      </c>
      <c r="O435" s="12" t="str">
        <v/>
      </c>
      <c r="P435" s="12" t="str">
        <f ca="1"/>
        <v/>
      </c>
    </row>
    <row r="436" spans="11:16" ht="13.2">
      <c r="K436" s="12" t="str">
        <v/>
      </c>
      <c r="L436" s="12" t="str">
        <v/>
      </c>
      <c r="M436" s="12" t="str">
        <v/>
      </c>
      <c r="N436" s="12" t="str">
        <v/>
      </c>
      <c r="O436" s="12" t="str">
        <v/>
      </c>
      <c r="P436" s="12" t="str">
        <f ca="1"/>
        <v/>
      </c>
    </row>
    <row r="437" spans="11:16" ht="13.2">
      <c r="K437" s="12" t="str">
        <v/>
      </c>
      <c r="L437" s="12" t="str">
        <v/>
      </c>
      <c r="M437" s="12" t="str">
        <v/>
      </c>
      <c r="N437" s="12" t="str">
        <v/>
      </c>
      <c r="O437" s="12" t="str">
        <v/>
      </c>
      <c r="P437" s="12" t="str">
        <f ca="1"/>
        <v/>
      </c>
    </row>
    <row r="438" spans="11:16" ht="13.2">
      <c r="K438" s="12" t="str">
        <v/>
      </c>
      <c r="L438" s="12" t="str">
        <v/>
      </c>
      <c r="M438" s="12" t="str">
        <v/>
      </c>
      <c r="N438" s="12" t="str">
        <v/>
      </c>
      <c r="O438" s="12" t="str">
        <v/>
      </c>
      <c r="P438" s="12" t="str">
        <f ca="1"/>
        <v/>
      </c>
    </row>
    <row r="439" spans="11:16" ht="13.2">
      <c r="K439" s="12" t="str">
        <v/>
      </c>
      <c r="L439" s="12" t="str">
        <v/>
      </c>
      <c r="M439" s="12" t="str">
        <v/>
      </c>
      <c r="N439" s="12" t="str">
        <v/>
      </c>
      <c r="O439" s="12" t="str">
        <v/>
      </c>
      <c r="P439" s="12" t="str">
        <f ca="1"/>
        <v/>
      </c>
    </row>
    <row r="440" spans="11:16" ht="13.2">
      <c r="K440" s="12" t="str">
        <v/>
      </c>
      <c r="L440" s="12" t="str">
        <v/>
      </c>
      <c r="M440" s="12" t="str">
        <v/>
      </c>
      <c r="N440" s="12" t="str">
        <v/>
      </c>
      <c r="O440" s="12" t="str">
        <v/>
      </c>
      <c r="P440" s="12" t="str">
        <f ca="1"/>
        <v/>
      </c>
    </row>
    <row r="441" spans="11:16" ht="13.2">
      <c r="K441" s="12" t="str">
        <v/>
      </c>
      <c r="L441" s="12" t="str">
        <v/>
      </c>
      <c r="M441" s="12" t="str">
        <v/>
      </c>
      <c r="N441" s="12" t="str">
        <v/>
      </c>
      <c r="O441" s="12" t="str">
        <v/>
      </c>
      <c r="P441" s="12" t="str">
        <f ca="1"/>
        <v/>
      </c>
    </row>
    <row r="442" spans="11:16" ht="13.2">
      <c r="K442" s="12" t="str">
        <v/>
      </c>
      <c r="L442" s="12" t="str">
        <v/>
      </c>
      <c r="M442" s="12" t="str">
        <v/>
      </c>
      <c r="N442" s="12" t="str">
        <v/>
      </c>
      <c r="O442" s="12" t="str">
        <v/>
      </c>
      <c r="P442" s="12" t="str">
        <f ca="1"/>
        <v/>
      </c>
    </row>
    <row r="443" spans="11:16" ht="13.2">
      <c r="K443" s="12" t="str">
        <v/>
      </c>
      <c r="L443" s="12" t="str">
        <v/>
      </c>
      <c r="M443" s="12" t="str">
        <v/>
      </c>
      <c r="N443" s="12" t="str">
        <v/>
      </c>
      <c r="O443" s="12" t="str">
        <v/>
      </c>
      <c r="P443" s="12" t="str">
        <f ca="1"/>
        <v/>
      </c>
    </row>
    <row r="444" spans="11:16" ht="13.2">
      <c r="K444" s="12" t="str">
        <v/>
      </c>
      <c r="L444" s="12" t="str">
        <v/>
      </c>
      <c r="M444" s="12" t="str">
        <v/>
      </c>
      <c r="N444" s="12" t="str">
        <v/>
      </c>
      <c r="O444" s="12" t="str">
        <v/>
      </c>
      <c r="P444" s="12" t="str">
        <f ca="1"/>
        <v/>
      </c>
    </row>
    <row r="445" spans="11:16" ht="13.2">
      <c r="K445" s="12" t="str">
        <v/>
      </c>
      <c r="L445" s="12" t="str">
        <v/>
      </c>
      <c r="M445" s="12" t="str">
        <v/>
      </c>
      <c r="N445" s="12" t="str">
        <v/>
      </c>
      <c r="O445" s="12" t="str">
        <v/>
      </c>
      <c r="P445" s="12" t="str">
        <f ca="1"/>
        <v/>
      </c>
    </row>
    <row r="446" spans="11:16" ht="13.2">
      <c r="K446" s="12" t="str">
        <v/>
      </c>
      <c r="L446" s="12" t="str">
        <v/>
      </c>
      <c r="M446" s="12" t="str">
        <v/>
      </c>
      <c r="N446" s="12" t="str">
        <v/>
      </c>
      <c r="O446" s="12" t="str">
        <v/>
      </c>
      <c r="P446" s="12" t="str">
        <f ca="1"/>
        <v/>
      </c>
    </row>
    <row r="447" spans="11:16" ht="13.2">
      <c r="K447" s="12" t="str">
        <v/>
      </c>
      <c r="L447" s="12" t="str">
        <v/>
      </c>
      <c r="M447" s="12" t="str">
        <v/>
      </c>
      <c r="N447" s="12" t="str">
        <v/>
      </c>
      <c r="O447" s="12" t="str">
        <v/>
      </c>
      <c r="P447" s="12" t="str">
        <f ca="1"/>
        <v/>
      </c>
    </row>
    <row r="448" spans="11:16" ht="13.2">
      <c r="K448" s="12" t="str">
        <v/>
      </c>
      <c r="L448" s="12" t="str">
        <v/>
      </c>
      <c r="M448" s="12" t="str">
        <v/>
      </c>
      <c r="N448" s="12" t="str">
        <v/>
      </c>
      <c r="O448" s="12" t="str">
        <v/>
      </c>
      <c r="P448" s="12" t="str">
        <f ca="1"/>
        <v/>
      </c>
    </row>
    <row r="449" spans="11:16" ht="13.2">
      <c r="K449" s="12" t="str">
        <v/>
      </c>
      <c r="L449" s="12" t="str">
        <v/>
      </c>
      <c r="M449" s="12" t="str">
        <v/>
      </c>
      <c r="N449" s="12" t="str">
        <v/>
      </c>
      <c r="O449" s="12" t="str">
        <v/>
      </c>
      <c r="P449" s="12" t="str">
        <f ca="1"/>
        <v/>
      </c>
    </row>
    <row r="450" spans="11:16" ht="13.2">
      <c r="K450" s="12" t="str">
        <v/>
      </c>
      <c r="L450" s="12" t="str">
        <v/>
      </c>
      <c r="M450" s="12" t="str">
        <v/>
      </c>
      <c r="N450" s="12" t="str">
        <v/>
      </c>
      <c r="O450" s="12" t="str">
        <v/>
      </c>
      <c r="P450" s="12" t="str">
        <f ca="1"/>
        <v/>
      </c>
    </row>
    <row r="451" spans="11:16" ht="13.2">
      <c r="K451" s="12" t="str">
        <v/>
      </c>
      <c r="L451" s="12" t="str">
        <v/>
      </c>
      <c r="M451" s="12" t="str">
        <v/>
      </c>
      <c r="N451" s="12" t="str">
        <v/>
      </c>
      <c r="O451" s="12" t="str">
        <v/>
      </c>
      <c r="P451" s="12" t="str">
        <f ca="1"/>
        <v/>
      </c>
    </row>
    <row r="452" spans="11:16" ht="13.2">
      <c r="K452" s="12" t="str">
        <v/>
      </c>
      <c r="L452" s="12" t="str">
        <v/>
      </c>
      <c r="M452" s="12" t="str">
        <v/>
      </c>
      <c r="N452" s="12" t="str">
        <v/>
      </c>
      <c r="O452" s="12" t="str">
        <v/>
      </c>
      <c r="P452" s="12" t="str">
        <f ca="1"/>
        <v/>
      </c>
    </row>
    <row r="453" spans="11:16" ht="13.2">
      <c r="K453" s="12" t="str">
        <v/>
      </c>
      <c r="L453" s="12" t="str">
        <v/>
      </c>
      <c r="M453" s="12" t="str">
        <v/>
      </c>
      <c r="N453" s="12" t="str">
        <v/>
      </c>
      <c r="O453" s="12" t="str">
        <v/>
      </c>
      <c r="P453" s="12" t="str">
        <f ca="1"/>
        <v/>
      </c>
    </row>
    <row r="454" spans="11:16" ht="13.2">
      <c r="K454" s="12" t="str">
        <v/>
      </c>
      <c r="L454" s="12" t="str">
        <v/>
      </c>
      <c r="M454" s="12" t="str">
        <v/>
      </c>
      <c r="N454" s="12" t="str">
        <v/>
      </c>
      <c r="O454" s="12" t="str">
        <v/>
      </c>
      <c r="P454" s="12" t="str">
        <f ca="1"/>
        <v/>
      </c>
    </row>
    <row r="455" spans="11:16" ht="13.2">
      <c r="K455" s="12" t="str">
        <v/>
      </c>
      <c r="L455" s="12" t="str">
        <v/>
      </c>
      <c r="M455" s="12" t="str">
        <v/>
      </c>
      <c r="N455" s="12" t="str">
        <v/>
      </c>
      <c r="O455" s="12" t="str">
        <v/>
      </c>
      <c r="P455" s="12" t="str">
        <f ca="1"/>
        <v/>
      </c>
    </row>
    <row r="456" spans="11:16" ht="13.2">
      <c r="K456" s="12" t="str">
        <v/>
      </c>
      <c r="L456" s="12" t="str">
        <v/>
      </c>
      <c r="M456" s="12" t="str">
        <v/>
      </c>
      <c r="N456" s="12" t="str">
        <v/>
      </c>
      <c r="O456" s="12" t="str">
        <v/>
      </c>
      <c r="P456" s="12" t="str">
        <f ca="1"/>
        <v/>
      </c>
    </row>
    <row r="457" spans="11:16" ht="13.2">
      <c r="K457" s="12" t="str">
        <v/>
      </c>
      <c r="L457" s="12" t="str">
        <v/>
      </c>
      <c r="M457" s="12" t="str">
        <v/>
      </c>
      <c r="N457" s="12" t="str">
        <v/>
      </c>
      <c r="O457" s="12" t="str">
        <v/>
      </c>
      <c r="P457" s="12" t="str">
        <f ca="1"/>
        <v/>
      </c>
    </row>
    <row r="458" spans="11:16" ht="13.2">
      <c r="K458" s="12" t="str">
        <v/>
      </c>
      <c r="L458" s="12" t="str">
        <v/>
      </c>
      <c r="M458" s="12" t="str">
        <v/>
      </c>
      <c r="N458" s="12" t="str">
        <v/>
      </c>
      <c r="O458" s="12" t="str">
        <v/>
      </c>
      <c r="P458" s="12" t="str">
        <f ca="1"/>
        <v/>
      </c>
    </row>
    <row r="459" spans="11:16" ht="13.2">
      <c r="K459" s="12" t="str">
        <v/>
      </c>
      <c r="L459" s="12" t="str">
        <v/>
      </c>
      <c r="M459" s="12" t="str">
        <v/>
      </c>
      <c r="N459" s="12" t="str">
        <v/>
      </c>
      <c r="O459" s="12" t="str">
        <v/>
      </c>
      <c r="P459" s="12" t="str">
        <f ca="1"/>
        <v/>
      </c>
    </row>
    <row r="460" spans="11:16" ht="13.2">
      <c r="K460" s="12" t="str">
        <v/>
      </c>
      <c r="L460" s="12" t="str">
        <v/>
      </c>
      <c r="M460" s="12" t="str">
        <v/>
      </c>
      <c r="N460" s="12" t="str">
        <v/>
      </c>
      <c r="O460" s="12" t="str">
        <v/>
      </c>
      <c r="P460" s="12" t="str">
        <f ca="1"/>
        <v/>
      </c>
    </row>
    <row r="461" spans="11:16" ht="13.2">
      <c r="K461" s="12" t="str">
        <v/>
      </c>
      <c r="L461" s="12" t="str">
        <v/>
      </c>
      <c r="M461" s="12" t="str">
        <v/>
      </c>
      <c r="N461" s="12" t="str">
        <v/>
      </c>
      <c r="O461" s="12" t="str">
        <v/>
      </c>
      <c r="P461" s="12" t="str">
        <f ca="1"/>
        <v/>
      </c>
    </row>
    <row r="462" spans="11:16" ht="13.2">
      <c r="K462" s="12" t="str">
        <v/>
      </c>
      <c r="L462" s="12" t="str">
        <v/>
      </c>
      <c r="M462" s="12" t="str">
        <v/>
      </c>
      <c r="N462" s="12" t="str">
        <v/>
      </c>
      <c r="O462" s="12" t="str">
        <v/>
      </c>
      <c r="P462" s="12" t="str">
        <f ca="1"/>
        <v/>
      </c>
    </row>
    <row r="463" spans="11:16" ht="13.2">
      <c r="K463" s="12" t="str">
        <v/>
      </c>
      <c r="L463" s="12" t="str">
        <v/>
      </c>
      <c r="M463" s="12" t="str">
        <v/>
      </c>
      <c r="N463" s="12" t="str">
        <v/>
      </c>
      <c r="O463" s="12" t="str">
        <v/>
      </c>
      <c r="P463" s="12" t="str">
        <f ca="1"/>
        <v/>
      </c>
    </row>
    <row r="464" spans="11:16" ht="13.2">
      <c r="K464" s="12" t="str">
        <v/>
      </c>
      <c r="L464" s="12" t="str">
        <v/>
      </c>
      <c r="M464" s="12" t="str">
        <v/>
      </c>
      <c r="N464" s="12" t="str">
        <v/>
      </c>
      <c r="O464" s="12" t="str">
        <v/>
      </c>
      <c r="P464" s="12" t="str">
        <f ca="1"/>
        <v/>
      </c>
    </row>
    <row r="465" spans="11:16" ht="13.2">
      <c r="K465" s="12" t="str">
        <v/>
      </c>
      <c r="L465" s="12" t="str">
        <v/>
      </c>
      <c r="M465" s="12" t="str">
        <v/>
      </c>
      <c r="N465" s="12" t="str">
        <v/>
      </c>
      <c r="O465" s="12" t="str">
        <v/>
      </c>
      <c r="P465" s="12" t="str">
        <f ca="1"/>
        <v/>
      </c>
    </row>
    <row r="466" spans="11:16" ht="13.2">
      <c r="K466" s="12" t="str">
        <v/>
      </c>
      <c r="L466" s="12" t="str">
        <v/>
      </c>
      <c r="M466" s="12" t="str">
        <v/>
      </c>
      <c r="N466" s="12" t="str">
        <v/>
      </c>
      <c r="O466" s="12" t="str">
        <v/>
      </c>
      <c r="P466" s="12" t="str">
        <f ca="1"/>
        <v/>
      </c>
    </row>
    <row r="467" spans="11:16" ht="13.2">
      <c r="K467" s="12" t="str">
        <v/>
      </c>
      <c r="L467" s="12" t="str">
        <v/>
      </c>
      <c r="M467" s="12" t="str">
        <v/>
      </c>
      <c r="N467" s="12" t="str">
        <v/>
      </c>
      <c r="O467" s="12" t="str">
        <v/>
      </c>
      <c r="P467" s="12" t="str">
        <f ca="1"/>
        <v/>
      </c>
    </row>
    <row r="468" spans="11:16" ht="13.2">
      <c r="K468" s="12" t="str">
        <v/>
      </c>
      <c r="L468" s="12" t="str">
        <v/>
      </c>
      <c r="M468" s="12" t="str">
        <v/>
      </c>
      <c r="N468" s="12" t="str">
        <v/>
      </c>
      <c r="O468" s="12" t="str">
        <v/>
      </c>
      <c r="P468" s="12" t="str">
        <f ca="1"/>
        <v/>
      </c>
    </row>
    <row r="469" spans="11:16" ht="13.2">
      <c r="K469" s="12" t="str">
        <v/>
      </c>
      <c r="L469" s="12" t="str">
        <v/>
      </c>
      <c r="M469" s="12" t="str">
        <v/>
      </c>
      <c r="N469" s="12" t="str">
        <v/>
      </c>
      <c r="O469" s="12" t="str">
        <v/>
      </c>
      <c r="P469" s="12" t="str">
        <f ca="1"/>
        <v/>
      </c>
    </row>
    <row r="470" spans="11:16" ht="13.2">
      <c r="K470" s="12" t="str">
        <v/>
      </c>
      <c r="L470" s="12" t="str">
        <v/>
      </c>
      <c r="M470" s="12" t="str">
        <v/>
      </c>
      <c r="N470" s="12" t="str">
        <v/>
      </c>
      <c r="O470" s="12" t="str">
        <v/>
      </c>
      <c r="P470" s="12" t="str">
        <f ca="1"/>
        <v/>
      </c>
    </row>
    <row r="471" spans="11:16" ht="13.2">
      <c r="K471" s="12" t="str">
        <v/>
      </c>
      <c r="L471" s="12" t="str">
        <v/>
      </c>
      <c r="M471" s="12" t="str">
        <v/>
      </c>
      <c r="N471" s="12" t="str">
        <v/>
      </c>
      <c r="O471" s="12" t="str">
        <v/>
      </c>
      <c r="P471" s="12" t="str">
        <f ca="1"/>
        <v/>
      </c>
    </row>
    <row r="472" spans="11:16" ht="13.2">
      <c r="K472" s="12" t="str">
        <v/>
      </c>
      <c r="L472" s="12" t="str">
        <v/>
      </c>
      <c r="M472" s="12" t="str">
        <v/>
      </c>
      <c r="N472" s="12" t="str">
        <v/>
      </c>
      <c r="O472" s="12" t="str">
        <v/>
      </c>
      <c r="P472" s="12" t="str">
        <f ca="1"/>
        <v/>
      </c>
    </row>
    <row r="473" spans="11:16" ht="13.2">
      <c r="K473" s="12" t="str">
        <v/>
      </c>
      <c r="L473" s="12" t="str">
        <v/>
      </c>
      <c r="M473" s="12" t="str">
        <v/>
      </c>
      <c r="N473" s="12" t="str">
        <v/>
      </c>
      <c r="O473" s="12" t="str">
        <v/>
      </c>
      <c r="P473" s="12" t="str">
        <f ca="1"/>
        <v/>
      </c>
    </row>
    <row r="474" spans="11:16" ht="13.2">
      <c r="K474" s="12" t="str">
        <v/>
      </c>
      <c r="L474" s="12" t="str">
        <v/>
      </c>
      <c r="M474" s="12" t="str">
        <v/>
      </c>
      <c r="N474" s="12" t="str">
        <v/>
      </c>
      <c r="O474" s="12" t="str">
        <v/>
      </c>
      <c r="P474" s="12" t="str">
        <f ca="1"/>
        <v/>
      </c>
    </row>
    <row r="475" spans="11:16" ht="13.2">
      <c r="K475" s="12" t="str">
        <v/>
      </c>
      <c r="L475" s="12" t="str">
        <v/>
      </c>
      <c r="M475" s="12" t="str">
        <v/>
      </c>
      <c r="N475" s="12" t="str">
        <v/>
      </c>
      <c r="O475" s="12" t="str">
        <v/>
      </c>
      <c r="P475" s="12" t="str">
        <f ca="1"/>
        <v/>
      </c>
    </row>
    <row r="476" spans="11:16" ht="13.2">
      <c r="K476" s="12" t="str">
        <v/>
      </c>
      <c r="L476" s="12" t="str">
        <v/>
      </c>
      <c r="M476" s="12" t="str">
        <v/>
      </c>
      <c r="N476" s="12" t="str">
        <v/>
      </c>
      <c r="O476" s="12" t="str">
        <v/>
      </c>
      <c r="P476" s="12" t="str">
        <f ca="1"/>
        <v/>
      </c>
    </row>
    <row r="477" spans="11:16" ht="13.2">
      <c r="K477" s="12" t="str">
        <v/>
      </c>
      <c r="L477" s="12" t="str">
        <v/>
      </c>
      <c r="M477" s="12" t="str">
        <v/>
      </c>
      <c r="N477" s="12" t="str">
        <v/>
      </c>
      <c r="O477" s="12" t="str">
        <v/>
      </c>
      <c r="P477" s="12" t="str">
        <f ca="1"/>
        <v/>
      </c>
    </row>
    <row r="478" spans="11:16" ht="13.2">
      <c r="K478" s="12" t="str">
        <v/>
      </c>
      <c r="L478" s="12" t="str">
        <v/>
      </c>
      <c r="M478" s="12" t="str">
        <v/>
      </c>
      <c r="N478" s="12" t="str">
        <v/>
      </c>
      <c r="O478" s="12" t="str">
        <v/>
      </c>
      <c r="P478" s="12" t="str">
        <f ca="1"/>
        <v/>
      </c>
    </row>
    <row r="479" spans="11:16" ht="13.2">
      <c r="K479" s="12" t="str">
        <v/>
      </c>
      <c r="L479" s="12" t="str">
        <v/>
      </c>
      <c r="M479" s="12" t="str">
        <v/>
      </c>
      <c r="N479" s="12" t="str">
        <v/>
      </c>
      <c r="O479" s="12" t="str">
        <v/>
      </c>
      <c r="P479" s="12" t="str">
        <f ca="1"/>
        <v/>
      </c>
    </row>
    <row r="480" spans="11:16" ht="13.2">
      <c r="K480" s="12" t="str">
        <v/>
      </c>
      <c r="L480" s="12" t="str">
        <v/>
      </c>
      <c r="M480" s="12" t="str">
        <v/>
      </c>
      <c r="N480" s="12" t="str">
        <v/>
      </c>
      <c r="O480" s="12" t="str">
        <v/>
      </c>
      <c r="P480" s="12" t="str">
        <f ca="1"/>
        <v/>
      </c>
    </row>
    <row r="481" spans="11:16" ht="13.2">
      <c r="K481" s="12" t="str">
        <v/>
      </c>
      <c r="L481" s="12" t="str">
        <v/>
      </c>
      <c r="M481" s="12" t="str">
        <v/>
      </c>
      <c r="N481" s="12" t="str">
        <v/>
      </c>
      <c r="O481" s="12" t="str">
        <v/>
      </c>
      <c r="P481" s="12" t="str">
        <f ca="1"/>
        <v/>
      </c>
    </row>
    <row r="482" spans="11:16" ht="13.2">
      <c r="K482" s="12" t="str">
        <v/>
      </c>
      <c r="L482" s="12" t="str">
        <v/>
      </c>
      <c r="M482" s="12" t="str">
        <v/>
      </c>
      <c r="N482" s="12" t="str">
        <v/>
      </c>
      <c r="O482" s="12" t="str">
        <v/>
      </c>
      <c r="P482" s="12" t="str">
        <f ca="1"/>
        <v/>
      </c>
    </row>
    <row r="483" spans="11:16" ht="13.2">
      <c r="K483" s="12" t="str">
        <v/>
      </c>
      <c r="L483" s="12" t="str">
        <v/>
      </c>
      <c r="M483" s="12" t="str">
        <v/>
      </c>
      <c r="N483" s="12" t="str">
        <v/>
      </c>
      <c r="O483" s="12" t="str">
        <v/>
      </c>
      <c r="P483" s="12" t="str">
        <f ca="1"/>
        <v/>
      </c>
    </row>
    <row r="484" spans="11:16" ht="13.2">
      <c r="K484" s="12" t="str">
        <v/>
      </c>
      <c r="L484" s="12" t="str">
        <v/>
      </c>
      <c r="M484" s="12" t="str">
        <v/>
      </c>
      <c r="N484" s="12" t="str">
        <v/>
      </c>
      <c r="O484" s="12" t="str">
        <v/>
      </c>
      <c r="P484" s="12" t="str">
        <f ca="1"/>
        <v/>
      </c>
    </row>
    <row r="485" spans="11:16" ht="13.2">
      <c r="K485" s="12" t="str">
        <v/>
      </c>
      <c r="L485" s="12" t="str">
        <v/>
      </c>
      <c r="M485" s="12" t="str">
        <v/>
      </c>
      <c r="N485" s="12" t="str">
        <v/>
      </c>
      <c r="O485" s="12" t="str">
        <v/>
      </c>
      <c r="P485" s="12" t="str">
        <f ca="1"/>
        <v/>
      </c>
    </row>
    <row r="486" spans="11:16" ht="13.2">
      <c r="K486" s="12" t="str">
        <v/>
      </c>
      <c r="L486" s="12" t="str">
        <v/>
      </c>
      <c r="M486" s="12" t="str">
        <v/>
      </c>
      <c r="N486" s="12" t="str">
        <v/>
      </c>
      <c r="O486" s="12" t="str">
        <v/>
      </c>
      <c r="P486" s="12" t="str">
        <f ca="1"/>
        <v/>
      </c>
    </row>
    <row r="487" spans="11:16" ht="13.2">
      <c r="K487" s="12" t="str">
        <v/>
      </c>
      <c r="L487" s="12" t="str">
        <v/>
      </c>
      <c r="M487" s="12" t="str">
        <v/>
      </c>
      <c r="N487" s="12" t="str">
        <v/>
      </c>
      <c r="O487" s="12" t="str">
        <v/>
      </c>
      <c r="P487" s="12" t="str">
        <f ca="1"/>
        <v/>
      </c>
    </row>
    <row r="488" spans="11:16" ht="13.2">
      <c r="K488" s="12" t="str">
        <v/>
      </c>
      <c r="L488" s="12" t="str">
        <v/>
      </c>
      <c r="M488" s="12" t="str">
        <v/>
      </c>
      <c r="N488" s="12" t="str">
        <v/>
      </c>
      <c r="O488" s="12" t="str">
        <v/>
      </c>
      <c r="P488" s="12" t="str">
        <f ca="1"/>
        <v/>
      </c>
    </row>
    <row r="489" spans="11:16" ht="13.2">
      <c r="K489" s="12" t="str">
        <v/>
      </c>
      <c r="L489" s="12" t="str">
        <v/>
      </c>
      <c r="M489" s="12" t="str">
        <v/>
      </c>
      <c r="N489" s="12" t="str">
        <v/>
      </c>
      <c r="O489" s="12" t="str">
        <v/>
      </c>
      <c r="P489" s="12" t="str">
        <f ca="1"/>
        <v/>
      </c>
    </row>
    <row r="490" spans="11:16" ht="13.2">
      <c r="K490" s="12" t="str">
        <v/>
      </c>
      <c r="L490" s="12" t="str">
        <v/>
      </c>
      <c r="M490" s="12" t="str">
        <v/>
      </c>
      <c r="N490" s="12" t="str">
        <v/>
      </c>
      <c r="O490" s="12" t="str">
        <v/>
      </c>
      <c r="P490" s="12" t="str">
        <f ca="1"/>
        <v/>
      </c>
    </row>
    <row r="491" spans="11:16" ht="13.2">
      <c r="K491" s="12" t="str">
        <v/>
      </c>
      <c r="L491" s="12" t="str">
        <v/>
      </c>
      <c r="M491" s="12" t="str">
        <v/>
      </c>
      <c r="N491" s="12" t="str">
        <v/>
      </c>
      <c r="O491" s="12" t="str">
        <v/>
      </c>
      <c r="P491" s="12" t="str">
        <f ca="1"/>
        <v/>
      </c>
    </row>
    <row r="492" spans="11:16" ht="13.2">
      <c r="K492" s="12" t="str">
        <v/>
      </c>
      <c r="L492" s="12" t="str">
        <v/>
      </c>
      <c r="M492" s="12" t="str">
        <v/>
      </c>
      <c r="N492" s="12" t="str">
        <v/>
      </c>
      <c r="O492" s="12" t="str">
        <v/>
      </c>
      <c r="P492" s="12" t="str">
        <f ca="1"/>
        <v/>
      </c>
    </row>
    <row r="493" spans="11:16" ht="13.2">
      <c r="K493" s="12" t="str">
        <v/>
      </c>
      <c r="L493" s="12" t="str">
        <v/>
      </c>
      <c r="M493" s="12" t="str">
        <v/>
      </c>
      <c r="N493" s="12" t="str">
        <v/>
      </c>
      <c r="O493" s="12" t="str">
        <v/>
      </c>
      <c r="P493" s="12" t="str">
        <f ca="1"/>
        <v/>
      </c>
    </row>
    <row r="494" spans="11:16" ht="13.2">
      <c r="K494" s="12" t="str">
        <v/>
      </c>
      <c r="L494" s="12" t="str">
        <v/>
      </c>
      <c r="M494" s="12" t="str">
        <v/>
      </c>
      <c r="N494" s="12" t="str">
        <v/>
      </c>
      <c r="O494" s="12" t="str">
        <v/>
      </c>
      <c r="P494" s="12" t="str">
        <f ca="1"/>
        <v/>
      </c>
    </row>
    <row r="495" spans="11:16" ht="13.2">
      <c r="K495" s="12" t="str">
        <v/>
      </c>
      <c r="L495" s="12" t="str">
        <v/>
      </c>
      <c r="M495" s="12" t="str">
        <v/>
      </c>
      <c r="N495" s="12" t="str">
        <v/>
      </c>
      <c r="O495" s="12" t="str">
        <v/>
      </c>
      <c r="P495" s="12" t="str">
        <f ca="1"/>
        <v/>
      </c>
    </row>
    <row r="496" spans="11:16" ht="13.2">
      <c r="K496" s="12" t="str">
        <v/>
      </c>
      <c r="L496" s="12" t="str">
        <v/>
      </c>
      <c r="M496" s="12" t="str">
        <v/>
      </c>
      <c r="N496" s="12" t="str">
        <v/>
      </c>
      <c r="O496" s="12" t="str">
        <v/>
      </c>
      <c r="P496" s="12" t="str">
        <f ca="1"/>
        <v/>
      </c>
    </row>
    <row r="497" spans="11:16" ht="13.2">
      <c r="K497" s="12" t="str">
        <v/>
      </c>
      <c r="L497" s="12" t="str">
        <v/>
      </c>
      <c r="M497" s="12" t="str">
        <v/>
      </c>
      <c r="N497" s="12" t="str">
        <v/>
      </c>
      <c r="O497" s="12" t="str">
        <v/>
      </c>
      <c r="P497" s="12" t="str">
        <f ca="1"/>
        <v/>
      </c>
    </row>
    <row r="498" spans="11:16" ht="13.2">
      <c r="K498" s="12" t="str">
        <v/>
      </c>
      <c r="L498" s="12" t="str">
        <v/>
      </c>
      <c r="M498" s="12" t="str">
        <v/>
      </c>
      <c r="N498" s="12" t="str">
        <v/>
      </c>
      <c r="O498" s="12" t="str">
        <v/>
      </c>
      <c r="P498" s="12" t="str">
        <f ca="1"/>
        <v/>
      </c>
    </row>
    <row r="499" spans="11:16" ht="13.2">
      <c r="K499" s="12" t="str">
        <v/>
      </c>
      <c r="L499" s="12" t="str">
        <v/>
      </c>
      <c r="M499" s="12" t="str">
        <v/>
      </c>
      <c r="N499" s="12" t="str">
        <v/>
      </c>
      <c r="O499" s="12" t="str">
        <v/>
      </c>
      <c r="P499" s="12" t="str">
        <f ca="1"/>
        <v/>
      </c>
    </row>
    <row r="500" spans="11:16" ht="13.2">
      <c r="K500" s="12" t="str">
        <v/>
      </c>
      <c r="L500" s="12" t="str">
        <v/>
      </c>
      <c r="M500" s="12" t="str">
        <v/>
      </c>
      <c r="N500" s="12" t="str">
        <v/>
      </c>
      <c r="O500" s="12" t="str">
        <v/>
      </c>
      <c r="P500" s="12" t="str">
        <f ca="1"/>
        <v/>
      </c>
    </row>
    <row r="501" spans="11:16" ht="13.2">
      <c r="K501" s="12" t="str">
        <v/>
      </c>
      <c r="L501" s="12" t="str">
        <v/>
      </c>
      <c r="M501" s="12" t="str">
        <v/>
      </c>
      <c r="N501" s="12" t="str">
        <v/>
      </c>
      <c r="O501" s="12" t="str">
        <v/>
      </c>
      <c r="P501" s="12" t="str">
        <f ca="1"/>
        <v/>
      </c>
    </row>
    <row r="502" spans="11:16" ht="13.2">
      <c r="K502" s="12" t="str">
        <v/>
      </c>
      <c r="L502" s="12" t="str">
        <v/>
      </c>
      <c r="M502" s="12" t="str">
        <v/>
      </c>
      <c r="N502" s="12" t="str">
        <v/>
      </c>
      <c r="O502" s="12" t="str">
        <v/>
      </c>
      <c r="P502" s="12" t="str">
        <f ca="1"/>
        <v/>
      </c>
    </row>
    <row r="503" spans="11:16" ht="13.2">
      <c r="K503" s="12" t="str">
        <v/>
      </c>
      <c r="L503" s="12" t="str">
        <v/>
      </c>
      <c r="M503" s="12" t="str">
        <v/>
      </c>
      <c r="N503" s="12" t="str">
        <v/>
      </c>
      <c r="O503" s="12" t="str">
        <v/>
      </c>
      <c r="P503" s="12" t="str">
        <f ca="1"/>
        <v/>
      </c>
    </row>
    <row r="504" spans="11:16" ht="13.2">
      <c r="K504" s="12" t="str">
        <v/>
      </c>
      <c r="L504" s="12" t="str">
        <v/>
      </c>
      <c r="M504" s="12" t="str">
        <v/>
      </c>
      <c r="N504" s="12" t="str">
        <v/>
      </c>
      <c r="O504" s="12" t="str">
        <v/>
      </c>
      <c r="P504" s="12" t="str">
        <f ca="1"/>
        <v/>
      </c>
    </row>
    <row r="505" spans="11:16" ht="13.2">
      <c r="K505" s="12" t="str">
        <v/>
      </c>
      <c r="L505" s="12" t="str">
        <v/>
      </c>
      <c r="M505" s="12" t="str">
        <v/>
      </c>
      <c r="N505" s="12" t="str">
        <v/>
      </c>
      <c r="O505" s="12" t="str">
        <v/>
      </c>
      <c r="P505" s="12" t="str">
        <f ca="1"/>
        <v/>
      </c>
    </row>
    <row r="506" spans="11:16" ht="13.2">
      <c r="K506" s="12" t="str">
        <v/>
      </c>
      <c r="L506" s="12" t="str">
        <v/>
      </c>
      <c r="M506" s="12" t="str">
        <v/>
      </c>
      <c r="N506" s="12" t="str">
        <v/>
      </c>
      <c r="O506" s="12" t="str">
        <v/>
      </c>
      <c r="P506" s="12" t="str">
        <f ca="1"/>
        <v/>
      </c>
    </row>
    <row r="507" spans="11:16" ht="13.2">
      <c r="K507" s="12" t="str">
        <v/>
      </c>
      <c r="L507" s="12" t="str">
        <v/>
      </c>
      <c r="M507" s="12" t="str">
        <v/>
      </c>
      <c r="N507" s="12" t="str">
        <v/>
      </c>
      <c r="O507" s="12" t="str">
        <v/>
      </c>
      <c r="P507" s="12" t="str">
        <f ca="1"/>
        <v/>
      </c>
    </row>
    <row r="508" spans="11:16" ht="13.2">
      <c r="K508" s="12" t="str">
        <v/>
      </c>
      <c r="L508" s="12" t="str">
        <v/>
      </c>
      <c r="M508" s="12" t="str">
        <v/>
      </c>
      <c r="N508" s="12" t="str">
        <v/>
      </c>
      <c r="O508" s="12" t="str">
        <v/>
      </c>
      <c r="P508" s="12" t="str">
        <f ca="1"/>
        <v/>
      </c>
    </row>
    <row r="509" spans="11:16" ht="13.2">
      <c r="K509" s="12" t="str">
        <v/>
      </c>
      <c r="L509" s="12" t="str">
        <v/>
      </c>
      <c r="M509" s="12" t="str">
        <v/>
      </c>
      <c r="N509" s="12" t="str">
        <v/>
      </c>
      <c r="O509" s="12" t="str">
        <v/>
      </c>
      <c r="P509" s="12" t="str">
        <f ca="1"/>
        <v/>
      </c>
    </row>
    <row r="510" spans="11:16" ht="13.2">
      <c r="K510" s="12" t="str">
        <v/>
      </c>
      <c r="L510" s="12" t="str">
        <v/>
      </c>
      <c r="M510" s="12" t="str">
        <v/>
      </c>
      <c r="N510" s="12" t="str">
        <v/>
      </c>
      <c r="O510" s="12" t="str">
        <v/>
      </c>
      <c r="P510" s="12" t="str">
        <f ca="1"/>
        <v/>
      </c>
    </row>
    <row r="511" spans="11:16" ht="13.2">
      <c r="K511" s="12" t="str">
        <v/>
      </c>
      <c r="L511" s="12" t="str">
        <v/>
      </c>
      <c r="M511" s="12" t="str">
        <v/>
      </c>
      <c r="N511" s="12" t="str">
        <v/>
      </c>
      <c r="O511" s="12" t="str">
        <v/>
      </c>
      <c r="P511" s="12" t="str">
        <f ca="1"/>
        <v/>
      </c>
    </row>
    <row r="512" spans="11:16" ht="13.2">
      <c r="K512" s="12" t="str">
        <v/>
      </c>
      <c r="L512" s="12" t="str">
        <v/>
      </c>
      <c r="M512" s="12" t="str">
        <v/>
      </c>
      <c r="N512" s="12" t="str">
        <v/>
      </c>
      <c r="O512" s="12" t="str">
        <v/>
      </c>
      <c r="P512" s="12" t="str">
        <f ca="1"/>
        <v/>
      </c>
    </row>
    <row r="513" spans="11:16" ht="13.2">
      <c r="K513" s="12" t="str">
        <v/>
      </c>
      <c r="L513" s="12" t="str">
        <v/>
      </c>
      <c r="M513" s="12" t="str">
        <v/>
      </c>
      <c r="N513" s="12" t="str">
        <v/>
      </c>
      <c r="O513" s="12" t="str">
        <v/>
      </c>
      <c r="P513" s="12" t="str">
        <f ca="1"/>
        <v/>
      </c>
    </row>
    <row r="514" spans="11:16" ht="13.2">
      <c r="K514" s="12" t="str">
        <v/>
      </c>
      <c r="L514" s="12" t="str">
        <v/>
      </c>
      <c r="M514" s="12" t="str">
        <v/>
      </c>
      <c r="N514" s="12" t="str">
        <v/>
      </c>
      <c r="O514" s="12" t="str">
        <v/>
      </c>
      <c r="P514" s="12" t="str">
        <f ca="1"/>
        <v/>
      </c>
    </row>
    <row r="515" spans="11:16" ht="13.2">
      <c r="K515" s="12" t="str">
        <v/>
      </c>
      <c r="L515" s="12" t="str">
        <v/>
      </c>
      <c r="M515" s="12" t="str">
        <v/>
      </c>
      <c r="N515" s="12" t="str">
        <v/>
      </c>
      <c r="O515" s="12" t="str">
        <v/>
      </c>
      <c r="P515" s="12" t="str">
        <f ca="1"/>
        <v/>
      </c>
    </row>
    <row r="516" spans="11:16" ht="13.2">
      <c r="K516" s="12" t="str">
        <v/>
      </c>
      <c r="L516" s="12" t="str">
        <v/>
      </c>
      <c r="M516" s="12" t="str">
        <v/>
      </c>
      <c r="N516" s="12" t="str">
        <v/>
      </c>
      <c r="O516" s="12" t="str">
        <v/>
      </c>
      <c r="P516" s="12" t="str">
        <f ca="1"/>
        <v/>
      </c>
    </row>
    <row r="517" spans="11:16" ht="13.2">
      <c r="K517" s="12" t="str">
        <v/>
      </c>
      <c r="L517" s="12" t="str">
        <v/>
      </c>
      <c r="M517" s="12" t="str">
        <v/>
      </c>
      <c r="N517" s="12" t="str">
        <v/>
      </c>
      <c r="O517" s="12" t="str">
        <v/>
      </c>
      <c r="P517" s="12" t="str">
        <f ca="1"/>
        <v/>
      </c>
    </row>
    <row r="518" spans="11:16" ht="13.2">
      <c r="K518" s="12" t="str">
        <v/>
      </c>
      <c r="L518" s="12" t="str">
        <v/>
      </c>
      <c r="M518" s="12" t="str">
        <v/>
      </c>
      <c r="N518" s="12" t="str">
        <v/>
      </c>
      <c r="O518" s="12" t="str">
        <v/>
      </c>
      <c r="P518" s="12" t="str">
        <f ca="1"/>
        <v/>
      </c>
    </row>
    <row r="519" spans="11:16" ht="13.2">
      <c r="K519" s="12" t="str">
        <v/>
      </c>
      <c r="L519" s="12" t="str">
        <v/>
      </c>
      <c r="M519" s="12" t="str">
        <v/>
      </c>
      <c r="N519" s="12" t="str">
        <v/>
      </c>
      <c r="O519" s="12" t="str">
        <v/>
      </c>
      <c r="P519" s="12" t="str">
        <f ca="1"/>
        <v/>
      </c>
    </row>
    <row r="520" spans="11:16" ht="13.2">
      <c r="K520" s="12" t="str">
        <v/>
      </c>
      <c r="L520" s="12" t="str">
        <v/>
      </c>
      <c r="M520" s="12" t="str">
        <v/>
      </c>
      <c r="N520" s="12" t="str">
        <v/>
      </c>
      <c r="O520" s="12" t="str">
        <v/>
      </c>
      <c r="P520" s="12" t="str">
        <f ca="1"/>
        <v/>
      </c>
    </row>
    <row r="521" spans="11:16" ht="13.2">
      <c r="K521" s="12" t="str">
        <v/>
      </c>
      <c r="L521" s="12" t="str">
        <v/>
      </c>
      <c r="M521" s="12" t="str">
        <v/>
      </c>
      <c r="N521" s="12" t="str">
        <v/>
      </c>
      <c r="O521" s="12" t="str">
        <v/>
      </c>
      <c r="P521" s="12" t="str">
        <f ca="1"/>
        <v/>
      </c>
    </row>
    <row r="522" spans="11:16" ht="13.2">
      <c r="K522" s="12" t="str">
        <v/>
      </c>
      <c r="L522" s="12" t="str">
        <v/>
      </c>
      <c r="M522" s="12" t="str">
        <v/>
      </c>
      <c r="N522" s="12" t="str">
        <v/>
      </c>
      <c r="O522" s="12" t="str">
        <v/>
      </c>
      <c r="P522" s="12" t="str">
        <f ca="1"/>
        <v/>
      </c>
    </row>
    <row r="523" spans="11:16" ht="13.2">
      <c r="K523" s="12" t="str">
        <v/>
      </c>
      <c r="L523" s="12" t="str">
        <v/>
      </c>
      <c r="M523" s="12" t="str">
        <v/>
      </c>
      <c r="N523" s="12" t="str">
        <v/>
      </c>
      <c r="O523" s="12" t="str">
        <v/>
      </c>
      <c r="P523" s="12" t="str">
        <f ca="1"/>
        <v/>
      </c>
    </row>
    <row r="524" spans="11:16" ht="13.2">
      <c r="K524" s="12" t="str">
        <v/>
      </c>
      <c r="L524" s="12" t="str">
        <v/>
      </c>
      <c r="M524" s="12" t="str">
        <v/>
      </c>
      <c r="N524" s="12" t="str">
        <v/>
      </c>
      <c r="O524" s="12" t="str">
        <v/>
      </c>
      <c r="P524" s="12" t="str">
        <f ca="1"/>
        <v/>
      </c>
    </row>
    <row r="525" spans="11:16" ht="13.2">
      <c r="K525" s="12" t="str">
        <v/>
      </c>
      <c r="L525" s="12" t="str">
        <v/>
      </c>
      <c r="M525" s="12" t="str">
        <v/>
      </c>
      <c r="N525" s="12" t="str">
        <v/>
      </c>
      <c r="O525" s="12" t="str">
        <v/>
      </c>
      <c r="P525" s="12" t="str">
        <f ca="1"/>
        <v/>
      </c>
    </row>
    <row r="526" spans="11:16" ht="13.2">
      <c r="K526" s="12" t="str">
        <v/>
      </c>
      <c r="L526" s="12" t="str">
        <v/>
      </c>
      <c r="M526" s="12" t="str">
        <v/>
      </c>
      <c r="N526" s="12" t="str">
        <v/>
      </c>
      <c r="O526" s="12" t="str">
        <v/>
      </c>
      <c r="P526" s="12" t="str">
        <f ca="1"/>
        <v/>
      </c>
    </row>
    <row r="527" spans="11:16" ht="13.2">
      <c r="K527" s="12" t="str">
        <v/>
      </c>
      <c r="L527" s="12" t="str">
        <v/>
      </c>
      <c r="M527" s="12" t="str">
        <v/>
      </c>
      <c r="N527" s="12" t="str">
        <v/>
      </c>
      <c r="O527" s="12" t="str">
        <v/>
      </c>
      <c r="P527" s="12" t="str">
        <f ca="1"/>
        <v/>
      </c>
    </row>
    <row r="528" spans="11:16" ht="13.2">
      <c r="K528" s="12" t="str">
        <v/>
      </c>
      <c r="L528" s="12" t="str">
        <v/>
      </c>
      <c r="M528" s="12" t="str">
        <v/>
      </c>
      <c r="N528" s="12" t="str">
        <v/>
      </c>
      <c r="O528" s="12" t="str">
        <v/>
      </c>
      <c r="P528" s="12" t="str">
        <f ca="1"/>
        <v/>
      </c>
    </row>
    <row r="529" spans="11:16" ht="13.2">
      <c r="K529" s="12" t="str">
        <v/>
      </c>
      <c r="L529" s="12" t="str">
        <v/>
      </c>
      <c r="M529" s="12" t="str">
        <v/>
      </c>
      <c r="N529" s="12" t="str">
        <v/>
      </c>
      <c r="O529" s="12" t="str">
        <v/>
      </c>
      <c r="P529" s="12" t="str">
        <f ca="1"/>
        <v/>
      </c>
    </row>
    <row r="530" spans="11:16" ht="13.2">
      <c r="K530" s="12" t="str">
        <v/>
      </c>
      <c r="L530" s="12" t="str">
        <v/>
      </c>
      <c r="M530" s="12" t="str">
        <v/>
      </c>
      <c r="N530" s="12" t="str">
        <v/>
      </c>
      <c r="O530" s="12" t="str">
        <v/>
      </c>
      <c r="P530" s="12" t="str">
        <f ca="1"/>
        <v/>
      </c>
    </row>
    <row r="531" spans="11:16" ht="13.2">
      <c r="K531" s="12" t="str">
        <v/>
      </c>
      <c r="L531" s="12" t="str">
        <v/>
      </c>
      <c r="M531" s="12" t="str">
        <v/>
      </c>
      <c r="N531" s="12" t="str">
        <v/>
      </c>
      <c r="O531" s="12" t="str">
        <v/>
      </c>
      <c r="P531" s="12" t="str">
        <f ca="1"/>
        <v/>
      </c>
    </row>
    <row r="532" spans="11:16" ht="13.2">
      <c r="K532" s="12" t="str">
        <v/>
      </c>
      <c r="L532" s="12" t="str">
        <v/>
      </c>
      <c r="M532" s="12" t="str">
        <v/>
      </c>
      <c r="N532" s="12" t="str">
        <v/>
      </c>
      <c r="O532" s="12" t="str">
        <v/>
      </c>
      <c r="P532" s="12" t="str">
        <f ca="1"/>
        <v/>
      </c>
    </row>
    <row r="533" spans="11:16" ht="13.2">
      <c r="K533" s="12" t="str">
        <v/>
      </c>
      <c r="L533" s="12" t="str">
        <v/>
      </c>
      <c r="M533" s="12" t="str">
        <v/>
      </c>
      <c r="N533" s="12" t="str">
        <v/>
      </c>
      <c r="O533" s="12" t="str">
        <v/>
      </c>
      <c r="P533" s="12" t="str">
        <f ca="1"/>
        <v/>
      </c>
    </row>
    <row r="534" spans="11:16" ht="13.2">
      <c r="K534" s="12" t="str">
        <v/>
      </c>
      <c r="L534" s="12" t="str">
        <v/>
      </c>
      <c r="M534" s="12" t="str">
        <v/>
      </c>
      <c r="N534" s="12" t="str">
        <v/>
      </c>
      <c r="O534" s="12" t="str">
        <v/>
      </c>
      <c r="P534" s="12" t="str">
        <f ca="1"/>
        <v/>
      </c>
    </row>
    <row r="535" spans="11:16" ht="13.2">
      <c r="K535" s="12" t="str">
        <v/>
      </c>
      <c r="L535" s="12" t="str">
        <v/>
      </c>
      <c r="M535" s="12" t="str">
        <v/>
      </c>
      <c r="N535" s="12" t="str">
        <v/>
      </c>
      <c r="O535" s="12" t="str">
        <v/>
      </c>
      <c r="P535" s="12" t="str">
        <f ca="1"/>
        <v/>
      </c>
    </row>
    <row r="536" spans="11:16" ht="13.2">
      <c r="K536" s="12" t="str">
        <v/>
      </c>
      <c r="L536" s="12" t="str">
        <v/>
      </c>
      <c r="M536" s="12" t="str">
        <v/>
      </c>
      <c r="N536" s="12" t="str">
        <v/>
      </c>
      <c r="O536" s="12" t="str">
        <v/>
      </c>
      <c r="P536" s="12" t="str">
        <f ca="1"/>
        <v/>
      </c>
    </row>
    <row r="537" spans="11:16" ht="13.2">
      <c r="K537" s="12" t="str">
        <v/>
      </c>
      <c r="L537" s="12" t="str">
        <v/>
      </c>
      <c r="M537" s="12" t="str">
        <v/>
      </c>
      <c r="N537" s="12" t="str">
        <v/>
      </c>
      <c r="O537" s="12" t="str">
        <v/>
      </c>
      <c r="P537" s="12" t="str">
        <f ca="1"/>
        <v/>
      </c>
    </row>
    <row r="538" spans="11:16" ht="13.2">
      <c r="K538" s="12" t="str">
        <v/>
      </c>
      <c r="L538" s="12" t="str">
        <v/>
      </c>
      <c r="M538" s="12" t="str">
        <v/>
      </c>
      <c r="N538" s="12" t="str">
        <v/>
      </c>
      <c r="O538" s="12" t="str">
        <v/>
      </c>
      <c r="P538" s="12" t="str">
        <f ca="1"/>
        <v/>
      </c>
    </row>
    <row r="539" spans="11:16" ht="13.2">
      <c r="K539" s="12" t="str">
        <v/>
      </c>
      <c r="L539" s="12" t="str">
        <v/>
      </c>
      <c r="M539" s="12" t="str">
        <v/>
      </c>
      <c r="N539" s="12" t="str">
        <v/>
      </c>
      <c r="O539" s="12" t="str">
        <v/>
      </c>
      <c r="P539" s="12" t="str">
        <f ca="1"/>
        <v/>
      </c>
    </row>
    <row r="540" spans="11:16" ht="13.2">
      <c r="K540" s="12" t="str">
        <v/>
      </c>
      <c r="L540" s="12" t="str">
        <v/>
      </c>
      <c r="M540" s="12" t="str">
        <v/>
      </c>
      <c r="N540" s="12" t="str">
        <v/>
      </c>
      <c r="O540" s="12" t="str">
        <v/>
      </c>
      <c r="P540" s="12" t="str">
        <f ca="1"/>
        <v/>
      </c>
    </row>
    <row r="541" spans="11:16" ht="13.2">
      <c r="K541" s="12" t="str">
        <v/>
      </c>
      <c r="L541" s="12" t="str">
        <v/>
      </c>
      <c r="M541" s="12" t="str">
        <v/>
      </c>
      <c r="N541" s="12" t="str">
        <v/>
      </c>
      <c r="O541" s="12" t="str">
        <v/>
      </c>
      <c r="P541" s="12" t="str">
        <f ca="1"/>
        <v/>
      </c>
    </row>
    <row r="542" spans="11:16" ht="13.2">
      <c r="K542" s="12" t="str">
        <v/>
      </c>
      <c r="L542" s="12" t="str">
        <v/>
      </c>
      <c r="M542" s="12" t="str">
        <v/>
      </c>
      <c r="N542" s="12" t="str">
        <v/>
      </c>
      <c r="O542" s="12" t="str">
        <v/>
      </c>
      <c r="P542" s="12" t="str">
        <f ca="1"/>
        <v/>
      </c>
    </row>
    <row r="543" spans="11:16" ht="13.2">
      <c r="K543" s="12" t="str">
        <v/>
      </c>
      <c r="L543" s="12" t="str">
        <v/>
      </c>
      <c r="M543" s="12" t="str">
        <v/>
      </c>
      <c r="N543" s="12" t="str">
        <v/>
      </c>
      <c r="O543" s="12" t="str">
        <v/>
      </c>
      <c r="P543" s="12" t="str">
        <f ca="1"/>
        <v/>
      </c>
    </row>
    <row r="544" spans="11:16" ht="13.2">
      <c r="K544" s="12" t="str">
        <v/>
      </c>
      <c r="L544" s="12" t="str">
        <v/>
      </c>
      <c r="M544" s="12" t="str">
        <v/>
      </c>
      <c r="N544" s="12" t="str">
        <v/>
      </c>
      <c r="O544" s="12" t="str">
        <v/>
      </c>
      <c r="P544" s="12" t="str">
        <f ca="1"/>
        <v/>
      </c>
    </row>
    <row r="545" spans="11:16" ht="13.2">
      <c r="K545" s="12" t="str">
        <v/>
      </c>
      <c r="L545" s="12" t="str">
        <v/>
      </c>
      <c r="M545" s="12" t="str">
        <v/>
      </c>
      <c r="N545" s="12" t="str">
        <v/>
      </c>
      <c r="O545" s="12" t="str">
        <v/>
      </c>
      <c r="P545" s="12" t="str">
        <f ca="1"/>
        <v/>
      </c>
    </row>
    <row r="546" spans="11:16" ht="13.2">
      <c r="K546" s="12" t="str">
        <v/>
      </c>
      <c r="L546" s="12" t="str">
        <v/>
      </c>
      <c r="M546" s="12" t="str">
        <v/>
      </c>
      <c r="N546" s="12" t="str">
        <v/>
      </c>
      <c r="O546" s="12" t="str">
        <v/>
      </c>
      <c r="P546" s="12" t="str">
        <f ca="1"/>
        <v/>
      </c>
    </row>
    <row r="547" spans="11:16" ht="13.2">
      <c r="K547" s="12" t="str">
        <v/>
      </c>
      <c r="L547" s="12" t="str">
        <v/>
      </c>
      <c r="M547" s="12" t="str">
        <v/>
      </c>
      <c r="N547" s="12" t="str">
        <v/>
      </c>
      <c r="O547" s="12" t="str">
        <v/>
      </c>
      <c r="P547" s="12" t="str">
        <f ca="1"/>
        <v/>
      </c>
    </row>
    <row r="548" spans="11:16" ht="13.2">
      <c r="K548" s="12" t="str">
        <v/>
      </c>
      <c r="L548" s="12" t="str">
        <v/>
      </c>
      <c r="M548" s="12" t="str">
        <v/>
      </c>
      <c r="N548" s="12" t="str">
        <v/>
      </c>
      <c r="O548" s="12" t="str">
        <v/>
      </c>
      <c r="P548" s="12" t="str">
        <f ca="1"/>
        <v/>
      </c>
    </row>
    <row r="549" spans="11:16" ht="13.2">
      <c r="K549" s="12" t="str">
        <v/>
      </c>
      <c r="L549" s="12" t="str">
        <v/>
      </c>
      <c r="M549" s="12" t="str">
        <v/>
      </c>
      <c r="N549" s="12" t="str">
        <v/>
      </c>
      <c r="O549" s="12" t="str">
        <v/>
      </c>
      <c r="P549" s="12" t="str">
        <f ca="1"/>
        <v/>
      </c>
    </row>
    <row r="550" spans="11:16" ht="13.2">
      <c r="K550" s="12" t="str">
        <v/>
      </c>
      <c r="L550" s="12" t="str">
        <v/>
      </c>
      <c r="M550" s="12" t="str">
        <v/>
      </c>
      <c r="N550" s="12" t="str">
        <v/>
      </c>
      <c r="O550" s="12" t="str">
        <v/>
      </c>
      <c r="P550" s="12" t="str">
        <f ca="1"/>
        <v/>
      </c>
    </row>
    <row r="551" spans="11:16" ht="13.2">
      <c r="K551" s="12" t="str">
        <v/>
      </c>
      <c r="L551" s="12" t="str">
        <v/>
      </c>
      <c r="M551" s="12" t="str">
        <v/>
      </c>
      <c r="N551" s="12" t="str">
        <v/>
      </c>
      <c r="O551" s="12" t="str">
        <v/>
      </c>
      <c r="P551" s="12" t="str">
        <f ca="1"/>
        <v/>
      </c>
    </row>
    <row r="552" spans="11:16" ht="13.2">
      <c r="K552" s="12" t="str">
        <v/>
      </c>
      <c r="L552" s="12" t="str">
        <v/>
      </c>
      <c r="M552" s="12" t="str">
        <v/>
      </c>
      <c r="N552" s="12" t="str">
        <v/>
      </c>
      <c r="O552" s="12" t="str">
        <v/>
      </c>
      <c r="P552" s="12" t="str">
        <f ca="1"/>
        <v/>
      </c>
    </row>
    <row r="553" spans="11:16" ht="13.2">
      <c r="K553" s="12" t="str">
        <v/>
      </c>
      <c r="L553" s="12" t="str">
        <v/>
      </c>
      <c r="M553" s="12" t="str">
        <v/>
      </c>
      <c r="N553" s="12" t="str">
        <v/>
      </c>
      <c r="O553" s="12" t="str">
        <v/>
      </c>
      <c r="P553" s="12" t="str">
        <f ca="1"/>
        <v/>
      </c>
    </row>
    <row r="554" spans="11:16" ht="13.2">
      <c r="K554" s="12" t="str">
        <v/>
      </c>
      <c r="L554" s="12" t="str">
        <v/>
      </c>
      <c r="M554" s="12" t="str">
        <v/>
      </c>
      <c r="N554" s="12" t="str">
        <v/>
      </c>
      <c r="O554" s="12" t="str">
        <v/>
      </c>
      <c r="P554" s="12" t="str">
        <f ca="1"/>
        <v/>
      </c>
    </row>
    <row r="555" spans="11:16" ht="13.2">
      <c r="K555" s="12" t="str">
        <v/>
      </c>
      <c r="L555" s="12" t="str">
        <v/>
      </c>
      <c r="M555" s="12" t="str">
        <v/>
      </c>
      <c r="N555" s="12" t="str">
        <v/>
      </c>
      <c r="O555" s="12" t="str">
        <v/>
      </c>
      <c r="P555" s="12" t="str">
        <f ca="1"/>
        <v/>
      </c>
    </row>
    <row r="556" spans="11:16" ht="13.2">
      <c r="K556" s="12" t="str">
        <v/>
      </c>
      <c r="L556" s="12" t="str">
        <v/>
      </c>
      <c r="M556" s="12" t="str">
        <v/>
      </c>
      <c r="N556" s="12" t="str">
        <v/>
      </c>
      <c r="O556" s="12" t="str">
        <v/>
      </c>
      <c r="P556" s="12" t="str">
        <f ca="1"/>
        <v/>
      </c>
    </row>
    <row r="557" spans="11:16" ht="13.2">
      <c r="K557" s="12" t="str">
        <v/>
      </c>
      <c r="L557" s="12" t="str">
        <v/>
      </c>
      <c r="M557" s="12" t="str">
        <v/>
      </c>
      <c r="N557" s="12" t="str">
        <v/>
      </c>
      <c r="O557" s="12" t="str">
        <v/>
      </c>
      <c r="P557" s="12" t="str">
        <f ca="1"/>
        <v/>
      </c>
    </row>
    <row r="558" spans="11:16" ht="13.2">
      <c r="K558" s="12" t="str">
        <v/>
      </c>
      <c r="L558" s="12" t="str">
        <v/>
      </c>
      <c r="M558" s="12" t="str">
        <v/>
      </c>
      <c r="N558" s="12" t="str">
        <v/>
      </c>
      <c r="O558" s="12" t="str">
        <v/>
      </c>
      <c r="P558" s="12" t="str">
        <f ca="1"/>
        <v/>
      </c>
    </row>
    <row r="559" spans="11:16" ht="13.2">
      <c r="K559" s="12" t="str">
        <v/>
      </c>
      <c r="L559" s="12" t="str">
        <v/>
      </c>
      <c r="M559" s="12" t="str">
        <v/>
      </c>
      <c r="N559" s="12" t="str">
        <v/>
      </c>
      <c r="O559" s="12" t="str">
        <v/>
      </c>
      <c r="P559" s="12" t="str">
        <f ca="1"/>
        <v/>
      </c>
    </row>
    <row r="560" spans="11:16" ht="13.2">
      <c r="K560" s="12" t="str">
        <v/>
      </c>
      <c r="L560" s="12" t="str">
        <v/>
      </c>
      <c r="M560" s="12" t="str">
        <v/>
      </c>
      <c r="N560" s="12" t="str">
        <v/>
      </c>
      <c r="O560" s="12" t="str">
        <v/>
      </c>
      <c r="P560" s="12" t="str">
        <f ca="1"/>
        <v/>
      </c>
    </row>
    <row r="561" spans="11:16" ht="13.2">
      <c r="K561" s="12" t="str">
        <v/>
      </c>
      <c r="L561" s="12" t="str">
        <v/>
      </c>
      <c r="M561" s="12" t="str">
        <v/>
      </c>
      <c r="N561" s="12" t="str">
        <v/>
      </c>
      <c r="O561" s="12" t="str">
        <v/>
      </c>
      <c r="P561" s="12" t="str">
        <f ca="1"/>
        <v/>
      </c>
    </row>
    <row r="562" spans="11:16" ht="13.2">
      <c r="K562" s="12" t="str">
        <v/>
      </c>
      <c r="L562" s="12" t="str">
        <v/>
      </c>
      <c r="M562" s="12" t="str">
        <v/>
      </c>
      <c r="N562" s="12" t="str">
        <v/>
      </c>
      <c r="O562" s="12" t="str">
        <v/>
      </c>
      <c r="P562" s="12" t="str">
        <f ca="1"/>
        <v/>
      </c>
    </row>
    <row r="563" spans="11:16" ht="13.2">
      <c r="K563" s="12" t="str">
        <v/>
      </c>
      <c r="L563" s="12" t="str">
        <v/>
      </c>
      <c r="M563" s="12" t="str">
        <v/>
      </c>
      <c r="N563" s="12" t="str">
        <v/>
      </c>
      <c r="O563" s="12" t="str">
        <v/>
      </c>
      <c r="P563" s="12" t="str">
        <f ca="1"/>
        <v/>
      </c>
    </row>
    <row r="564" spans="11:16" ht="13.2">
      <c r="K564" s="12" t="str">
        <v/>
      </c>
      <c r="L564" s="12" t="str">
        <v/>
      </c>
      <c r="M564" s="12" t="str">
        <v/>
      </c>
      <c r="N564" s="12" t="str">
        <v/>
      </c>
      <c r="O564" s="12" t="str">
        <v/>
      </c>
      <c r="P564" s="12" t="str">
        <f ca="1"/>
        <v/>
      </c>
    </row>
    <row r="565" spans="11:16" ht="13.2">
      <c r="K565" s="12" t="str">
        <v/>
      </c>
      <c r="L565" s="12" t="str">
        <v/>
      </c>
      <c r="M565" s="12" t="str">
        <v/>
      </c>
      <c r="N565" s="12" t="str">
        <v/>
      </c>
      <c r="O565" s="12" t="str">
        <v/>
      </c>
      <c r="P565" s="12" t="str">
        <f ca="1"/>
        <v/>
      </c>
    </row>
    <row r="566" spans="11:16" ht="13.2">
      <c r="K566" s="12" t="str">
        <v/>
      </c>
      <c r="L566" s="12" t="str">
        <v/>
      </c>
      <c r="M566" s="12" t="str">
        <v/>
      </c>
      <c r="N566" s="12" t="str">
        <v/>
      </c>
      <c r="O566" s="12" t="str">
        <v/>
      </c>
      <c r="P566" s="12" t="str">
        <f ca="1"/>
        <v/>
      </c>
    </row>
    <row r="567" spans="11:16" ht="13.2">
      <c r="K567" s="12" t="str">
        <v/>
      </c>
      <c r="L567" s="12" t="str">
        <v/>
      </c>
      <c r="M567" s="12" t="str">
        <v/>
      </c>
      <c r="N567" s="12" t="str">
        <v/>
      </c>
      <c r="O567" s="12" t="str">
        <v/>
      </c>
      <c r="P567" s="12" t="str">
        <f ca="1"/>
        <v/>
      </c>
    </row>
    <row r="568" spans="11:16" ht="13.2">
      <c r="K568" s="12" t="str">
        <v/>
      </c>
      <c r="L568" s="12" t="str">
        <v/>
      </c>
      <c r="M568" s="12" t="str">
        <v/>
      </c>
      <c r="N568" s="12" t="str">
        <v/>
      </c>
      <c r="O568" s="12" t="str">
        <v/>
      </c>
      <c r="P568" s="12" t="str">
        <f ca="1"/>
        <v/>
      </c>
    </row>
    <row r="569" spans="11:16" ht="13.2">
      <c r="K569" s="12" t="str">
        <v/>
      </c>
      <c r="L569" s="12" t="str">
        <v/>
      </c>
      <c r="M569" s="12" t="str">
        <v/>
      </c>
      <c r="N569" s="12" t="str">
        <v/>
      </c>
      <c r="O569" s="12" t="str">
        <v/>
      </c>
      <c r="P569" s="12" t="str">
        <f ca="1"/>
        <v/>
      </c>
    </row>
    <row r="570" spans="11:16" ht="13.2">
      <c r="K570" s="12" t="str">
        <v/>
      </c>
      <c r="L570" s="12" t="str">
        <v/>
      </c>
      <c r="M570" s="12" t="str">
        <v/>
      </c>
      <c r="N570" s="12" t="str">
        <v/>
      </c>
      <c r="O570" s="12" t="str">
        <v/>
      </c>
      <c r="P570" s="12" t="str">
        <f ca="1"/>
        <v/>
      </c>
    </row>
    <row r="571" spans="11:16" ht="13.2">
      <c r="K571" s="12" t="str">
        <v/>
      </c>
      <c r="L571" s="12" t="str">
        <v/>
      </c>
      <c r="M571" s="12" t="str">
        <v/>
      </c>
      <c r="N571" s="12" t="str">
        <v/>
      </c>
      <c r="O571" s="12" t="str">
        <v/>
      </c>
      <c r="P571" s="12" t="str">
        <f ca="1"/>
        <v/>
      </c>
    </row>
    <row r="572" spans="11:16" ht="13.2">
      <c r="K572" s="12" t="str">
        <v/>
      </c>
      <c r="L572" s="12" t="str">
        <v/>
      </c>
      <c r="M572" s="12" t="str">
        <v/>
      </c>
      <c r="N572" s="12" t="str">
        <v/>
      </c>
      <c r="O572" s="12" t="str">
        <v/>
      </c>
      <c r="P572" s="12" t="str">
        <f ca="1"/>
        <v/>
      </c>
    </row>
    <row r="573" spans="11:16" ht="13.2">
      <c r="K573" s="12" t="str">
        <v/>
      </c>
      <c r="L573" s="12" t="str">
        <v/>
      </c>
      <c r="M573" s="12" t="str">
        <v/>
      </c>
      <c r="N573" s="12" t="str">
        <v/>
      </c>
      <c r="O573" s="12" t="str">
        <v/>
      </c>
      <c r="P573" s="12" t="str">
        <f ca="1"/>
        <v/>
      </c>
    </row>
    <row r="574" spans="11:16" ht="13.2">
      <c r="K574" s="12" t="str">
        <v/>
      </c>
      <c r="L574" s="12" t="str">
        <v/>
      </c>
      <c r="M574" s="12" t="str">
        <v/>
      </c>
      <c r="N574" s="12" t="str">
        <v/>
      </c>
      <c r="O574" s="12" t="str">
        <v/>
      </c>
      <c r="P574" s="12" t="str">
        <f ca="1"/>
        <v/>
      </c>
    </row>
    <row r="575" spans="11:16" ht="13.2">
      <c r="K575" s="12" t="str">
        <v/>
      </c>
      <c r="L575" s="12" t="str">
        <v/>
      </c>
      <c r="M575" s="12" t="str">
        <v/>
      </c>
      <c r="N575" s="12" t="str">
        <v/>
      </c>
      <c r="O575" s="12" t="str">
        <v/>
      </c>
      <c r="P575" s="12" t="str">
        <f ca="1"/>
        <v/>
      </c>
    </row>
    <row r="576" spans="11:16" ht="13.2">
      <c r="K576" s="12" t="str">
        <v/>
      </c>
      <c r="L576" s="12" t="str">
        <v/>
      </c>
      <c r="M576" s="12" t="str">
        <v/>
      </c>
      <c r="N576" s="12" t="str">
        <v/>
      </c>
      <c r="O576" s="12" t="str">
        <v/>
      </c>
      <c r="P576" s="12" t="str">
        <f ca="1"/>
        <v/>
      </c>
    </row>
    <row r="577" spans="11:16" ht="13.2">
      <c r="K577" s="12" t="str">
        <v/>
      </c>
      <c r="L577" s="12" t="str">
        <v/>
      </c>
      <c r="M577" s="12" t="str">
        <v/>
      </c>
      <c r="N577" s="12" t="str">
        <v/>
      </c>
      <c r="O577" s="12" t="str">
        <v/>
      </c>
      <c r="P577" s="12" t="str">
        <f ca="1"/>
        <v/>
      </c>
    </row>
    <row r="578" spans="11:16" ht="13.2">
      <c r="K578" s="12" t="str">
        <v/>
      </c>
      <c r="L578" s="12" t="str">
        <v/>
      </c>
      <c r="M578" s="12" t="str">
        <v/>
      </c>
      <c r="N578" s="12" t="str">
        <v/>
      </c>
      <c r="O578" s="12" t="str">
        <v/>
      </c>
      <c r="P578" s="12" t="str">
        <f ca="1"/>
        <v/>
      </c>
    </row>
    <row r="579" spans="11:16" ht="13.2">
      <c r="K579" s="12" t="str">
        <v/>
      </c>
      <c r="L579" s="12" t="str">
        <v/>
      </c>
      <c r="M579" s="12" t="str">
        <v/>
      </c>
      <c r="N579" s="12" t="str">
        <v/>
      </c>
      <c r="O579" s="12" t="str">
        <v/>
      </c>
      <c r="P579" s="12" t="str">
        <f ca="1"/>
        <v/>
      </c>
    </row>
    <row r="580" spans="11:16" ht="13.2">
      <c r="K580" s="12" t="str">
        <v/>
      </c>
      <c r="L580" s="12" t="str">
        <v/>
      </c>
      <c r="M580" s="12" t="str">
        <v/>
      </c>
      <c r="N580" s="12" t="str">
        <v/>
      </c>
      <c r="O580" s="12" t="str">
        <v/>
      </c>
      <c r="P580" s="12" t="str">
        <f ca="1"/>
        <v/>
      </c>
    </row>
    <row r="581" spans="11:16" ht="13.2">
      <c r="K581" s="12" t="str">
        <v/>
      </c>
      <c r="L581" s="12" t="str">
        <v/>
      </c>
      <c r="M581" s="12" t="str">
        <v/>
      </c>
      <c r="N581" s="12" t="str">
        <v/>
      </c>
      <c r="O581" s="12" t="str">
        <v/>
      </c>
      <c r="P581" s="12" t="str">
        <f ca="1"/>
        <v/>
      </c>
    </row>
    <row r="582" spans="11:16" ht="13.2">
      <c r="K582" s="12" t="str">
        <v/>
      </c>
      <c r="L582" s="12" t="str">
        <v/>
      </c>
      <c r="M582" s="12" t="str">
        <v/>
      </c>
      <c r="N582" s="12" t="str">
        <v/>
      </c>
      <c r="O582" s="12" t="str">
        <v/>
      </c>
      <c r="P582" s="12" t="str">
        <f ca="1"/>
        <v/>
      </c>
    </row>
    <row r="583" spans="11:16" ht="13.2">
      <c r="K583" s="12" t="str">
        <v/>
      </c>
      <c r="L583" s="12" t="str">
        <v/>
      </c>
      <c r="M583" s="12" t="str">
        <v/>
      </c>
      <c r="N583" s="12" t="str">
        <v/>
      </c>
      <c r="O583" s="12" t="str">
        <v/>
      </c>
      <c r="P583" s="12" t="str">
        <f ca="1"/>
        <v/>
      </c>
    </row>
    <row r="584" spans="11:16" ht="13.2">
      <c r="K584" s="12" t="str">
        <v/>
      </c>
      <c r="L584" s="12" t="str">
        <v/>
      </c>
      <c r="M584" s="12" t="str">
        <v/>
      </c>
      <c r="N584" s="12" t="str">
        <v/>
      </c>
      <c r="O584" s="12" t="str">
        <v/>
      </c>
      <c r="P584" s="12" t="str">
        <f ca="1"/>
        <v/>
      </c>
    </row>
    <row r="585" spans="11:16" ht="13.2">
      <c r="K585" s="12" t="str">
        <v/>
      </c>
      <c r="L585" s="12" t="str">
        <v/>
      </c>
      <c r="M585" s="12" t="str">
        <v/>
      </c>
      <c r="N585" s="12" t="str">
        <v/>
      </c>
      <c r="O585" s="12" t="str">
        <v/>
      </c>
      <c r="P585" s="12" t="str">
        <f ca="1"/>
        <v/>
      </c>
    </row>
    <row r="586" spans="11:16" ht="13.2">
      <c r="K586" s="12" t="str">
        <v/>
      </c>
      <c r="L586" s="12" t="str">
        <v/>
      </c>
      <c r="M586" s="12" t="str">
        <v/>
      </c>
      <c r="N586" s="12" t="str">
        <v/>
      </c>
      <c r="O586" s="12" t="str">
        <v/>
      </c>
      <c r="P586" s="12" t="str">
        <f ca="1"/>
        <v/>
      </c>
    </row>
    <row r="587" spans="11:16" ht="13.2">
      <c r="K587" s="12" t="str">
        <v/>
      </c>
      <c r="L587" s="12" t="str">
        <v/>
      </c>
      <c r="M587" s="12" t="str">
        <v/>
      </c>
      <c r="N587" s="12" t="str">
        <v/>
      </c>
      <c r="O587" s="12" t="str">
        <v/>
      </c>
      <c r="P587" s="12" t="str">
        <f ca="1"/>
        <v/>
      </c>
    </row>
    <row r="588" spans="11:16" ht="13.2">
      <c r="K588" s="12" t="str">
        <v/>
      </c>
      <c r="L588" s="12" t="str">
        <v/>
      </c>
      <c r="M588" s="12" t="str">
        <v/>
      </c>
      <c r="N588" s="12" t="str">
        <v/>
      </c>
      <c r="O588" s="12" t="str">
        <v/>
      </c>
      <c r="P588" s="12" t="str">
        <f ca="1"/>
        <v/>
      </c>
    </row>
    <row r="589" spans="11:16" ht="13.2">
      <c r="K589" s="12" t="str">
        <v/>
      </c>
      <c r="L589" s="12" t="str">
        <v/>
      </c>
      <c r="M589" s="12" t="str">
        <v/>
      </c>
      <c r="N589" s="12" t="str">
        <v/>
      </c>
      <c r="O589" s="12" t="str">
        <v/>
      </c>
      <c r="P589" s="12" t="str">
        <f ca="1"/>
        <v/>
      </c>
    </row>
    <row r="590" spans="11:16" ht="13.2">
      <c r="K590" s="12" t="str">
        <v/>
      </c>
      <c r="L590" s="12" t="str">
        <v/>
      </c>
      <c r="M590" s="12" t="str">
        <v/>
      </c>
      <c r="N590" s="12" t="str">
        <v/>
      </c>
      <c r="O590" s="12" t="str">
        <v/>
      </c>
      <c r="P590" s="12" t="str">
        <f ca="1"/>
        <v/>
      </c>
    </row>
    <row r="591" spans="11:16" ht="13.2">
      <c r="K591" s="12" t="str">
        <v/>
      </c>
      <c r="L591" s="12" t="str">
        <v/>
      </c>
      <c r="M591" s="12" t="str">
        <v/>
      </c>
      <c r="N591" s="12" t="str">
        <v/>
      </c>
      <c r="O591" s="12" t="str">
        <v/>
      </c>
      <c r="P591" s="12" t="str">
        <f ca="1"/>
        <v/>
      </c>
    </row>
    <row r="592" spans="11:16" ht="13.2">
      <c r="K592" s="12" t="str">
        <v/>
      </c>
      <c r="L592" s="12" t="str">
        <v/>
      </c>
      <c r="M592" s="12" t="str">
        <v/>
      </c>
      <c r="N592" s="12" t="str">
        <v/>
      </c>
      <c r="O592" s="12" t="str">
        <v/>
      </c>
      <c r="P592" s="12" t="str">
        <f ca="1"/>
        <v/>
      </c>
    </row>
    <row r="593" spans="11:16" ht="13.2">
      <c r="K593" s="12" t="str">
        <v/>
      </c>
      <c r="L593" s="12" t="str">
        <v/>
      </c>
      <c r="M593" s="12" t="str">
        <v/>
      </c>
      <c r="N593" s="12" t="str">
        <v/>
      </c>
      <c r="O593" s="12" t="str">
        <v/>
      </c>
      <c r="P593" s="12" t="str">
        <f ca="1"/>
        <v/>
      </c>
    </row>
    <row r="594" spans="11:16" ht="13.2">
      <c r="K594" s="12" t="str">
        <v/>
      </c>
      <c r="L594" s="12" t="str">
        <v/>
      </c>
      <c r="M594" s="12" t="str">
        <v/>
      </c>
      <c r="N594" s="12" t="str">
        <v/>
      </c>
      <c r="O594" s="12" t="str">
        <v/>
      </c>
      <c r="P594" s="12" t="str">
        <f ca="1"/>
        <v/>
      </c>
    </row>
    <row r="595" spans="11:16" ht="13.2">
      <c r="K595" s="12" t="str">
        <v/>
      </c>
      <c r="L595" s="12" t="str">
        <v/>
      </c>
      <c r="M595" s="12" t="str">
        <v/>
      </c>
      <c r="N595" s="12" t="str">
        <v/>
      </c>
      <c r="O595" s="12" t="str">
        <v/>
      </c>
      <c r="P595" s="12" t="str">
        <f ca="1"/>
        <v/>
      </c>
    </row>
    <row r="596" spans="11:16" ht="13.2">
      <c r="K596" s="12" t="str">
        <v/>
      </c>
      <c r="L596" s="12" t="str">
        <v/>
      </c>
      <c r="M596" s="12" t="str">
        <v/>
      </c>
      <c r="N596" s="12" t="str">
        <v/>
      </c>
      <c r="O596" s="12" t="str">
        <v/>
      </c>
      <c r="P596" s="12" t="str">
        <f ca="1"/>
        <v/>
      </c>
    </row>
    <row r="597" spans="11:16" ht="13.2">
      <c r="K597" s="12" t="str">
        <v/>
      </c>
      <c r="L597" s="12" t="str">
        <v/>
      </c>
      <c r="M597" s="12" t="str">
        <v/>
      </c>
      <c r="N597" s="12" t="str">
        <v/>
      </c>
      <c r="O597" s="12" t="str">
        <v/>
      </c>
      <c r="P597" s="12" t="str">
        <f ca="1"/>
        <v/>
      </c>
    </row>
    <row r="598" spans="11:16" ht="13.2">
      <c r="K598" s="12" t="str">
        <v/>
      </c>
      <c r="L598" s="12" t="str">
        <v/>
      </c>
      <c r="M598" s="12" t="str">
        <v/>
      </c>
      <c r="N598" s="12" t="str">
        <v/>
      </c>
      <c r="O598" s="12" t="str">
        <v/>
      </c>
      <c r="P598" s="12" t="str">
        <f ca="1"/>
        <v/>
      </c>
    </row>
    <row r="599" spans="11:16" ht="13.2">
      <c r="K599" s="12" t="str">
        <v/>
      </c>
      <c r="L599" s="12" t="str">
        <v/>
      </c>
      <c r="M599" s="12" t="str">
        <v/>
      </c>
      <c r="N599" s="12" t="str">
        <v/>
      </c>
      <c r="O599" s="12" t="str">
        <v/>
      </c>
      <c r="P599" s="12" t="str">
        <f ca="1"/>
        <v/>
      </c>
    </row>
    <row r="600" spans="11:16" ht="13.2">
      <c r="K600" s="12" t="str">
        <v/>
      </c>
      <c r="L600" s="12" t="str">
        <v/>
      </c>
      <c r="M600" s="12" t="str">
        <v/>
      </c>
      <c r="N600" s="12" t="str">
        <v/>
      </c>
      <c r="O600" s="12" t="str">
        <v/>
      </c>
      <c r="P600" s="12" t="str">
        <f ca="1"/>
        <v/>
      </c>
    </row>
    <row r="601" spans="11:16" ht="13.2">
      <c r="K601" s="12" t="str">
        <v/>
      </c>
      <c r="L601" s="12" t="str">
        <v/>
      </c>
      <c r="M601" s="12" t="str">
        <v/>
      </c>
      <c r="N601" s="12" t="str">
        <v/>
      </c>
      <c r="O601" s="12" t="str">
        <v/>
      </c>
      <c r="P601" s="12" t="str">
        <f ca="1"/>
        <v/>
      </c>
    </row>
    <row r="602" spans="11:16" ht="13.2">
      <c r="K602" s="12" t="str">
        <v/>
      </c>
      <c r="L602" s="12" t="str">
        <v/>
      </c>
      <c r="M602" s="12" t="str">
        <v/>
      </c>
      <c r="N602" s="12" t="str">
        <v/>
      </c>
      <c r="O602" s="12" t="str">
        <v/>
      </c>
      <c r="P602" s="12" t="str">
        <f ca="1"/>
        <v/>
      </c>
    </row>
    <row r="603" spans="11:16" ht="13.2">
      <c r="K603" s="12" t="str">
        <v/>
      </c>
      <c r="L603" s="12" t="str">
        <v/>
      </c>
      <c r="M603" s="12" t="str">
        <v/>
      </c>
      <c r="N603" s="12" t="str">
        <v/>
      </c>
      <c r="O603" s="12" t="str">
        <v/>
      </c>
      <c r="P603" s="12" t="str">
        <f ca="1"/>
        <v/>
      </c>
    </row>
    <row r="604" spans="11:16" ht="13.2">
      <c r="K604" s="12" t="str">
        <v/>
      </c>
      <c r="L604" s="12" t="str">
        <v/>
      </c>
      <c r="M604" s="12" t="str">
        <v/>
      </c>
      <c r="N604" s="12" t="str">
        <v/>
      </c>
      <c r="O604" s="12" t="str">
        <v/>
      </c>
      <c r="P604" s="12" t="str">
        <f ca="1"/>
        <v/>
      </c>
    </row>
    <row r="605" spans="11:16" ht="13.2">
      <c r="K605" s="12" t="str">
        <v/>
      </c>
      <c r="L605" s="12" t="str">
        <v/>
      </c>
      <c r="M605" s="12" t="str">
        <v/>
      </c>
      <c r="N605" s="12" t="str">
        <v/>
      </c>
      <c r="O605" s="12" t="str">
        <v/>
      </c>
      <c r="P605" s="12" t="str">
        <f ca="1"/>
        <v/>
      </c>
    </row>
    <row r="606" spans="11:16" ht="13.2">
      <c r="K606" s="12" t="str">
        <v/>
      </c>
      <c r="L606" s="12" t="str">
        <v/>
      </c>
      <c r="M606" s="12" t="str">
        <v/>
      </c>
      <c r="N606" s="12" t="str">
        <v/>
      </c>
      <c r="O606" s="12" t="str">
        <v/>
      </c>
      <c r="P606" s="12" t="str">
        <f ca="1"/>
        <v/>
      </c>
    </row>
    <row r="607" spans="11:16" ht="13.2">
      <c r="K607" s="12" t="str">
        <v/>
      </c>
      <c r="L607" s="12" t="str">
        <v/>
      </c>
      <c r="M607" s="12" t="str">
        <v/>
      </c>
      <c r="N607" s="12" t="str">
        <v/>
      </c>
      <c r="O607" s="12" t="str">
        <v/>
      </c>
      <c r="P607" s="12" t="str">
        <f ca="1"/>
        <v/>
      </c>
    </row>
    <row r="608" spans="11:16" ht="13.2">
      <c r="K608" s="12" t="str">
        <v/>
      </c>
      <c r="L608" s="12" t="str">
        <v/>
      </c>
      <c r="M608" s="12" t="str">
        <v/>
      </c>
      <c r="N608" s="12" t="str">
        <v/>
      </c>
      <c r="O608" s="12" t="str">
        <v/>
      </c>
      <c r="P608" s="12" t="str">
        <f ca="1"/>
        <v/>
      </c>
    </row>
    <row r="609" spans="11:16" ht="13.2">
      <c r="K609" s="12" t="str">
        <v/>
      </c>
      <c r="L609" s="12" t="str">
        <v/>
      </c>
      <c r="M609" s="12" t="str">
        <v/>
      </c>
      <c r="N609" s="12" t="str">
        <v/>
      </c>
      <c r="O609" s="12" t="str">
        <v/>
      </c>
      <c r="P609" s="12" t="str">
        <f ca="1"/>
        <v/>
      </c>
    </row>
    <row r="610" spans="11:16" ht="13.2">
      <c r="K610" s="12" t="str">
        <v/>
      </c>
      <c r="L610" s="12" t="str">
        <v/>
      </c>
      <c r="M610" s="12" t="str">
        <v/>
      </c>
      <c r="N610" s="12" t="str">
        <v/>
      </c>
      <c r="O610" s="12" t="str">
        <v/>
      </c>
      <c r="P610" s="12" t="str">
        <f ca="1"/>
        <v/>
      </c>
    </row>
    <row r="611" spans="11:16" ht="13.2">
      <c r="K611" s="12" t="str">
        <v/>
      </c>
      <c r="L611" s="12" t="str">
        <v/>
      </c>
      <c r="M611" s="12" t="str">
        <v/>
      </c>
      <c r="N611" s="12" t="str">
        <v/>
      </c>
      <c r="O611" s="12" t="str">
        <v/>
      </c>
      <c r="P611" s="12" t="str">
        <f ca="1"/>
        <v/>
      </c>
    </row>
    <row r="612" spans="11:16" ht="13.2">
      <c r="K612" s="12" t="str">
        <v/>
      </c>
      <c r="L612" s="12" t="str">
        <v/>
      </c>
      <c r="M612" s="12" t="str">
        <v/>
      </c>
      <c r="N612" s="12" t="str">
        <v/>
      </c>
      <c r="O612" s="12" t="str">
        <v/>
      </c>
      <c r="P612" s="12" t="str">
        <f ca="1"/>
        <v/>
      </c>
    </row>
    <row r="613" spans="11:16" ht="13.2">
      <c r="K613" s="12" t="str">
        <v/>
      </c>
      <c r="L613" s="12" t="str">
        <v/>
      </c>
      <c r="M613" s="12" t="str">
        <v/>
      </c>
      <c r="N613" s="12" t="str">
        <v/>
      </c>
      <c r="O613" s="12" t="str">
        <v/>
      </c>
      <c r="P613" s="12" t="str">
        <f ca="1"/>
        <v/>
      </c>
    </row>
    <row r="614" spans="11:16" ht="13.2">
      <c r="K614" s="12" t="str">
        <v/>
      </c>
      <c r="L614" s="12" t="str">
        <v/>
      </c>
      <c r="M614" s="12" t="str">
        <v/>
      </c>
      <c r="N614" s="12" t="str">
        <v/>
      </c>
      <c r="O614" s="12" t="str">
        <v/>
      </c>
      <c r="P614" s="12" t="str">
        <f ca="1"/>
        <v/>
      </c>
    </row>
    <row r="615" spans="11:16" ht="13.2">
      <c r="K615" s="12" t="str">
        <v/>
      </c>
      <c r="L615" s="12" t="str">
        <v/>
      </c>
      <c r="M615" s="12" t="str">
        <v/>
      </c>
      <c r="N615" s="12" t="str">
        <v/>
      </c>
      <c r="O615" s="12" t="str">
        <v/>
      </c>
      <c r="P615" s="12" t="str">
        <f ca="1"/>
        <v/>
      </c>
    </row>
    <row r="616" spans="11:16" ht="13.2">
      <c r="K616" s="12" t="str">
        <v/>
      </c>
      <c r="L616" s="12" t="str">
        <v/>
      </c>
      <c r="M616" s="12" t="str">
        <v/>
      </c>
      <c r="N616" s="12" t="str">
        <v/>
      </c>
      <c r="O616" s="12" t="str">
        <v/>
      </c>
      <c r="P616" s="12" t="str">
        <f ca="1"/>
        <v/>
      </c>
    </row>
    <row r="617" spans="11:16" ht="13.2">
      <c r="K617" s="12" t="str">
        <v/>
      </c>
      <c r="L617" s="12" t="str">
        <v/>
      </c>
      <c r="M617" s="12" t="str">
        <v/>
      </c>
      <c r="N617" s="12" t="str">
        <v/>
      </c>
      <c r="O617" s="12" t="str">
        <v/>
      </c>
      <c r="P617" s="12" t="str">
        <f ca="1"/>
        <v/>
      </c>
    </row>
    <row r="618" spans="11:16" ht="13.2">
      <c r="K618" s="12" t="str">
        <v/>
      </c>
      <c r="L618" s="12" t="str">
        <v/>
      </c>
      <c r="M618" s="12" t="str">
        <v/>
      </c>
      <c r="N618" s="12" t="str">
        <v/>
      </c>
      <c r="O618" s="12" t="str">
        <v/>
      </c>
      <c r="P618" s="12" t="str">
        <f ca="1"/>
        <v/>
      </c>
    </row>
    <row r="619" spans="11:16" ht="13.2">
      <c r="K619" s="12" t="str">
        <v/>
      </c>
      <c r="L619" s="12" t="str">
        <v/>
      </c>
      <c r="M619" s="12" t="str">
        <v/>
      </c>
      <c r="N619" s="12" t="str">
        <v/>
      </c>
      <c r="O619" s="12" t="str">
        <v/>
      </c>
      <c r="P619" s="12" t="str">
        <f ca="1"/>
        <v/>
      </c>
    </row>
    <row r="620" spans="11:16" ht="13.2">
      <c r="K620" s="12" t="str">
        <v/>
      </c>
      <c r="L620" s="12" t="str">
        <v/>
      </c>
      <c r="M620" s="12" t="str">
        <v/>
      </c>
      <c r="N620" s="12" t="str">
        <v/>
      </c>
      <c r="O620" s="12" t="str">
        <v/>
      </c>
      <c r="P620" s="12" t="str">
        <f ca="1"/>
        <v/>
      </c>
    </row>
    <row r="621" spans="11:16" ht="13.2">
      <c r="K621" s="12" t="str">
        <v/>
      </c>
      <c r="L621" s="12" t="str">
        <v/>
      </c>
      <c r="M621" s="12" t="str">
        <v/>
      </c>
      <c r="N621" s="12" t="str">
        <v/>
      </c>
      <c r="O621" s="12" t="str">
        <v/>
      </c>
      <c r="P621" s="12" t="str">
        <f ca="1"/>
        <v/>
      </c>
    </row>
    <row r="622" spans="11:16" ht="13.2">
      <c r="K622" s="12" t="str">
        <v/>
      </c>
      <c r="L622" s="12" t="str">
        <v/>
      </c>
      <c r="M622" s="12" t="str">
        <v/>
      </c>
      <c r="N622" s="12" t="str">
        <v/>
      </c>
      <c r="O622" s="12" t="str">
        <v/>
      </c>
      <c r="P622" s="12" t="str">
        <f ca="1"/>
        <v/>
      </c>
    </row>
    <row r="623" spans="11:16" ht="13.2">
      <c r="K623" s="12" t="str">
        <v/>
      </c>
      <c r="L623" s="12" t="str">
        <v/>
      </c>
      <c r="M623" s="12" t="str">
        <v/>
      </c>
      <c r="N623" s="12" t="str">
        <v/>
      </c>
      <c r="O623" s="12" t="str">
        <v/>
      </c>
      <c r="P623" s="12" t="str">
        <f ca="1"/>
        <v/>
      </c>
    </row>
    <row r="624" spans="11:16" ht="13.2">
      <c r="K624" s="12" t="str">
        <v/>
      </c>
      <c r="L624" s="12" t="str">
        <v/>
      </c>
      <c r="M624" s="12" t="str">
        <v/>
      </c>
      <c r="N624" s="12" t="str">
        <v/>
      </c>
      <c r="O624" s="12" t="str">
        <v/>
      </c>
      <c r="P624" s="12" t="str">
        <f ca="1"/>
        <v/>
      </c>
    </row>
    <row r="625" spans="11:16" ht="13.2">
      <c r="K625" s="12" t="str">
        <v/>
      </c>
      <c r="L625" s="12" t="str">
        <v/>
      </c>
      <c r="M625" s="12" t="str">
        <v/>
      </c>
      <c r="N625" s="12" t="str">
        <v/>
      </c>
      <c r="O625" s="12" t="str">
        <v/>
      </c>
      <c r="P625" s="12" t="str">
        <f ca="1"/>
        <v/>
      </c>
    </row>
    <row r="626" spans="11:16" ht="13.2">
      <c r="K626" s="12" t="str">
        <v/>
      </c>
      <c r="L626" s="12" t="str">
        <v/>
      </c>
      <c r="M626" s="12" t="str">
        <v/>
      </c>
      <c r="N626" s="12" t="str">
        <v/>
      </c>
      <c r="O626" s="12" t="str">
        <v/>
      </c>
      <c r="P626" s="12" t="str">
        <f ca="1"/>
        <v/>
      </c>
    </row>
    <row r="627" spans="11:16" ht="13.2">
      <c r="K627" s="12" t="str">
        <v/>
      </c>
      <c r="L627" s="12" t="str">
        <v/>
      </c>
      <c r="M627" s="12" t="str">
        <v/>
      </c>
      <c r="N627" s="12" t="str">
        <v/>
      </c>
      <c r="O627" s="12" t="str">
        <v/>
      </c>
      <c r="P627" s="12" t="str">
        <f ca="1"/>
        <v/>
      </c>
    </row>
    <row r="628" spans="11:16" ht="13.2">
      <c r="K628" s="12" t="str">
        <v/>
      </c>
      <c r="L628" s="12" t="str">
        <v/>
      </c>
      <c r="M628" s="12" t="str">
        <v/>
      </c>
      <c r="N628" s="12" t="str">
        <v/>
      </c>
      <c r="O628" s="12" t="str">
        <v/>
      </c>
      <c r="P628" s="12" t="str">
        <f ca="1"/>
        <v/>
      </c>
    </row>
    <row r="629" spans="11:16" ht="13.2">
      <c r="K629" s="12" t="str">
        <v/>
      </c>
      <c r="L629" s="12" t="str">
        <v/>
      </c>
      <c r="M629" s="12" t="str">
        <v/>
      </c>
      <c r="N629" s="12" t="str">
        <v/>
      </c>
      <c r="O629" s="12" t="str">
        <v/>
      </c>
      <c r="P629" s="12" t="str">
        <f ca="1"/>
        <v/>
      </c>
    </row>
    <row r="630" spans="11:16" ht="13.2">
      <c r="K630" s="12" t="str">
        <v/>
      </c>
      <c r="L630" s="12" t="str">
        <v/>
      </c>
      <c r="M630" s="12" t="str">
        <v/>
      </c>
      <c r="N630" s="12" t="str">
        <v/>
      </c>
      <c r="O630" s="12" t="str">
        <v/>
      </c>
      <c r="P630" s="12" t="str">
        <f ca="1"/>
        <v/>
      </c>
    </row>
    <row r="631" spans="11:16" ht="13.2">
      <c r="K631" s="12" t="str">
        <v/>
      </c>
      <c r="L631" s="12" t="str">
        <v/>
      </c>
      <c r="M631" s="12" t="str">
        <v/>
      </c>
      <c r="N631" s="12" t="str">
        <v/>
      </c>
      <c r="O631" s="12" t="str">
        <v/>
      </c>
      <c r="P631" s="12" t="str">
        <f ca="1"/>
        <v/>
      </c>
    </row>
    <row r="632" spans="11:16" ht="13.2">
      <c r="K632" s="12" t="str">
        <v/>
      </c>
      <c r="L632" s="12" t="str">
        <v/>
      </c>
      <c r="M632" s="12" t="str">
        <v/>
      </c>
      <c r="N632" s="12" t="str">
        <v/>
      </c>
      <c r="O632" s="12" t="str">
        <v/>
      </c>
      <c r="P632" s="12" t="str">
        <f ca="1"/>
        <v/>
      </c>
    </row>
    <row r="633" spans="11:16" ht="13.2">
      <c r="K633" s="12" t="str">
        <v/>
      </c>
      <c r="L633" s="12" t="str">
        <v/>
      </c>
      <c r="M633" s="12" t="str">
        <v/>
      </c>
      <c r="N633" s="12" t="str">
        <v/>
      </c>
      <c r="O633" s="12" t="str">
        <v/>
      </c>
      <c r="P633" s="12" t="str">
        <f ca="1"/>
        <v/>
      </c>
    </row>
    <row r="634" spans="11:16" ht="13.2">
      <c r="K634" s="12" t="str">
        <v/>
      </c>
      <c r="L634" s="12" t="str">
        <v/>
      </c>
      <c r="M634" s="12" t="str">
        <v/>
      </c>
      <c r="N634" s="12" t="str">
        <v/>
      </c>
      <c r="O634" s="12" t="str">
        <v/>
      </c>
      <c r="P634" s="12" t="str">
        <f ca="1"/>
        <v/>
      </c>
    </row>
    <row r="635" spans="11:16" ht="13.2">
      <c r="K635" s="12" t="str">
        <v/>
      </c>
      <c r="L635" s="12" t="str">
        <v/>
      </c>
      <c r="M635" s="12" t="str">
        <v/>
      </c>
      <c r="N635" s="12" t="str">
        <v/>
      </c>
      <c r="O635" s="12" t="str">
        <v/>
      </c>
      <c r="P635" s="12" t="str">
        <f ca="1"/>
        <v/>
      </c>
    </row>
    <row r="636" spans="11:16" ht="13.2">
      <c r="K636" s="12" t="str">
        <v/>
      </c>
      <c r="L636" s="12" t="str">
        <v/>
      </c>
      <c r="M636" s="12" t="str">
        <v/>
      </c>
      <c r="N636" s="12" t="str">
        <v/>
      </c>
      <c r="O636" s="12" t="str">
        <v/>
      </c>
      <c r="P636" s="12" t="str">
        <f ca="1"/>
        <v/>
      </c>
    </row>
    <row r="637" spans="11:16" ht="13.2">
      <c r="K637" s="12" t="str">
        <v/>
      </c>
      <c r="L637" s="12" t="str">
        <v/>
      </c>
      <c r="M637" s="12" t="str">
        <v/>
      </c>
      <c r="N637" s="12" t="str">
        <v/>
      </c>
      <c r="O637" s="12" t="str">
        <v/>
      </c>
      <c r="P637" s="12" t="str">
        <f ca="1"/>
        <v/>
      </c>
    </row>
    <row r="638" spans="11:16" ht="13.2">
      <c r="K638" s="12" t="str">
        <v/>
      </c>
      <c r="L638" s="12" t="str">
        <v/>
      </c>
      <c r="M638" s="12" t="str">
        <v/>
      </c>
      <c r="N638" s="12" t="str">
        <v/>
      </c>
      <c r="O638" s="12" t="str">
        <v/>
      </c>
      <c r="P638" s="12" t="str">
        <f ca="1"/>
        <v/>
      </c>
    </row>
    <row r="639" spans="11:16" ht="13.2">
      <c r="K639" s="12" t="str">
        <v/>
      </c>
      <c r="L639" s="12" t="str">
        <v/>
      </c>
      <c r="M639" s="12" t="str">
        <v/>
      </c>
      <c r="N639" s="12" t="str">
        <v/>
      </c>
      <c r="O639" s="12" t="str">
        <v/>
      </c>
      <c r="P639" s="12" t="str">
        <f ca="1"/>
        <v/>
      </c>
    </row>
    <row r="640" spans="11:16" ht="13.2">
      <c r="K640" s="12" t="str">
        <v/>
      </c>
      <c r="L640" s="12" t="str">
        <v/>
      </c>
      <c r="M640" s="12" t="str">
        <v/>
      </c>
      <c r="N640" s="12" t="str">
        <v/>
      </c>
      <c r="O640" s="12" t="str">
        <v/>
      </c>
      <c r="P640" s="12" t="str">
        <f ca="1"/>
        <v/>
      </c>
    </row>
    <row r="641" spans="11:16" ht="13.2">
      <c r="K641" s="12" t="str">
        <v/>
      </c>
      <c r="L641" s="12" t="str">
        <v/>
      </c>
      <c r="M641" s="12" t="str">
        <v/>
      </c>
      <c r="N641" s="12" t="str">
        <v/>
      </c>
      <c r="O641" s="12" t="str">
        <v/>
      </c>
      <c r="P641" s="12" t="str">
        <f ca="1"/>
        <v/>
      </c>
    </row>
    <row r="642" spans="11:16" ht="13.2">
      <c r="K642" s="12" t="str">
        <v/>
      </c>
      <c r="L642" s="12" t="str">
        <v/>
      </c>
      <c r="M642" s="12" t="str">
        <v/>
      </c>
      <c r="N642" s="12" t="str">
        <v/>
      </c>
      <c r="O642" s="12" t="str">
        <v/>
      </c>
      <c r="P642" s="12" t="str">
        <f ca="1"/>
        <v/>
      </c>
    </row>
    <row r="643" spans="11:16" ht="13.2">
      <c r="K643" s="12" t="str">
        <v/>
      </c>
      <c r="L643" s="12" t="str">
        <v/>
      </c>
      <c r="M643" s="12" t="str">
        <v/>
      </c>
      <c r="N643" s="12" t="str">
        <v/>
      </c>
      <c r="O643" s="12" t="str">
        <v/>
      </c>
      <c r="P643" s="12" t="str">
        <f ca="1"/>
        <v/>
      </c>
    </row>
    <row r="644" spans="11:16" ht="13.2">
      <c r="K644" s="12" t="str">
        <v/>
      </c>
      <c r="L644" s="12" t="str">
        <v/>
      </c>
      <c r="M644" s="12" t="str">
        <v/>
      </c>
      <c r="N644" s="12" t="str">
        <v/>
      </c>
      <c r="O644" s="12" t="str">
        <v/>
      </c>
      <c r="P644" s="12" t="str">
        <f ca="1"/>
        <v/>
      </c>
    </row>
    <row r="645" spans="11:16" ht="13.2">
      <c r="K645" s="12" t="str">
        <v/>
      </c>
      <c r="L645" s="12" t="str">
        <v/>
      </c>
      <c r="M645" s="12" t="str">
        <v/>
      </c>
      <c r="N645" s="12" t="str">
        <v/>
      </c>
      <c r="O645" s="12" t="str">
        <v/>
      </c>
      <c r="P645" s="12" t="str">
        <f ca="1"/>
        <v/>
      </c>
    </row>
    <row r="646" spans="11:16" ht="13.2">
      <c r="K646" s="12" t="str">
        <v/>
      </c>
      <c r="L646" s="12" t="str">
        <v/>
      </c>
      <c r="M646" s="12" t="str">
        <v/>
      </c>
      <c r="N646" s="12" t="str">
        <v/>
      </c>
      <c r="O646" s="12" t="str">
        <v/>
      </c>
      <c r="P646" s="12" t="str">
        <f ca="1"/>
        <v/>
      </c>
    </row>
    <row r="647" spans="11:16" ht="13.2">
      <c r="K647" s="12" t="str">
        <v/>
      </c>
      <c r="L647" s="12" t="str">
        <v/>
      </c>
      <c r="M647" s="12" t="str">
        <v/>
      </c>
      <c r="N647" s="12" t="str">
        <v/>
      </c>
      <c r="O647" s="12" t="str">
        <v/>
      </c>
      <c r="P647" s="12" t="str">
        <f ca="1"/>
        <v/>
      </c>
    </row>
    <row r="648" spans="11:16" ht="13.2">
      <c r="K648" s="12" t="str">
        <v/>
      </c>
      <c r="L648" s="12" t="str">
        <v/>
      </c>
      <c r="M648" s="12" t="str">
        <v/>
      </c>
      <c r="N648" s="12" t="str">
        <v/>
      </c>
      <c r="O648" s="12" t="str">
        <v/>
      </c>
      <c r="P648" s="12" t="str">
        <f ca="1"/>
        <v/>
      </c>
    </row>
    <row r="649" spans="11:16" ht="13.2">
      <c r="K649" s="12" t="str">
        <v/>
      </c>
      <c r="L649" s="12" t="str">
        <v/>
      </c>
      <c r="M649" s="12" t="str">
        <v/>
      </c>
      <c r="N649" s="12" t="str">
        <v/>
      </c>
      <c r="O649" s="12" t="str">
        <v/>
      </c>
      <c r="P649" s="12" t="str">
        <f ca="1"/>
        <v/>
      </c>
    </row>
    <row r="650" spans="11:16" ht="13.2">
      <c r="K650" s="12" t="str">
        <v/>
      </c>
      <c r="L650" s="12" t="str">
        <v/>
      </c>
      <c r="M650" s="12" t="str">
        <v/>
      </c>
      <c r="N650" s="12" t="str">
        <v/>
      </c>
      <c r="O650" s="12" t="str">
        <v/>
      </c>
      <c r="P650" s="12" t="str">
        <f ca="1"/>
        <v/>
      </c>
    </row>
    <row r="651" spans="11:16" ht="13.2">
      <c r="K651" s="12" t="str">
        <v/>
      </c>
      <c r="L651" s="12" t="str">
        <v/>
      </c>
      <c r="M651" s="12" t="str">
        <v/>
      </c>
      <c r="N651" s="12" t="str">
        <v/>
      </c>
      <c r="O651" s="12" t="str">
        <v/>
      </c>
      <c r="P651" s="12" t="str">
        <f ca="1"/>
        <v/>
      </c>
    </row>
    <row r="652" spans="11:16" ht="13.2">
      <c r="K652" s="12" t="str">
        <v/>
      </c>
      <c r="L652" s="12" t="str">
        <v/>
      </c>
      <c r="M652" s="12" t="str">
        <v/>
      </c>
      <c r="N652" s="12" t="str">
        <v/>
      </c>
      <c r="O652" s="12" t="str">
        <v/>
      </c>
      <c r="P652" s="12" t="str">
        <f ca="1"/>
        <v/>
      </c>
    </row>
    <row r="653" spans="11:16" ht="13.2">
      <c r="K653" s="12" t="str">
        <v/>
      </c>
      <c r="L653" s="12" t="str">
        <v/>
      </c>
      <c r="M653" s="12" t="str">
        <v/>
      </c>
      <c r="N653" s="12" t="str">
        <v/>
      </c>
      <c r="O653" s="12" t="str">
        <v/>
      </c>
      <c r="P653" s="12" t="str">
        <f ca="1"/>
        <v/>
      </c>
    </row>
    <row r="654" spans="11:16" ht="13.2">
      <c r="K654" s="12" t="str">
        <v/>
      </c>
      <c r="L654" s="12" t="str">
        <v/>
      </c>
      <c r="M654" s="12" t="str">
        <v/>
      </c>
      <c r="N654" s="12" t="str">
        <v/>
      </c>
      <c r="O654" s="12" t="str">
        <v/>
      </c>
      <c r="P654" s="12" t="str">
        <f ca="1"/>
        <v/>
      </c>
    </row>
    <row r="655" spans="11:16" ht="13.2">
      <c r="K655" s="12" t="str">
        <v/>
      </c>
      <c r="L655" s="12" t="str">
        <v/>
      </c>
      <c r="M655" s="12" t="str">
        <v/>
      </c>
      <c r="N655" s="12" t="str">
        <v/>
      </c>
      <c r="O655" s="12" t="str">
        <v/>
      </c>
      <c r="P655" s="12" t="str">
        <f ca="1"/>
        <v/>
      </c>
    </row>
    <row r="656" spans="11:16" ht="13.2">
      <c r="K656" s="12" t="str">
        <v/>
      </c>
      <c r="L656" s="12" t="str">
        <v/>
      </c>
      <c r="M656" s="12" t="str">
        <v/>
      </c>
      <c r="N656" s="12" t="str">
        <v/>
      </c>
      <c r="O656" s="12" t="str">
        <v/>
      </c>
      <c r="P656" s="12" t="str">
        <f ca="1"/>
        <v/>
      </c>
    </row>
    <row r="657" spans="11:16" ht="13.2">
      <c r="K657" s="12" t="str">
        <v/>
      </c>
      <c r="L657" s="12" t="str">
        <v/>
      </c>
      <c r="M657" s="12" t="str">
        <v/>
      </c>
      <c r="N657" s="12" t="str">
        <v/>
      </c>
      <c r="O657" s="12" t="str">
        <v/>
      </c>
      <c r="P657" s="12" t="str">
        <f ca="1"/>
        <v/>
      </c>
    </row>
    <row r="658" spans="11:16" ht="13.2">
      <c r="K658" s="12" t="str">
        <v/>
      </c>
      <c r="L658" s="12" t="str">
        <v/>
      </c>
      <c r="M658" s="12" t="str">
        <v/>
      </c>
      <c r="N658" s="12" t="str">
        <v/>
      </c>
      <c r="O658" s="12" t="str">
        <v/>
      </c>
      <c r="P658" s="12" t="str">
        <f ca="1"/>
        <v/>
      </c>
    </row>
    <row r="659" spans="11:16" ht="13.2">
      <c r="K659" s="12" t="str">
        <v/>
      </c>
      <c r="L659" s="12" t="str">
        <v/>
      </c>
      <c r="M659" s="12" t="str">
        <v/>
      </c>
      <c r="N659" s="12" t="str">
        <v/>
      </c>
      <c r="O659" s="12" t="str">
        <v/>
      </c>
      <c r="P659" s="12" t="str">
        <f ca="1"/>
        <v/>
      </c>
    </row>
    <row r="660" spans="11:16" ht="13.2">
      <c r="K660" s="12" t="str">
        <v/>
      </c>
      <c r="L660" s="12" t="str">
        <v/>
      </c>
      <c r="M660" s="12" t="str">
        <v/>
      </c>
      <c r="N660" s="12" t="str">
        <v/>
      </c>
      <c r="O660" s="12" t="str">
        <v/>
      </c>
      <c r="P660" s="12" t="str">
        <f ca="1"/>
        <v/>
      </c>
    </row>
    <row r="661" spans="11:16" ht="13.2">
      <c r="K661" s="12" t="str">
        <v/>
      </c>
      <c r="L661" s="12" t="str">
        <v/>
      </c>
      <c r="M661" s="12" t="str">
        <v/>
      </c>
      <c r="N661" s="12" t="str">
        <v/>
      </c>
      <c r="O661" s="12" t="str">
        <v/>
      </c>
      <c r="P661" s="12" t="str">
        <f ca="1"/>
        <v/>
      </c>
    </row>
    <row r="662" spans="11:16" ht="13.2">
      <c r="K662" s="12" t="str">
        <v/>
      </c>
      <c r="L662" s="12" t="str">
        <v/>
      </c>
      <c r="M662" s="12" t="str">
        <v/>
      </c>
      <c r="N662" s="12" t="str">
        <v/>
      </c>
      <c r="O662" s="12" t="str">
        <v/>
      </c>
      <c r="P662" s="12" t="str">
        <f ca="1"/>
        <v/>
      </c>
    </row>
    <row r="663" spans="11:16" ht="13.2">
      <c r="K663" s="12" t="str">
        <v/>
      </c>
      <c r="L663" s="12" t="str">
        <v/>
      </c>
      <c r="M663" s="12" t="str">
        <v/>
      </c>
      <c r="N663" s="12" t="str">
        <v/>
      </c>
      <c r="O663" s="12" t="str">
        <v/>
      </c>
      <c r="P663" s="12" t="str">
        <f ca="1"/>
        <v/>
      </c>
    </row>
    <row r="664" spans="11:16" ht="13.2">
      <c r="K664" s="12" t="str">
        <v/>
      </c>
      <c r="L664" s="12" t="str">
        <v/>
      </c>
      <c r="M664" s="12" t="str">
        <v/>
      </c>
      <c r="N664" s="12" t="str">
        <v/>
      </c>
      <c r="O664" s="12" t="str">
        <v/>
      </c>
      <c r="P664" s="12" t="str">
        <f ca="1"/>
        <v/>
      </c>
    </row>
    <row r="665" spans="11:16" ht="13.2">
      <c r="K665" s="12" t="str">
        <v/>
      </c>
      <c r="L665" s="12" t="str">
        <v/>
      </c>
      <c r="M665" s="12" t="str">
        <v/>
      </c>
      <c r="N665" s="12" t="str">
        <v/>
      </c>
      <c r="O665" s="12" t="str">
        <v/>
      </c>
      <c r="P665" s="12" t="str">
        <f ca="1"/>
        <v/>
      </c>
    </row>
    <row r="666" spans="11:16" ht="13.2">
      <c r="K666" s="12" t="str">
        <v/>
      </c>
      <c r="L666" s="12" t="str">
        <v/>
      </c>
      <c r="M666" s="12" t="str">
        <v/>
      </c>
      <c r="N666" s="12" t="str">
        <v/>
      </c>
      <c r="O666" s="12" t="str">
        <v/>
      </c>
      <c r="P666" s="12" t="str">
        <f ca="1"/>
        <v/>
      </c>
    </row>
    <row r="667" spans="11:16" ht="13.2">
      <c r="K667" s="12" t="str">
        <v/>
      </c>
      <c r="L667" s="12" t="str">
        <v/>
      </c>
      <c r="M667" s="12" t="str">
        <v/>
      </c>
      <c r="N667" s="12" t="str">
        <v/>
      </c>
      <c r="O667" s="12" t="str">
        <v/>
      </c>
      <c r="P667" s="12" t="str">
        <f ca="1"/>
        <v/>
      </c>
    </row>
    <row r="668" spans="11:16" ht="13.2">
      <c r="K668" s="12" t="str">
        <v/>
      </c>
      <c r="L668" s="12" t="str">
        <v/>
      </c>
      <c r="M668" s="12" t="str">
        <v/>
      </c>
      <c r="N668" s="12" t="str">
        <v/>
      </c>
      <c r="O668" s="12" t="str">
        <v/>
      </c>
      <c r="P668" s="12" t="str">
        <f ca="1"/>
        <v/>
      </c>
    </row>
    <row r="669" spans="11:16" ht="13.2">
      <c r="K669" s="12" t="str">
        <v/>
      </c>
      <c r="L669" s="12" t="str">
        <v/>
      </c>
      <c r="M669" s="12" t="str">
        <v/>
      </c>
      <c r="N669" s="12" t="str">
        <v/>
      </c>
      <c r="O669" s="12" t="str">
        <v/>
      </c>
      <c r="P669" s="12" t="str">
        <f ca="1"/>
        <v/>
      </c>
    </row>
    <row r="670" spans="11:16" ht="13.2">
      <c r="K670" s="12" t="str">
        <v/>
      </c>
      <c r="L670" s="12" t="str">
        <v/>
      </c>
      <c r="M670" s="12" t="str">
        <v/>
      </c>
      <c r="N670" s="12" t="str">
        <v/>
      </c>
      <c r="O670" s="12" t="str">
        <v/>
      </c>
      <c r="P670" s="12" t="str">
        <f ca="1"/>
        <v/>
      </c>
    </row>
    <row r="671" spans="11:16" ht="13.2">
      <c r="K671" s="12" t="str">
        <v/>
      </c>
      <c r="L671" s="12" t="str">
        <v/>
      </c>
      <c r="M671" s="12" t="str">
        <v/>
      </c>
      <c r="N671" s="12" t="str">
        <v/>
      </c>
      <c r="O671" s="12" t="str">
        <v/>
      </c>
      <c r="P671" s="12" t="str">
        <f ca="1"/>
        <v/>
      </c>
    </row>
    <row r="672" spans="11:16" ht="13.2">
      <c r="K672" s="12" t="str">
        <v/>
      </c>
      <c r="L672" s="12" t="str">
        <v/>
      </c>
      <c r="M672" s="12" t="str">
        <v/>
      </c>
      <c r="N672" s="12" t="str">
        <v/>
      </c>
      <c r="O672" s="12" t="str">
        <v/>
      </c>
      <c r="P672" s="12" t="str">
        <f ca="1"/>
        <v/>
      </c>
    </row>
    <row r="673" spans="11:16" ht="13.2">
      <c r="K673" s="12" t="str">
        <v/>
      </c>
      <c r="L673" s="12" t="str">
        <v/>
      </c>
      <c r="M673" s="12" t="str">
        <v/>
      </c>
      <c r="N673" s="12" t="str">
        <v/>
      </c>
      <c r="O673" s="12" t="str">
        <v/>
      </c>
      <c r="P673" s="12" t="str">
        <f ca="1"/>
        <v/>
      </c>
    </row>
    <row r="674" spans="11:16" ht="13.2">
      <c r="K674" s="12" t="str">
        <v/>
      </c>
      <c r="L674" s="12" t="str">
        <v/>
      </c>
      <c r="M674" s="12" t="str">
        <v/>
      </c>
      <c r="N674" s="12" t="str">
        <v/>
      </c>
      <c r="O674" s="12" t="str">
        <v/>
      </c>
      <c r="P674" s="12" t="str">
        <f ca="1"/>
        <v/>
      </c>
    </row>
    <row r="675" spans="11:16" ht="13.2">
      <c r="K675" s="12" t="str">
        <v/>
      </c>
      <c r="L675" s="12" t="str">
        <v/>
      </c>
      <c r="M675" s="12" t="str">
        <v/>
      </c>
      <c r="N675" s="12" t="str">
        <v/>
      </c>
      <c r="O675" s="12" t="str">
        <v/>
      </c>
      <c r="P675" s="12" t="str">
        <f ca="1"/>
        <v/>
      </c>
    </row>
    <row r="676" spans="11:16" ht="13.2">
      <c r="K676" s="12" t="str">
        <v/>
      </c>
      <c r="L676" s="12" t="str">
        <v/>
      </c>
      <c r="M676" s="12" t="str">
        <v/>
      </c>
      <c r="N676" s="12" t="str">
        <v/>
      </c>
      <c r="O676" s="12" t="str">
        <v/>
      </c>
      <c r="P676" s="12" t="str">
        <f ca="1"/>
        <v/>
      </c>
    </row>
    <row r="677" spans="11:16" ht="13.2">
      <c r="K677" s="12" t="str">
        <v/>
      </c>
      <c r="L677" s="12" t="str">
        <v/>
      </c>
      <c r="M677" s="12" t="str">
        <v/>
      </c>
      <c r="N677" s="12" t="str">
        <v/>
      </c>
      <c r="O677" s="12" t="str">
        <v/>
      </c>
      <c r="P677" s="12" t="str">
        <f ca="1"/>
        <v/>
      </c>
    </row>
    <row r="678" spans="11:16" ht="13.2">
      <c r="K678" s="12" t="str">
        <v/>
      </c>
      <c r="L678" s="12" t="str">
        <v/>
      </c>
      <c r="M678" s="12" t="str">
        <v/>
      </c>
      <c r="N678" s="12" t="str">
        <v/>
      </c>
      <c r="O678" s="12" t="str">
        <v/>
      </c>
      <c r="P678" s="12" t="str">
        <f ca="1"/>
        <v/>
      </c>
    </row>
    <row r="679" spans="11:16" ht="13.2">
      <c r="K679" s="12" t="str">
        <v/>
      </c>
      <c r="L679" s="12" t="str">
        <v/>
      </c>
      <c r="M679" s="12" t="str">
        <v/>
      </c>
      <c r="N679" s="12" t="str">
        <v/>
      </c>
      <c r="O679" s="12" t="str">
        <v/>
      </c>
      <c r="P679" s="12" t="str">
        <f ca="1"/>
        <v/>
      </c>
    </row>
    <row r="680" spans="11:16" ht="13.2">
      <c r="K680" s="12" t="str">
        <v/>
      </c>
      <c r="L680" s="12" t="str">
        <v/>
      </c>
      <c r="M680" s="12" t="str">
        <v/>
      </c>
      <c r="N680" s="12" t="str">
        <v/>
      </c>
      <c r="O680" s="12" t="str">
        <v/>
      </c>
      <c r="P680" s="12" t="str">
        <f ca="1"/>
        <v/>
      </c>
    </row>
    <row r="681" spans="11:16" ht="13.2">
      <c r="K681" s="12" t="str">
        <v/>
      </c>
      <c r="L681" s="12" t="str">
        <v/>
      </c>
      <c r="M681" s="12" t="str">
        <v/>
      </c>
      <c r="N681" s="12" t="str">
        <v/>
      </c>
      <c r="O681" s="12" t="str">
        <v/>
      </c>
      <c r="P681" s="12" t="str">
        <f ca="1"/>
        <v/>
      </c>
    </row>
    <row r="682" spans="11:16" ht="13.2">
      <c r="K682" s="12" t="str">
        <v/>
      </c>
      <c r="L682" s="12" t="str">
        <v/>
      </c>
      <c r="M682" s="12" t="str">
        <v/>
      </c>
      <c r="N682" s="12" t="str">
        <v/>
      </c>
      <c r="O682" s="12" t="str">
        <v/>
      </c>
      <c r="P682" s="12" t="str">
        <f ca="1"/>
        <v/>
      </c>
    </row>
    <row r="683" spans="11:16" ht="13.2">
      <c r="K683" s="12" t="str">
        <v/>
      </c>
      <c r="L683" s="12" t="str">
        <v/>
      </c>
      <c r="M683" s="12" t="str">
        <v/>
      </c>
      <c r="N683" s="12" t="str">
        <v/>
      </c>
      <c r="O683" s="12" t="str">
        <v/>
      </c>
      <c r="P683" s="12" t="str">
        <f ca="1"/>
        <v/>
      </c>
    </row>
    <row r="684" spans="11:16" ht="13.2">
      <c r="K684" s="12" t="str">
        <v/>
      </c>
      <c r="L684" s="12" t="str">
        <v/>
      </c>
      <c r="M684" s="12" t="str">
        <v/>
      </c>
      <c r="N684" s="12" t="str">
        <v/>
      </c>
      <c r="O684" s="12" t="str">
        <v/>
      </c>
      <c r="P684" s="12" t="str">
        <f ca="1"/>
        <v/>
      </c>
    </row>
    <row r="685" spans="11:16" ht="13.2">
      <c r="K685" s="12" t="str">
        <v/>
      </c>
      <c r="L685" s="12" t="str">
        <v/>
      </c>
      <c r="M685" s="12" t="str">
        <v/>
      </c>
      <c r="N685" s="12" t="str">
        <v/>
      </c>
      <c r="O685" s="12" t="str">
        <v/>
      </c>
      <c r="P685" s="12" t="str">
        <f ca="1"/>
        <v/>
      </c>
    </row>
    <row r="686" spans="11:16" ht="13.2">
      <c r="K686" s="12" t="str">
        <v/>
      </c>
      <c r="L686" s="12" t="str">
        <v/>
      </c>
      <c r="M686" s="12" t="str">
        <v/>
      </c>
      <c r="N686" s="12" t="str">
        <v/>
      </c>
      <c r="O686" s="12" t="str">
        <v/>
      </c>
      <c r="P686" s="12" t="str">
        <f ca="1"/>
        <v/>
      </c>
    </row>
    <row r="687" spans="11:16" ht="13.2">
      <c r="K687" s="12" t="str">
        <v/>
      </c>
      <c r="L687" s="12" t="str">
        <v/>
      </c>
      <c r="M687" s="12" t="str">
        <v/>
      </c>
      <c r="N687" s="12" t="str">
        <v/>
      </c>
      <c r="O687" s="12" t="str">
        <v/>
      </c>
      <c r="P687" s="12" t="str">
        <f ca="1"/>
        <v/>
      </c>
    </row>
    <row r="688" spans="11:16" ht="13.2">
      <c r="K688" s="12" t="str">
        <v/>
      </c>
      <c r="L688" s="12" t="str">
        <v/>
      </c>
      <c r="M688" s="12" t="str">
        <v/>
      </c>
      <c r="N688" s="12" t="str">
        <v/>
      </c>
      <c r="O688" s="12" t="str">
        <v/>
      </c>
      <c r="P688" s="12" t="str">
        <f ca="1"/>
        <v/>
      </c>
    </row>
    <row r="689" spans="11:16" ht="13.2">
      <c r="K689" s="12" t="str">
        <v/>
      </c>
      <c r="L689" s="12" t="str">
        <v/>
      </c>
      <c r="M689" s="12" t="str">
        <v/>
      </c>
      <c r="N689" s="12" t="str">
        <v/>
      </c>
      <c r="O689" s="12" t="str">
        <v/>
      </c>
      <c r="P689" s="12" t="str">
        <f ca="1"/>
        <v/>
      </c>
    </row>
    <row r="690" spans="11:16" ht="13.2">
      <c r="K690" s="12" t="str">
        <v/>
      </c>
      <c r="L690" s="12" t="str">
        <v/>
      </c>
      <c r="M690" s="12" t="str">
        <v/>
      </c>
      <c r="N690" s="12" t="str">
        <v/>
      </c>
      <c r="O690" s="12" t="str">
        <v/>
      </c>
      <c r="P690" s="12" t="str">
        <f ca="1"/>
        <v/>
      </c>
    </row>
    <row r="691" spans="11:16" ht="13.2">
      <c r="K691" s="12" t="str">
        <v/>
      </c>
      <c r="L691" s="12" t="str">
        <v/>
      </c>
      <c r="M691" s="12" t="str">
        <v/>
      </c>
      <c r="N691" s="12" t="str">
        <v/>
      </c>
      <c r="O691" s="12" t="str">
        <v/>
      </c>
      <c r="P691" s="12" t="str">
        <f ca="1"/>
        <v/>
      </c>
    </row>
    <row r="692" spans="11:16" ht="13.2">
      <c r="K692" s="12" t="str">
        <v/>
      </c>
      <c r="L692" s="12" t="str">
        <v/>
      </c>
      <c r="M692" s="12" t="str">
        <v/>
      </c>
      <c r="N692" s="12" t="str">
        <v/>
      </c>
      <c r="O692" s="12" t="str">
        <v/>
      </c>
      <c r="P692" s="12" t="str">
        <f ca="1"/>
        <v/>
      </c>
    </row>
    <row r="693" spans="11:16" ht="13.2">
      <c r="K693" s="12" t="str">
        <v/>
      </c>
      <c r="L693" s="12" t="str">
        <v/>
      </c>
      <c r="M693" s="12" t="str">
        <v/>
      </c>
      <c r="N693" s="12" t="str">
        <v/>
      </c>
      <c r="O693" s="12" t="str">
        <v/>
      </c>
      <c r="P693" s="12" t="str">
        <f ca="1"/>
        <v/>
      </c>
    </row>
    <row r="694" spans="11:16" ht="13.2">
      <c r="K694" s="12" t="str">
        <v/>
      </c>
      <c r="L694" s="12" t="str">
        <v/>
      </c>
      <c r="M694" s="12" t="str">
        <v/>
      </c>
      <c r="N694" s="12" t="str">
        <v/>
      </c>
      <c r="O694" s="12" t="str">
        <v/>
      </c>
      <c r="P694" s="12" t="str">
        <f ca="1"/>
        <v/>
      </c>
    </row>
    <row r="695" spans="11:16" ht="13.2">
      <c r="K695" s="12" t="str">
        <v/>
      </c>
      <c r="L695" s="12" t="str">
        <v/>
      </c>
      <c r="M695" s="12" t="str">
        <v/>
      </c>
      <c r="N695" s="12" t="str">
        <v/>
      </c>
      <c r="O695" s="12" t="str">
        <v/>
      </c>
      <c r="P695" s="12" t="str">
        <f ca="1"/>
        <v/>
      </c>
    </row>
    <row r="696" spans="11:16" ht="13.2">
      <c r="K696" s="12" t="str">
        <v/>
      </c>
      <c r="L696" s="12" t="str">
        <v/>
      </c>
      <c r="M696" s="12" t="str">
        <v/>
      </c>
      <c r="N696" s="12" t="str">
        <v/>
      </c>
      <c r="O696" s="12" t="str">
        <v/>
      </c>
      <c r="P696" s="12" t="str">
        <f ca="1"/>
        <v/>
      </c>
    </row>
    <row r="697" spans="11:16" ht="13.2">
      <c r="K697" s="12" t="str">
        <v/>
      </c>
      <c r="L697" s="12" t="str">
        <v/>
      </c>
      <c r="M697" s="12" t="str">
        <v/>
      </c>
      <c r="N697" s="12" t="str">
        <v/>
      </c>
      <c r="O697" s="12" t="str">
        <v/>
      </c>
      <c r="P697" s="12" t="str">
        <f ca="1"/>
        <v/>
      </c>
    </row>
    <row r="698" spans="11:16" ht="13.2">
      <c r="K698" s="12" t="str">
        <v/>
      </c>
      <c r="L698" s="12" t="str">
        <v/>
      </c>
      <c r="M698" s="12" t="str">
        <v/>
      </c>
      <c r="N698" s="12" t="str">
        <v/>
      </c>
      <c r="O698" s="12" t="str">
        <v/>
      </c>
      <c r="P698" s="12" t="str">
        <f ca="1"/>
        <v/>
      </c>
    </row>
    <row r="699" spans="11:16" ht="13.2">
      <c r="K699" s="12" t="str">
        <v/>
      </c>
      <c r="L699" s="12" t="str">
        <v/>
      </c>
      <c r="M699" s="12" t="str">
        <v/>
      </c>
      <c r="N699" s="12" t="str">
        <v/>
      </c>
      <c r="O699" s="12" t="str">
        <v/>
      </c>
      <c r="P699" s="12" t="str">
        <f ca="1"/>
        <v/>
      </c>
    </row>
    <row r="700" spans="11:16" ht="13.2">
      <c r="K700" s="12" t="str">
        <v/>
      </c>
      <c r="L700" s="12" t="str">
        <v/>
      </c>
      <c r="M700" s="12" t="str">
        <v/>
      </c>
      <c r="N700" s="12" t="str">
        <v/>
      </c>
      <c r="O700" s="12" t="str">
        <v/>
      </c>
      <c r="P700" s="12" t="str">
        <f ca="1"/>
        <v/>
      </c>
    </row>
    <row r="701" spans="11:16" ht="13.2">
      <c r="K701" s="12" t="str">
        <v/>
      </c>
      <c r="L701" s="12" t="str">
        <v/>
      </c>
      <c r="M701" s="12" t="str">
        <v/>
      </c>
      <c r="N701" s="12" t="str">
        <v/>
      </c>
      <c r="O701" s="12" t="str">
        <v/>
      </c>
      <c r="P701" s="12" t="str">
        <f ca="1"/>
        <v/>
      </c>
    </row>
    <row r="702" spans="11:16" ht="13.2">
      <c r="K702" s="12" t="str">
        <v/>
      </c>
      <c r="L702" s="12" t="str">
        <v/>
      </c>
      <c r="M702" s="12" t="str">
        <v/>
      </c>
      <c r="N702" s="12" t="str">
        <v/>
      </c>
      <c r="O702" s="12" t="str">
        <v/>
      </c>
      <c r="P702" s="12" t="str">
        <f ca="1"/>
        <v/>
      </c>
    </row>
    <row r="703" spans="11:16" ht="13.2">
      <c r="K703" s="12" t="str">
        <v/>
      </c>
      <c r="L703" s="12" t="str">
        <v/>
      </c>
      <c r="M703" s="12" t="str">
        <v/>
      </c>
      <c r="N703" s="12" t="str">
        <v/>
      </c>
      <c r="O703" s="12" t="str">
        <v/>
      </c>
      <c r="P703" s="12" t="str">
        <f ca="1"/>
        <v/>
      </c>
    </row>
    <row r="704" spans="11:16" ht="13.2">
      <c r="K704" s="12" t="str">
        <v/>
      </c>
      <c r="L704" s="12" t="str">
        <v/>
      </c>
      <c r="M704" s="12" t="str">
        <v/>
      </c>
      <c r="N704" s="12" t="str">
        <v/>
      </c>
      <c r="O704" s="12" t="str">
        <v/>
      </c>
      <c r="P704" s="12" t="str">
        <f ca="1"/>
        <v/>
      </c>
    </row>
    <row r="705" spans="11:16" ht="13.2">
      <c r="K705" s="12" t="str">
        <v/>
      </c>
      <c r="L705" s="12" t="str">
        <v/>
      </c>
      <c r="M705" s="12" t="str">
        <v/>
      </c>
      <c r="N705" s="12" t="str">
        <v/>
      </c>
      <c r="O705" s="12" t="str">
        <v/>
      </c>
      <c r="P705" s="12" t="str">
        <f ca="1"/>
        <v/>
      </c>
    </row>
    <row r="706" spans="11:16" ht="13.2">
      <c r="K706" s="12" t="str">
        <v/>
      </c>
      <c r="L706" s="12" t="str">
        <v/>
      </c>
      <c r="M706" s="12" t="str">
        <v/>
      </c>
      <c r="N706" s="12" t="str">
        <v/>
      </c>
      <c r="O706" s="12" t="str">
        <v/>
      </c>
      <c r="P706" s="12" t="str">
        <f ca="1"/>
        <v/>
      </c>
    </row>
    <row r="707" spans="11:16" ht="13.2">
      <c r="K707" s="12" t="str">
        <v/>
      </c>
      <c r="L707" s="12" t="str">
        <v/>
      </c>
      <c r="M707" s="12" t="str">
        <v/>
      </c>
      <c r="N707" s="12" t="str">
        <v/>
      </c>
      <c r="O707" s="12" t="str">
        <v/>
      </c>
      <c r="P707" s="12" t="str">
        <f ca="1"/>
        <v/>
      </c>
    </row>
    <row r="708" spans="11:16" ht="13.2">
      <c r="K708" s="12" t="str">
        <v/>
      </c>
      <c r="L708" s="12" t="str">
        <v/>
      </c>
      <c r="M708" s="12" t="str">
        <v/>
      </c>
      <c r="N708" s="12" t="str">
        <v/>
      </c>
      <c r="O708" s="12" t="str">
        <v/>
      </c>
      <c r="P708" s="12" t="str">
        <f ca="1"/>
        <v/>
      </c>
    </row>
    <row r="709" spans="11:16" ht="13.2">
      <c r="K709" s="12" t="str">
        <v/>
      </c>
      <c r="L709" s="12" t="str">
        <v/>
      </c>
      <c r="M709" s="12" t="str">
        <v/>
      </c>
      <c r="N709" s="12" t="str">
        <v/>
      </c>
      <c r="O709" s="12" t="str">
        <v/>
      </c>
      <c r="P709" s="12" t="str">
        <f ca="1"/>
        <v/>
      </c>
    </row>
    <row r="710" spans="11:16" ht="13.2">
      <c r="K710" s="12" t="str">
        <v/>
      </c>
      <c r="L710" s="12" t="str">
        <v/>
      </c>
      <c r="M710" s="12" t="str">
        <v/>
      </c>
      <c r="N710" s="12" t="str">
        <v/>
      </c>
      <c r="O710" s="12" t="str">
        <v/>
      </c>
      <c r="P710" s="12" t="str">
        <f ca="1"/>
        <v/>
      </c>
    </row>
    <row r="711" spans="11:16" ht="13.2">
      <c r="K711" s="12" t="str">
        <v/>
      </c>
      <c r="L711" s="12" t="str">
        <v/>
      </c>
      <c r="M711" s="12" t="str">
        <v/>
      </c>
      <c r="N711" s="12" t="str">
        <v/>
      </c>
      <c r="O711" s="12" t="str">
        <v/>
      </c>
      <c r="P711" s="12" t="str">
        <f ca="1"/>
        <v/>
      </c>
    </row>
    <row r="712" spans="11:16" ht="13.2">
      <c r="K712" s="12" t="str">
        <v/>
      </c>
      <c r="L712" s="12" t="str">
        <v/>
      </c>
      <c r="M712" s="12" t="str">
        <v/>
      </c>
      <c r="N712" s="12" t="str">
        <v/>
      </c>
      <c r="O712" s="12" t="str">
        <v/>
      </c>
      <c r="P712" s="12" t="str">
        <f ca="1"/>
        <v/>
      </c>
    </row>
    <row r="713" spans="11:16" ht="13.2">
      <c r="K713" s="12" t="str">
        <v/>
      </c>
      <c r="L713" s="12" t="str">
        <v/>
      </c>
      <c r="M713" s="12" t="str">
        <v/>
      </c>
      <c r="N713" s="12" t="str">
        <v/>
      </c>
      <c r="O713" s="12" t="str">
        <v/>
      </c>
      <c r="P713" s="12" t="str">
        <f ca="1"/>
        <v/>
      </c>
    </row>
    <row r="714" spans="11:16" ht="13.2">
      <c r="K714" s="12" t="str">
        <v/>
      </c>
      <c r="L714" s="12" t="str">
        <v/>
      </c>
      <c r="M714" s="12" t="str">
        <v/>
      </c>
      <c r="N714" s="12" t="str">
        <v/>
      </c>
      <c r="O714" s="12" t="str">
        <v/>
      </c>
      <c r="P714" s="12" t="str">
        <f ca="1"/>
        <v/>
      </c>
    </row>
    <row r="715" spans="11:16" ht="13.2">
      <c r="K715" s="12" t="str">
        <v/>
      </c>
      <c r="L715" s="12" t="str">
        <v/>
      </c>
      <c r="M715" s="12" t="str">
        <v/>
      </c>
      <c r="N715" s="12" t="str">
        <v/>
      </c>
      <c r="O715" s="12" t="str">
        <v/>
      </c>
      <c r="P715" s="12" t="str">
        <f ca="1"/>
        <v/>
      </c>
    </row>
    <row r="716" spans="11:16" ht="13.2">
      <c r="K716" s="12" t="str">
        <v/>
      </c>
      <c r="L716" s="12" t="str">
        <v/>
      </c>
      <c r="M716" s="12" t="str">
        <v/>
      </c>
      <c r="N716" s="12" t="str">
        <v/>
      </c>
      <c r="O716" s="12" t="str">
        <v/>
      </c>
      <c r="P716" s="12" t="str">
        <f ca="1"/>
        <v/>
      </c>
    </row>
    <row r="717" spans="11:16" ht="13.2">
      <c r="K717" s="12" t="str">
        <v/>
      </c>
      <c r="L717" s="12" t="str">
        <v/>
      </c>
      <c r="M717" s="12" t="str">
        <v/>
      </c>
      <c r="N717" s="12" t="str">
        <v/>
      </c>
      <c r="O717" s="12" t="str">
        <v/>
      </c>
      <c r="P717" s="12" t="str">
        <f ca="1"/>
        <v/>
      </c>
    </row>
    <row r="718" spans="11:16" ht="13.2">
      <c r="K718" s="12" t="str">
        <v/>
      </c>
      <c r="L718" s="12" t="str">
        <v/>
      </c>
      <c r="M718" s="12" t="str">
        <v/>
      </c>
      <c r="N718" s="12" t="str">
        <v/>
      </c>
      <c r="O718" s="12" t="str">
        <v/>
      </c>
      <c r="P718" s="12" t="str">
        <f ca="1"/>
        <v/>
      </c>
    </row>
    <row r="719" spans="11:16" ht="13.2">
      <c r="K719" s="12" t="str">
        <v/>
      </c>
      <c r="L719" s="12" t="str">
        <v/>
      </c>
      <c r="M719" s="12" t="str">
        <v/>
      </c>
      <c r="N719" s="12" t="str">
        <v/>
      </c>
      <c r="O719" s="12" t="str">
        <v/>
      </c>
      <c r="P719" s="12" t="str">
        <f ca="1"/>
        <v/>
      </c>
    </row>
    <row r="720" spans="11:16" ht="13.2">
      <c r="K720" s="12" t="str">
        <v/>
      </c>
      <c r="L720" s="12" t="str">
        <v/>
      </c>
      <c r="M720" s="12" t="str">
        <v/>
      </c>
      <c r="N720" s="12" t="str">
        <v/>
      </c>
      <c r="O720" s="12" t="str">
        <v/>
      </c>
      <c r="P720" s="12" t="str">
        <f ca="1"/>
        <v/>
      </c>
    </row>
    <row r="721" spans="11:16" ht="13.2">
      <c r="K721" s="12" t="str">
        <v/>
      </c>
      <c r="L721" s="12" t="str">
        <v/>
      </c>
      <c r="M721" s="12" t="str">
        <v/>
      </c>
      <c r="N721" s="12" t="str">
        <v/>
      </c>
      <c r="O721" s="12" t="str">
        <v/>
      </c>
      <c r="P721" s="12" t="str">
        <f ca="1"/>
        <v/>
      </c>
    </row>
    <row r="722" spans="11:16" ht="13.2">
      <c r="K722" s="12" t="str">
        <v/>
      </c>
      <c r="L722" s="12" t="str">
        <v/>
      </c>
      <c r="M722" s="12" t="str">
        <v/>
      </c>
      <c r="N722" s="12" t="str">
        <v/>
      </c>
      <c r="O722" s="12" t="str">
        <v/>
      </c>
      <c r="P722" s="12" t="str">
        <f ca="1"/>
        <v/>
      </c>
    </row>
    <row r="723" spans="11:16" ht="13.2">
      <c r="K723" s="12" t="str">
        <v/>
      </c>
      <c r="L723" s="12" t="str">
        <v/>
      </c>
      <c r="M723" s="12" t="str">
        <v/>
      </c>
      <c r="N723" s="12" t="str">
        <v/>
      </c>
      <c r="O723" s="12" t="str">
        <v/>
      </c>
      <c r="P723" s="12" t="str">
        <f ca="1"/>
        <v/>
      </c>
    </row>
    <row r="724" spans="11:16" ht="13.2">
      <c r="K724" s="12" t="str">
        <v/>
      </c>
      <c r="L724" s="12" t="str">
        <v/>
      </c>
      <c r="M724" s="12" t="str">
        <v/>
      </c>
      <c r="N724" s="12" t="str">
        <v/>
      </c>
      <c r="O724" s="12" t="str">
        <v/>
      </c>
      <c r="P724" s="12" t="str">
        <f ca="1"/>
        <v/>
      </c>
    </row>
    <row r="725" spans="11:16" ht="13.2">
      <c r="K725" s="12" t="str">
        <v/>
      </c>
      <c r="L725" s="12" t="str">
        <v/>
      </c>
      <c r="M725" s="12" t="str">
        <v/>
      </c>
      <c r="N725" s="12" t="str">
        <v/>
      </c>
      <c r="O725" s="12" t="str">
        <v/>
      </c>
      <c r="P725" s="12" t="str">
        <f ca="1"/>
        <v/>
      </c>
    </row>
    <row r="726" spans="11:16" ht="13.2">
      <c r="K726" s="12" t="str">
        <v/>
      </c>
      <c r="L726" s="12" t="str">
        <v/>
      </c>
      <c r="M726" s="12" t="str">
        <v/>
      </c>
      <c r="N726" s="12" t="str">
        <v/>
      </c>
      <c r="O726" s="12" t="str">
        <v/>
      </c>
      <c r="P726" s="12" t="str">
        <f ca="1"/>
        <v/>
      </c>
    </row>
    <row r="727" spans="11:16" ht="13.2">
      <c r="K727" s="12" t="str">
        <v/>
      </c>
      <c r="L727" s="12" t="str">
        <v/>
      </c>
      <c r="M727" s="12" t="str">
        <v/>
      </c>
      <c r="N727" s="12" t="str">
        <v/>
      </c>
      <c r="O727" s="12" t="str">
        <v/>
      </c>
      <c r="P727" s="12" t="str">
        <f ca="1"/>
        <v/>
      </c>
    </row>
    <row r="728" spans="11:16" ht="13.2">
      <c r="K728" s="12" t="str">
        <v/>
      </c>
      <c r="L728" s="12" t="str">
        <v/>
      </c>
      <c r="M728" s="12" t="str">
        <v/>
      </c>
      <c r="N728" s="12" t="str">
        <v/>
      </c>
      <c r="O728" s="12" t="str">
        <v/>
      </c>
      <c r="P728" s="12" t="str">
        <f ca="1"/>
        <v/>
      </c>
    </row>
    <row r="729" spans="11:16" ht="13.2">
      <c r="K729" s="12" t="str">
        <v/>
      </c>
      <c r="L729" s="12" t="str">
        <v/>
      </c>
      <c r="M729" s="12" t="str">
        <v/>
      </c>
      <c r="N729" s="12" t="str">
        <v/>
      </c>
      <c r="O729" s="12" t="str">
        <v/>
      </c>
      <c r="P729" s="12" t="str">
        <f ca="1"/>
        <v/>
      </c>
    </row>
    <row r="730" spans="11:16" ht="13.2">
      <c r="K730" s="12" t="str">
        <v/>
      </c>
      <c r="L730" s="12" t="str">
        <v/>
      </c>
      <c r="M730" s="12" t="str">
        <v/>
      </c>
      <c r="N730" s="12" t="str">
        <v/>
      </c>
      <c r="O730" s="12" t="str">
        <v/>
      </c>
      <c r="P730" s="12" t="str">
        <f ca="1"/>
        <v/>
      </c>
    </row>
    <row r="731" spans="11:16" ht="13.2">
      <c r="K731" s="12" t="str">
        <v/>
      </c>
      <c r="L731" s="12" t="str">
        <v/>
      </c>
      <c r="M731" s="12" t="str">
        <v/>
      </c>
      <c r="N731" s="12" t="str">
        <v/>
      </c>
      <c r="O731" s="12" t="str">
        <v/>
      </c>
      <c r="P731" s="12" t="str">
        <f ca="1"/>
        <v/>
      </c>
    </row>
    <row r="732" spans="11:16" ht="13.2">
      <c r="K732" s="12" t="str">
        <v/>
      </c>
      <c r="L732" s="12" t="str">
        <v/>
      </c>
      <c r="M732" s="12" t="str">
        <v/>
      </c>
      <c r="N732" s="12" t="str">
        <v/>
      </c>
      <c r="O732" s="12" t="str">
        <v/>
      </c>
      <c r="P732" s="12" t="str">
        <f ca="1"/>
        <v/>
      </c>
    </row>
    <row r="733" spans="11:16" ht="13.2">
      <c r="K733" s="12" t="str">
        <v/>
      </c>
      <c r="L733" s="12" t="str">
        <v/>
      </c>
      <c r="M733" s="12" t="str">
        <v/>
      </c>
      <c r="N733" s="12" t="str">
        <v/>
      </c>
      <c r="O733" s="12" t="str">
        <v/>
      </c>
      <c r="P733" s="12" t="str">
        <f ca="1"/>
        <v/>
      </c>
    </row>
    <row r="734" spans="11:16" ht="13.2">
      <c r="K734" s="12" t="str">
        <v/>
      </c>
      <c r="L734" s="12" t="str">
        <v/>
      </c>
      <c r="M734" s="12" t="str">
        <v/>
      </c>
      <c r="N734" s="12" t="str">
        <v/>
      </c>
      <c r="O734" s="12" t="str">
        <v/>
      </c>
      <c r="P734" s="12" t="str">
        <f ca="1"/>
        <v/>
      </c>
    </row>
    <row r="735" spans="11:16" ht="13.2">
      <c r="K735" s="12" t="str">
        <v/>
      </c>
      <c r="L735" s="12" t="str">
        <v/>
      </c>
      <c r="M735" s="12" t="str">
        <v/>
      </c>
      <c r="N735" s="12" t="str">
        <v/>
      </c>
      <c r="O735" s="12" t="str">
        <v/>
      </c>
      <c r="P735" s="12" t="str">
        <f ca="1"/>
        <v/>
      </c>
    </row>
    <row r="736" spans="11:16" ht="13.2">
      <c r="K736" s="12" t="str">
        <v/>
      </c>
      <c r="L736" s="12" t="str">
        <v/>
      </c>
      <c r="M736" s="12" t="str">
        <v/>
      </c>
      <c r="N736" s="12" t="str">
        <v/>
      </c>
      <c r="O736" s="12" t="str">
        <v/>
      </c>
      <c r="P736" s="12" t="str">
        <f ca="1"/>
        <v/>
      </c>
    </row>
    <row r="737" spans="11:16" ht="13.2">
      <c r="K737" s="12" t="str">
        <v/>
      </c>
      <c r="L737" s="12" t="str">
        <v/>
      </c>
      <c r="M737" s="12" t="str">
        <v/>
      </c>
      <c r="N737" s="12" t="str">
        <v/>
      </c>
      <c r="O737" s="12" t="str">
        <v/>
      </c>
      <c r="P737" s="12" t="str">
        <f ca="1"/>
        <v/>
      </c>
    </row>
    <row r="738" spans="11:16" ht="13.2">
      <c r="K738" s="12" t="str">
        <v/>
      </c>
      <c r="L738" s="12" t="str">
        <v/>
      </c>
      <c r="M738" s="12" t="str">
        <v/>
      </c>
      <c r="N738" s="12" t="str">
        <v/>
      </c>
      <c r="O738" s="12" t="str">
        <v/>
      </c>
      <c r="P738" s="12" t="str">
        <f ca="1"/>
        <v/>
      </c>
    </row>
    <row r="739" spans="11:16" ht="13.2">
      <c r="K739" s="12" t="str">
        <v/>
      </c>
      <c r="L739" s="12" t="str">
        <v/>
      </c>
      <c r="M739" s="12" t="str">
        <v/>
      </c>
      <c r="N739" s="12" t="str">
        <v/>
      </c>
      <c r="O739" s="12" t="str">
        <v/>
      </c>
      <c r="P739" s="12" t="str">
        <f ca="1"/>
        <v/>
      </c>
    </row>
    <row r="740" spans="11:16" ht="13.2">
      <c r="K740" s="12" t="str">
        <v/>
      </c>
      <c r="L740" s="12" t="str">
        <v/>
      </c>
      <c r="M740" s="12" t="str">
        <v/>
      </c>
      <c r="N740" s="12" t="str">
        <v/>
      </c>
      <c r="O740" s="12" t="str">
        <v/>
      </c>
      <c r="P740" s="12" t="str">
        <f ca="1"/>
        <v/>
      </c>
    </row>
    <row r="741" spans="11:16" ht="13.2">
      <c r="K741" s="12" t="str">
        <v/>
      </c>
      <c r="L741" s="12" t="str">
        <v/>
      </c>
      <c r="M741" s="12" t="str">
        <v/>
      </c>
      <c r="N741" s="12" t="str">
        <v/>
      </c>
      <c r="O741" s="12" t="str">
        <v/>
      </c>
      <c r="P741" s="12" t="str">
        <f ca="1"/>
        <v/>
      </c>
    </row>
    <row r="742" spans="11:16" ht="13.2">
      <c r="K742" s="12" t="str">
        <v/>
      </c>
      <c r="L742" s="12" t="str">
        <v/>
      </c>
      <c r="M742" s="12" t="str">
        <v/>
      </c>
      <c r="N742" s="12" t="str">
        <v/>
      </c>
      <c r="O742" s="12" t="str">
        <v/>
      </c>
      <c r="P742" s="12" t="str">
        <f ca="1"/>
        <v/>
      </c>
    </row>
    <row r="743" spans="11:16" ht="13.2">
      <c r="K743" s="12" t="str">
        <v/>
      </c>
      <c r="L743" s="12" t="str">
        <v/>
      </c>
      <c r="M743" s="12" t="str">
        <v/>
      </c>
      <c r="N743" s="12" t="str">
        <v/>
      </c>
      <c r="O743" s="12" t="str">
        <v/>
      </c>
      <c r="P743" s="12" t="str">
        <f ca="1"/>
        <v/>
      </c>
    </row>
    <row r="744" spans="11:16" ht="13.2">
      <c r="K744" s="12" t="str">
        <v/>
      </c>
      <c r="L744" s="12" t="str">
        <v/>
      </c>
      <c r="M744" s="12" t="str">
        <v/>
      </c>
      <c r="N744" s="12" t="str">
        <v/>
      </c>
      <c r="O744" s="12" t="str">
        <v/>
      </c>
      <c r="P744" s="12" t="str">
        <f ca="1"/>
        <v/>
      </c>
    </row>
    <row r="745" spans="11:16" ht="13.2">
      <c r="K745" s="12" t="str">
        <v/>
      </c>
      <c r="L745" s="12" t="str">
        <v/>
      </c>
      <c r="M745" s="12" t="str">
        <v/>
      </c>
      <c r="N745" s="12" t="str">
        <v/>
      </c>
      <c r="O745" s="12" t="str">
        <v/>
      </c>
      <c r="P745" s="12" t="str">
        <f ca="1"/>
        <v/>
      </c>
    </row>
    <row r="746" spans="11:16" ht="13.2">
      <c r="K746" s="12" t="str">
        <v/>
      </c>
      <c r="L746" s="12" t="str">
        <v/>
      </c>
      <c r="M746" s="12" t="str">
        <v/>
      </c>
      <c r="N746" s="12" t="str">
        <v/>
      </c>
      <c r="O746" s="12" t="str">
        <v/>
      </c>
      <c r="P746" s="12" t="str">
        <f ca="1"/>
        <v/>
      </c>
    </row>
    <row r="747" spans="11:16" ht="13.2">
      <c r="K747" s="12" t="str">
        <v/>
      </c>
      <c r="L747" s="12" t="str">
        <v/>
      </c>
      <c r="M747" s="12" t="str">
        <v/>
      </c>
      <c r="N747" s="12" t="str">
        <v/>
      </c>
      <c r="O747" s="12" t="str">
        <v/>
      </c>
      <c r="P747" s="12" t="str">
        <f ca="1"/>
        <v/>
      </c>
    </row>
    <row r="748" spans="11:16" ht="13.2">
      <c r="K748" s="12" t="str">
        <v/>
      </c>
      <c r="L748" s="12" t="str">
        <v/>
      </c>
      <c r="M748" s="12" t="str">
        <v/>
      </c>
      <c r="N748" s="12" t="str">
        <v/>
      </c>
      <c r="O748" s="12" t="str">
        <v/>
      </c>
      <c r="P748" s="12" t="str">
        <f ca="1"/>
        <v/>
      </c>
    </row>
    <row r="749" spans="11:16" ht="13.2">
      <c r="K749" s="12" t="str">
        <v/>
      </c>
      <c r="L749" s="12" t="str">
        <v/>
      </c>
      <c r="M749" s="12" t="str">
        <v/>
      </c>
      <c r="N749" s="12" t="str">
        <v/>
      </c>
      <c r="O749" s="12" t="str">
        <v/>
      </c>
      <c r="P749" s="12" t="str">
        <f ca="1"/>
        <v/>
      </c>
    </row>
    <row r="750" spans="11:16" ht="13.2">
      <c r="K750" s="12" t="str">
        <v/>
      </c>
      <c r="L750" s="12" t="str">
        <v/>
      </c>
      <c r="M750" s="12" t="str">
        <v/>
      </c>
      <c r="N750" s="12" t="str">
        <v/>
      </c>
      <c r="O750" s="12" t="str">
        <v/>
      </c>
      <c r="P750" s="12" t="str">
        <f ca="1"/>
        <v/>
      </c>
    </row>
    <row r="751" spans="11:16" ht="13.2">
      <c r="K751" s="12" t="str">
        <v/>
      </c>
      <c r="L751" s="12" t="str">
        <v/>
      </c>
      <c r="M751" s="12" t="str">
        <v/>
      </c>
      <c r="N751" s="12" t="str">
        <v/>
      </c>
      <c r="O751" s="12" t="str">
        <v/>
      </c>
      <c r="P751" s="12" t="str">
        <f ca="1"/>
        <v/>
      </c>
    </row>
    <row r="752" spans="11:16" ht="13.2">
      <c r="K752" s="12" t="str">
        <v/>
      </c>
      <c r="L752" s="12" t="str">
        <v/>
      </c>
      <c r="M752" s="12" t="str">
        <v/>
      </c>
      <c r="N752" s="12" t="str">
        <v/>
      </c>
      <c r="O752" s="12" t="str">
        <v/>
      </c>
      <c r="P752" s="12" t="str">
        <f ca="1"/>
        <v/>
      </c>
    </row>
    <row r="753" spans="11:16" ht="13.2">
      <c r="K753" s="12" t="str">
        <v/>
      </c>
      <c r="L753" s="12" t="str">
        <v/>
      </c>
      <c r="M753" s="12" t="str">
        <v/>
      </c>
      <c r="N753" s="12" t="str">
        <v/>
      </c>
      <c r="O753" s="12" t="str">
        <v/>
      </c>
      <c r="P753" s="12" t="str">
        <f ca="1"/>
        <v/>
      </c>
    </row>
    <row r="754" spans="11:16" ht="13.2">
      <c r="K754" s="12" t="str">
        <v/>
      </c>
      <c r="L754" s="12" t="str">
        <v/>
      </c>
      <c r="M754" s="12" t="str">
        <v/>
      </c>
      <c r="N754" s="12" t="str">
        <v/>
      </c>
      <c r="O754" s="12" t="str">
        <v/>
      </c>
      <c r="P754" s="12" t="str">
        <f ca="1"/>
        <v/>
      </c>
    </row>
    <row r="755" spans="11:16" ht="13.2">
      <c r="K755" s="12" t="str">
        <v/>
      </c>
      <c r="L755" s="12" t="str">
        <v/>
      </c>
      <c r="M755" s="12" t="str">
        <v/>
      </c>
      <c r="N755" s="12" t="str">
        <v/>
      </c>
      <c r="O755" s="12" t="str">
        <v/>
      </c>
      <c r="P755" s="12" t="str">
        <f ca="1"/>
        <v/>
      </c>
    </row>
    <row r="756" spans="11:16" ht="13.2">
      <c r="K756" s="12" t="str">
        <v/>
      </c>
      <c r="L756" s="12" t="str">
        <v/>
      </c>
      <c r="M756" s="12" t="str">
        <v/>
      </c>
      <c r="N756" s="12" t="str">
        <v/>
      </c>
      <c r="O756" s="12" t="str">
        <v/>
      </c>
      <c r="P756" s="12" t="str">
        <f ca="1"/>
        <v/>
      </c>
    </row>
    <row r="757" spans="11:16" ht="13.2">
      <c r="K757" s="12" t="str">
        <v/>
      </c>
      <c r="L757" s="12" t="str">
        <v/>
      </c>
      <c r="M757" s="12" t="str">
        <v/>
      </c>
      <c r="N757" s="12" t="str">
        <v/>
      </c>
      <c r="O757" s="12" t="str">
        <v/>
      </c>
      <c r="P757" s="12" t="str">
        <f ca="1"/>
        <v/>
      </c>
    </row>
    <row r="758" spans="11:16" ht="13.2">
      <c r="K758" s="12" t="str">
        <v/>
      </c>
      <c r="L758" s="12" t="str">
        <v/>
      </c>
      <c r="M758" s="12" t="str">
        <v/>
      </c>
      <c r="N758" s="12" t="str">
        <v/>
      </c>
      <c r="O758" s="12" t="str">
        <v/>
      </c>
      <c r="P758" s="12" t="str">
        <f ca="1"/>
        <v/>
      </c>
    </row>
    <row r="759" spans="11:16" ht="13.2">
      <c r="K759" s="12" t="str">
        <v/>
      </c>
      <c r="L759" s="12" t="str">
        <v/>
      </c>
      <c r="M759" s="12" t="str">
        <v/>
      </c>
      <c r="N759" s="12" t="str">
        <v/>
      </c>
      <c r="O759" s="12" t="str">
        <v/>
      </c>
      <c r="P759" s="12" t="str">
        <f ca="1"/>
        <v/>
      </c>
    </row>
    <row r="760" spans="11:16" ht="13.2">
      <c r="K760" s="12" t="str">
        <v/>
      </c>
      <c r="L760" s="12" t="str">
        <v/>
      </c>
      <c r="M760" s="12" t="str">
        <v/>
      </c>
      <c r="N760" s="12" t="str">
        <v/>
      </c>
      <c r="O760" s="12" t="str">
        <v/>
      </c>
      <c r="P760" s="12" t="str">
        <f ca="1"/>
        <v/>
      </c>
    </row>
    <row r="761" spans="11:16" ht="13.2">
      <c r="K761" s="12" t="str">
        <v/>
      </c>
      <c r="L761" s="12" t="str">
        <v/>
      </c>
      <c r="M761" s="12" t="str">
        <v/>
      </c>
      <c r="N761" s="12" t="str">
        <v/>
      </c>
      <c r="O761" s="12" t="str">
        <v/>
      </c>
      <c r="P761" s="12" t="str">
        <f ca="1"/>
        <v/>
      </c>
    </row>
    <row r="762" spans="11:16" ht="13.2">
      <c r="K762" s="12" t="str">
        <v/>
      </c>
      <c r="L762" s="12" t="str">
        <v/>
      </c>
      <c r="M762" s="12" t="str">
        <v/>
      </c>
      <c r="N762" s="12" t="str">
        <v/>
      </c>
      <c r="O762" s="12" t="str">
        <v/>
      </c>
      <c r="P762" s="12" t="str">
        <f ca="1"/>
        <v/>
      </c>
    </row>
    <row r="763" spans="11:16" ht="13.2">
      <c r="K763" s="12" t="str">
        <v/>
      </c>
      <c r="L763" s="12" t="str">
        <v/>
      </c>
      <c r="M763" s="12" t="str">
        <v/>
      </c>
      <c r="N763" s="12" t="str">
        <v/>
      </c>
      <c r="O763" s="12" t="str">
        <v/>
      </c>
      <c r="P763" s="12" t="str">
        <f ca="1"/>
        <v/>
      </c>
    </row>
    <row r="764" spans="11:16" ht="13.2">
      <c r="K764" s="12" t="str">
        <v/>
      </c>
      <c r="L764" s="12" t="str">
        <v/>
      </c>
      <c r="M764" s="12" t="str">
        <v/>
      </c>
      <c r="N764" s="12" t="str">
        <v/>
      </c>
      <c r="O764" s="12" t="str">
        <v/>
      </c>
      <c r="P764" s="12" t="str">
        <f ca="1"/>
        <v/>
      </c>
    </row>
    <row r="765" spans="11:16" ht="13.2">
      <c r="K765" s="12" t="str">
        <v/>
      </c>
      <c r="L765" s="12" t="str">
        <v/>
      </c>
      <c r="M765" s="12" t="str">
        <v/>
      </c>
      <c r="N765" s="12" t="str">
        <v/>
      </c>
      <c r="O765" s="12" t="str">
        <v/>
      </c>
      <c r="P765" s="12" t="str">
        <f ca="1"/>
        <v/>
      </c>
    </row>
    <row r="766" spans="11:16" ht="13.2">
      <c r="K766" s="12" t="str">
        <v/>
      </c>
      <c r="L766" s="12" t="str">
        <v/>
      </c>
      <c r="M766" s="12" t="str">
        <v/>
      </c>
      <c r="N766" s="12" t="str">
        <v/>
      </c>
      <c r="O766" s="12" t="str">
        <v/>
      </c>
      <c r="P766" s="12" t="str">
        <f ca="1"/>
        <v/>
      </c>
    </row>
    <row r="767" spans="11:16" ht="13.2">
      <c r="K767" s="12" t="str">
        <v/>
      </c>
      <c r="L767" s="12" t="str">
        <v/>
      </c>
      <c r="M767" s="12" t="str">
        <v/>
      </c>
      <c r="N767" s="12" t="str">
        <v/>
      </c>
      <c r="O767" s="12" t="str">
        <v/>
      </c>
      <c r="P767" s="12" t="str">
        <f ca="1"/>
        <v/>
      </c>
    </row>
    <row r="768" spans="11:16" ht="13.2">
      <c r="K768" s="12" t="str">
        <v/>
      </c>
      <c r="L768" s="12" t="str">
        <v/>
      </c>
      <c r="M768" s="12" t="str">
        <v/>
      </c>
      <c r="N768" s="12" t="str">
        <v/>
      </c>
      <c r="O768" s="12" t="str">
        <v/>
      </c>
      <c r="P768" s="12" t="str">
        <f ca="1"/>
        <v/>
      </c>
    </row>
    <row r="769" spans="11:16" ht="13.2">
      <c r="K769" s="12" t="str">
        <v/>
      </c>
      <c r="L769" s="12" t="str">
        <v/>
      </c>
      <c r="M769" s="12" t="str">
        <v/>
      </c>
      <c r="N769" s="12" t="str">
        <v/>
      </c>
      <c r="O769" s="12" t="str">
        <v/>
      </c>
      <c r="P769" s="12" t="str">
        <f ca="1"/>
        <v/>
      </c>
    </row>
    <row r="770" spans="11:16" ht="13.2">
      <c r="K770" s="12" t="str">
        <v/>
      </c>
      <c r="L770" s="12" t="str">
        <v/>
      </c>
      <c r="M770" s="12" t="str">
        <v/>
      </c>
      <c r="N770" s="12" t="str">
        <v/>
      </c>
      <c r="O770" s="12" t="str">
        <v/>
      </c>
      <c r="P770" s="12" t="str">
        <f ca="1"/>
        <v/>
      </c>
    </row>
    <row r="771" spans="11:16" ht="13.2">
      <c r="K771" s="12" t="str">
        <v/>
      </c>
      <c r="L771" s="12" t="str">
        <v/>
      </c>
      <c r="M771" s="12" t="str">
        <v/>
      </c>
      <c r="N771" s="12" t="str">
        <v/>
      </c>
      <c r="O771" s="12" t="str">
        <v/>
      </c>
      <c r="P771" s="12" t="str">
        <f ca="1"/>
        <v/>
      </c>
    </row>
    <row r="772" spans="11:16" ht="13.2">
      <c r="K772" s="12" t="str">
        <v/>
      </c>
      <c r="L772" s="12" t="str">
        <v/>
      </c>
      <c r="M772" s="12" t="str">
        <v/>
      </c>
      <c r="N772" s="12" t="str">
        <v/>
      </c>
      <c r="O772" s="12" t="str">
        <v/>
      </c>
      <c r="P772" s="12" t="str">
        <f ca="1"/>
        <v/>
      </c>
    </row>
    <row r="773" spans="11:16" ht="13.2">
      <c r="K773" s="12" t="str">
        <v/>
      </c>
      <c r="L773" s="12" t="str">
        <v/>
      </c>
      <c r="M773" s="12" t="str">
        <v/>
      </c>
      <c r="N773" s="12" t="str">
        <v/>
      </c>
      <c r="O773" s="12" t="str">
        <v/>
      </c>
      <c r="P773" s="12" t="str">
        <f ca="1"/>
        <v/>
      </c>
    </row>
    <row r="774" spans="11:16" ht="13.2">
      <c r="K774" s="12" t="str">
        <v/>
      </c>
      <c r="L774" s="12" t="str">
        <v/>
      </c>
      <c r="M774" s="12" t="str">
        <v/>
      </c>
      <c r="N774" s="12" t="str">
        <v/>
      </c>
      <c r="O774" s="12" t="str">
        <v/>
      </c>
      <c r="P774" s="12" t="str">
        <f ca="1"/>
        <v/>
      </c>
    </row>
    <row r="775" spans="11:16" ht="13.2">
      <c r="K775" s="12" t="str">
        <v/>
      </c>
      <c r="L775" s="12" t="str">
        <v/>
      </c>
      <c r="M775" s="12" t="str">
        <v/>
      </c>
      <c r="N775" s="12" t="str">
        <v/>
      </c>
      <c r="O775" s="12" t="str">
        <v/>
      </c>
      <c r="P775" s="12" t="str">
        <f ca="1"/>
        <v/>
      </c>
    </row>
    <row r="776" spans="11:16" ht="13.2">
      <c r="K776" s="12" t="str">
        <v/>
      </c>
      <c r="L776" s="12" t="str">
        <v/>
      </c>
      <c r="M776" s="12" t="str">
        <v/>
      </c>
      <c r="N776" s="12" t="str">
        <v/>
      </c>
      <c r="O776" s="12" t="str">
        <v/>
      </c>
      <c r="P776" s="12" t="str">
        <f ca="1"/>
        <v/>
      </c>
    </row>
    <row r="777" spans="11:16" ht="13.2">
      <c r="K777" s="12" t="str">
        <v/>
      </c>
      <c r="L777" s="12" t="str">
        <v/>
      </c>
      <c r="M777" s="12" t="str">
        <v/>
      </c>
      <c r="N777" s="12" t="str">
        <v/>
      </c>
      <c r="O777" s="12" t="str">
        <v/>
      </c>
      <c r="P777" s="12" t="str">
        <f ca="1"/>
        <v/>
      </c>
    </row>
    <row r="778" spans="11:16" ht="13.2">
      <c r="K778" s="12" t="str">
        <v/>
      </c>
      <c r="L778" s="12" t="str">
        <v/>
      </c>
      <c r="M778" s="12" t="str">
        <v/>
      </c>
      <c r="N778" s="12" t="str">
        <v/>
      </c>
      <c r="O778" s="12" t="str">
        <v/>
      </c>
      <c r="P778" s="12" t="str">
        <f ca="1"/>
        <v/>
      </c>
    </row>
    <row r="779" spans="11:16" ht="13.2">
      <c r="K779" s="12" t="str">
        <v/>
      </c>
      <c r="L779" s="12" t="str">
        <v/>
      </c>
      <c r="M779" s="12" t="str">
        <v/>
      </c>
      <c r="N779" s="12" t="str">
        <v/>
      </c>
      <c r="O779" s="12" t="str">
        <v/>
      </c>
      <c r="P779" s="12" t="str">
        <f ca="1"/>
        <v/>
      </c>
    </row>
    <row r="780" spans="11:16" ht="13.2">
      <c r="K780" s="12" t="str">
        <v/>
      </c>
      <c r="L780" s="12" t="str">
        <v/>
      </c>
      <c r="M780" s="12" t="str">
        <v/>
      </c>
      <c r="N780" s="12" t="str">
        <v/>
      </c>
      <c r="O780" s="12" t="str">
        <v/>
      </c>
      <c r="P780" s="12" t="str">
        <f ca="1"/>
        <v/>
      </c>
    </row>
    <row r="781" spans="11:16" ht="13.2">
      <c r="K781" s="12" t="str">
        <v/>
      </c>
      <c r="L781" s="12" t="str">
        <v/>
      </c>
      <c r="M781" s="12" t="str">
        <v/>
      </c>
      <c r="N781" s="12" t="str">
        <v/>
      </c>
      <c r="O781" s="12" t="str">
        <v/>
      </c>
      <c r="P781" s="12" t="str">
        <f ca="1"/>
        <v/>
      </c>
    </row>
    <row r="782" spans="11:16" ht="13.2">
      <c r="K782" s="12" t="str">
        <v/>
      </c>
      <c r="L782" s="12" t="str">
        <v/>
      </c>
      <c r="M782" s="12" t="str">
        <v/>
      </c>
      <c r="N782" s="12" t="str">
        <v/>
      </c>
      <c r="O782" s="12" t="str">
        <v/>
      </c>
      <c r="P782" s="12" t="str">
        <f ca="1"/>
        <v/>
      </c>
    </row>
    <row r="783" spans="11:16" ht="13.2">
      <c r="K783" s="12" t="str">
        <v/>
      </c>
      <c r="L783" s="12" t="str">
        <v/>
      </c>
      <c r="M783" s="12" t="str">
        <v/>
      </c>
      <c r="N783" s="12" t="str">
        <v/>
      </c>
      <c r="O783" s="12" t="str">
        <v/>
      </c>
      <c r="P783" s="12" t="str">
        <f ca="1"/>
        <v/>
      </c>
    </row>
    <row r="784" spans="11:16" ht="13.2">
      <c r="K784" s="12" t="str">
        <v/>
      </c>
      <c r="L784" s="12" t="str">
        <v/>
      </c>
      <c r="M784" s="12" t="str">
        <v/>
      </c>
      <c r="N784" s="12" t="str">
        <v/>
      </c>
      <c r="O784" s="12" t="str">
        <v/>
      </c>
      <c r="P784" s="12" t="str">
        <f ca="1"/>
        <v/>
      </c>
    </row>
    <row r="785" spans="11:16" ht="13.2">
      <c r="K785" s="12" t="str">
        <v/>
      </c>
      <c r="L785" s="12" t="str">
        <v/>
      </c>
      <c r="M785" s="12" t="str">
        <v/>
      </c>
      <c r="N785" s="12" t="str">
        <v/>
      </c>
      <c r="O785" s="12" t="str">
        <v/>
      </c>
      <c r="P785" s="12" t="str">
        <f ca="1"/>
        <v/>
      </c>
    </row>
    <row r="786" spans="11:16" ht="13.2">
      <c r="K786" s="12" t="str">
        <v/>
      </c>
      <c r="L786" s="12" t="str">
        <v/>
      </c>
      <c r="M786" s="12" t="str">
        <v/>
      </c>
      <c r="N786" s="12" t="str">
        <v/>
      </c>
      <c r="O786" s="12" t="str">
        <v/>
      </c>
      <c r="P786" s="12" t="str">
        <f ca="1"/>
        <v/>
      </c>
    </row>
    <row r="787" spans="11:16" ht="13.2">
      <c r="K787" s="12" t="str">
        <v/>
      </c>
      <c r="L787" s="12" t="str">
        <v/>
      </c>
      <c r="M787" s="12" t="str">
        <v/>
      </c>
      <c r="N787" s="12" t="str">
        <v/>
      </c>
      <c r="O787" s="12" t="str">
        <v/>
      </c>
      <c r="P787" s="12" t="str">
        <f ca="1"/>
        <v/>
      </c>
    </row>
    <row r="788" spans="11:16" ht="13.2">
      <c r="K788" s="12" t="str">
        <v/>
      </c>
      <c r="L788" s="12" t="str">
        <v/>
      </c>
      <c r="M788" s="12" t="str">
        <v/>
      </c>
      <c r="N788" s="12" t="str">
        <v/>
      </c>
      <c r="O788" s="12" t="str">
        <v/>
      </c>
      <c r="P788" s="12" t="str">
        <f ca="1"/>
        <v/>
      </c>
    </row>
    <row r="789" spans="11:16" ht="13.2">
      <c r="K789" s="12" t="str">
        <v/>
      </c>
      <c r="L789" s="12" t="str">
        <v/>
      </c>
      <c r="M789" s="12" t="str">
        <v/>
      </c>
      <c r="N789" s="12" t="str">
        <v/>
      </c>
      <c r="O789" s="12" t="str">
        <v/>
      </c>
      <c r="P789" s="12" t="str">
        <f ca="1"/>
        <v/>
      </c>
    </row>
    <row r="790" spans="11:16" ht="13.2">
      <c r="K790" s="12" t="str">
        <v/>
      </c>
      <c r="L790" s="12" t="str">
        <v/>
      </c>
      <c r="M790" s="12" t="str">
        <v/>
      </c>
      <c r="N790" s="12" t="str">
        <v/>
      </c>
      <c r="O790" s="12" t="str">
        <v/>
      </c>
      <c r="P790" s="12" t="str">
        <f ca="1"/>
        <v/>
      </c>
    </row>
    <row r="791" spans="11:16" ht="13.2">
      <c r="K791" s="12" t="str">
        <v/>
      </c>
      <c r="L791" s="12" t="str">
        <v/>
      </c>
      <c r="M791" s="12" t="str">
        <v/>
      </c>
      <c r="N791" s="12" t="str">
        <v/>
      </c>
      <c r="O791" s="12" t="str">
        <v/>
      </c>
      <c r="P791" s="12" t="str">
        <f ca="1"/>
        <v/>
      </c>
    </row>
    <row r="792" spans="11:16" ht="13.2">
      <c r="K792" s="12" t="str">
        <v/>
      </c>
      <c r="L792" s="12" t="str">
        <v/>
      </c>
      <c r="M792" s="12" t="str">
        <v/>
      </c>
      <c r="N792" s="12" t="str">
        <v/>
      </c>
      <c r="O792" s="12" t="str">
        <v/>
      </c>
      <c r="P792" s="12" t="str">
        <f ca="1"/>
        <v/>
      </c>
    </row>
    <row r="793" spans="11:16" ht="13.2">
      <c r="K793" s="12" t="str">
        <v/>
      </c>
      <c r="L793" s="12" t="str">
        <v/>
      </c>
      <c r="M793" s="12" t="str">
        <v/>
      </c>
      <c r="N793" s="12" t="str">
        <v/>
      </c>
      <c r="O793" s="12" t="str">
        <v/>
      </c>
      <c r="P793" s="12" t="str">
        <f ca="1"/>
        <v/>
      </c>
    </row>
    <row r="794" spans="11:16" ht="13.2">
      <c r="K794" s="12" t="str">
        <v/>
      </c>
      <c r="L794" s="12" t="str">
        <v/>
      </c>
      <c r="M794" s="12" t="str">
        <v/>
      </c>
      <c r="N794" s="12" t="str">
        <v/>
      </c>
      <c r="O794" s="12" t="str">
        <v/>
      </c>
      <c r="P794" s="12" t="str">
        <f ca="1"/>
        <v/>
      </c>
    </row>
    <row r="795" spans="11:16" ht="13.2">
      <c r="K795" s="12" t="str">
        <v/>
      </c>
      <c r="L795" s="12" t="str">
        <v/>
      </c>
      <c r="M795" s="12" t="str">
        <v/>
      </c>
      <c r="N795" s="12" t="str">
        <v/>
      </c>
      <c r="O795" s="12" t="str">
        <v/>
      </c>
      <c r="P795" s="12" t="str">
        <f ca="1"/>
        <v/>
      </c>
    </row>
    <row r="796" spans="11:16" ht="13.2">
      <c r="K796" s="12" t="str">
        <v/>
      </c>
      <c r="L796" s="12" t="str">
        <v/>
      </c>
      <c r="M796" s="12" t="str">
        <v/>
      </c>
      <c r="N796" s="12" t="str">
        <v/>
      </c>
      <c r="O796" s="12" t="str">
        <v/>
      </c>
      <c r="P796" s="12" t="str">
        <f ca="1"/>
        <v/>
      </c>
    </row>
    <row r="797" spans="11:16" ht="13.2">
      <c r="K797" s="12" t="str">
        <v/>
      </c>
      <c r="L797" s="12" t="str">
        <v/>
      </c>
      <c r="M797" s="12" t="str">
        <v/>
      </c>
      <c r="N797" s="12" t="str">
        <v/>
      </c>
      <c r="O797" s="12" t="str">
        <v/>
      </c>
      <c r="P797" s="12" t="str">
        <f ca="1"/>
        <v/>
      </c>
    </row>
    <row r="798" spans="11:16" ht="13.2">
      <c r="K798" s="12" t="str">
        <v/>
      </c>
      <c r="L798" s="12" t="str">
        <v/>
      </c>
      <c r="M798" s="12" t="str">
        <v/>
      </c>
      <c r="N798" s="12" t="str">
        <v/>
      </c>
      <c r="O798" s="12" t="str">
        <v/>
      </c>
      <c r="P798" s="12" t="str">
        <f ca="1"/>
        <v/>
      </c>
    </row>
    <row r="799" spans="11:16" ht="13.2">
      <c r="K799" s="12" t="str">
        <v/>
      </c>
      <c r="L799" s="12" t="str">
        <v/>
      </c>
      <c r="M799" s="12" t="str">
        <v/>
      </c>
      <c r="N799" s="12" t="str">
        <v/>
      </c>
      <c r="O799" s="12" t="str">
        <v/>
      </c>
      <c r="P799" s="12" t="str">
        <f ca="1"/>
        <v/>
      </c>
    </row>
    <row r="800" spans="11:16" ht="13.2">
      <c r="K800" s="12" t="str">
        <v/>
      </c>
      <c r="L800" s="12" t="str">
        <v/>
      </c>
      <c r="M800" s="12" t="str">
        <v/>
      </c>
      <c r="N800" s="12" t="str">
        <v/>
      </c>
      <c r="O800" s="12" t="str">
        <v/>
      </c>
      <c r="P800" s="12" t="str">
        <f ca="1"/>
        <v/>
      </c>
    </row>
    <row r="801" spans="11:16" ht="13.2">
      <c r="K801" s="12" t="str">
        <v/>
      </c>
      <c r="L801" s="12" t="str">
        <v/>
      </c>
      <c r="M801" s="12" t="str">
        <v/>
      </c>
      <c r="N801" s="12" t="str">
        <v/>
      </c>
      <c r="O801" s="12" t="str">
        <v/>
      </c>
      <c r="P801" s="12" t="str">
        <f ca="1"/>
        <v/>
      </c>
    </row>
    <row r="802" spans="11:16" ht="13.2">
      <c r="K802" s="12" t="str">
        <v/>
      </c>
      <c r="L802" s="12" t="str">
        <v/>
      </c>
      <c r="M802" s="12" t="str">
        <v/>
      </c>
      <c r="N802" s="12" t="str">
        <v/>
      </c>
      <c r="O802" s="12" t="str">
        <v/>
      </c>
      <c r="P802" s="12" t="str">
        <f ca="1"/>
        <v/>
      </c>
    </row>
    <row r="803" spans="11:16" ht="13.2">
      <c r="K803" s="12" t="str">
        <v/>
      </c>
      <c r="L803" s="12" t="str">
        <v/>
      </c>
      <c r="M803" s="12" t="str">
        <v/>
      </c>
      <c r="N803" s="12" t="str">
        <v/>
      </c>
      <c r="O803" s="12" t="str">
        <v/>
      </c>
      <c r="P803" s="12" t="str">
        <f ca="1"/>
        <v/>
      </c>
    </row>
    <row r="804" spans="11:16" ht="13.2">
      <c r="K804" s="12" t="str">
        <v/>
      </c>
      <c r="L804" s="12" t="str">
        <v/>
      </c>
      <c r="M804" s="12" t="str">
        <v/>
      </c>
      <c r="N804" s="12" t="str">
        <v/>
      </c>
      <c r="O804" s="12" t="str">
        <v/>
      </c>
      <c r="P804" s="12" t="str">
        <f ca="1"/>
        <v/>
      </c>
    </row>
    <row r="805" spans="11:16" ht="13.2">
      <c r="K805" s="12" t="str">
        <v/>
      </c>
      <c r="L805" s="12" t="str">
        <v/>
      </c>
      <c r="M805" s="12" t="str">
        <v/>
      </c>
      <c r="N805" s="12" t="str">
        <v/>
      </c>
      <c r="O805" s="12" t="str">
        <v/>
      </c>
      <c r="P805" s="12" t="str">
        <f ca="1"/>
        <v/>
      </c>
    </row>
    <row r="806" spans="11:16" ht="13.2">
      <c r="K806" s="12" t="str">
        <v/>
      </c>
      <c r="L806" s="12" t="str">
        <v/>
      </c>
      <c r="M806" s="12" t="str">
        <v/>
      </c>
      <c r="N806" s="12" t="str">
        <v/>
      </c>
      <c r="O806" s="12" t="str">
        <v/>
      </c>
      <c r="P806" s="12" t="str">
        <f ca="1"/>
        <v/>
      </c>
    </row>
    <row r="807" spans="11:16" ht="13.2">
      <c r="K807" s="12" t="str">
        <v/>
      </c>
      <c r="L807" s="12" t="str">
        <v/>
      </c>
      <c r="M807" s="12" t="str">
        <v/>
      </c>
      <c r="N807" s="12" t="str">
        <v/>
      </c>
      <c r="O807" s="12" t="str">
        <v/>
      </c>
      <c r="P807" s="12" t="str">
        <f ca="1"/>
        <v/>
      </c>
    </row>
    <row r="808" spans="11:16" ht="13.2">
      <c r="K808" s="12" t="str">
        <v/>
      </c>
      <c r="L808" s="12" t="str">
        <v/>
      </c>
      <c r="M808" s="12" t="str">
        <v/>
      </c>
      <c r="N808" s="12" t="str">
        <v/>
      </c>
      <c r="O808" s="12" t="str">
        <v/>
      </c>
      <c r="P808" s="12" t="str">
        <f ca="1"/>
        <v/>
      </c>
    </row>
    <row r="809" spans="11:16" ht="13.2">
      <c r="K809" s="12" t="str">
        <v/>
      </c>
      <c r="L809" s="12" t="str">
        <v/>
      </c>
      <c r="M809" s="12" t="str">
        <v/>
      </c>
      <c r="N809" s="12" t="str">
        <v/>
      </c>
      <c r="O809" s="12" t="str">
        <v/>
      </c>
      <c r="P809" s="12" t="str">
        <f ca="1"/>
        <v/>
      </c>
    </row>
    <row r="810" spans="11:16" ht="13.2">
      <c r="K810" s="12" t="str">
        <v/>
      </c>
      <c r="L810" s="12" t="str">
        <v/>
      </c>
      <c r="M810" s="12" t="str">
        <v/>
      </c>
      <c r="N810" s="12" t="str">
        <v/>
      </c>
      <c r="O810" s="12" t="str">
        <v/>
      </c>
      <c r="P810" s="12" t="str">
        <f ca="1"/>
        <v/>
      </c>
    </row>
    <row r="811" spans="11:16" ht="13.2">
      <c r="K811" s="12" t="str">
        <v/>
      </c>
      <c r="L811" s="12" t="str">
        <v/>
      </c>
      <c r="M811" s="12" t="str">
        <v/>
      </c>
      <c r="N811" s="12" t="str">
        <v/>
      </c>
      <c r="O811" s="12" t="str">
        <v/>
      </c>
      <c r="P811" s="12" t="str">
        <f ca="1"/>
        <v/>
      </c>
    </row>
    <row r="812" spans="11:16" ht="13.2">
      <c r="K812" s="12" t="str">
        <v/>
      </c>
      <c r="L812" s="12" t="str">
        <v/>
      </c>
      <c r="M812" s="12" t="str">
        <v/>
      </c>
      <c r="N812" s="12" t="str">
        <v/>
      </c>
      <c r="O812" s="12" t="str">
        <v/>
      </c>
      <c r="P812" s="12" t="str">
        <f ca="1"/>
        <v/>
      </c>
    </row>
    <row r="813" spans="11:16" ht="13.2">
      <c r="K813" s="12" t="str">
        <v/>
      </c>
      <c r="L813" s="12" t="str">
        <v/>
      </c>
      <c r="M813" s="12" t="str">
        <v/>
      </c>
      <c r="N813" s="12" t="str">
        <v/>
      </c>
      <c r="O813" s="12" t="str">
        <v/>
      </c>
      <c r="P813" s="12" t="str">
        <f ca="1"/>
        <v/>
      </c>
    </row>
    <row r="814" spans="11:16" ht="13.2">
      <c r="K814" s="12" t="str">
        <v/>
      </c>
      <c r="L814" s="12" t="str">
        <v/>
      </c>
      <c r="M814" s="12" t="str">
        <v/>
      </c>
      <c r="N814" s="12" t="str">
        <v/>
      </c>
      <c r="O814" s="12" t="str">
        <v/>
      </c>
      <c r="P814" s="12" t="str">
        <f ca="1"/>
        <v/>
      </c>
    </row>
    <row r="815" spans="11:16" ht="13.2">
      <c r="K815" s="12" t="str">
        <v/>
      </c>
      <c r="L815" s="12" t="str">
        <v/>
      </c>
      <c r="M815" s="12" t="str">
        <v/>
      </c>
      <c r="N815" s="12" t="str">
        <v/>
      </c>
      <c r="O815" s="12" t="str">
        <v/>
      </c>
      <c r="P815" s="12" t="str">
        <f ca="1"/>
        <v/>
      </c>
    </row>
    <row r="816" spans="11:16" ht="13.2">
      <c r="K816" s="12" t="str">
        <v/>
      </c>
      <c r="L816" s="12" t="str">
        <v/>
      </c>
      <c r="M816" s="12" t="str">
        <v/>
      </c>
      <c r="N816" s="12" t="str">
        <v/>
      </c>
      <c r="O816" s="12" t="str">
        <v/>
      </c>
      <c r="P816" s="12" t="str">
        <f ca="1"/>
        <v/>
      </c>
    </row>
    <row r="817" spans="11:16" ht="13.2">
      <c r="K817" s="12" t="str">
        <v/>
      </c>
      <c r="L817" s="12" t="str">
        <v/>
      </c>
      <c r="M817" s="12" t="str">
        <v/>
      </c>
      <c r="N817" s="12" t="str">
        <v/>
      </c>
      <c r="O817" s="12" t="str">
        <v/>
      </c>
      <c r="P817" s="12" t="str">
        <f ca="1"/>
        <v/>
      </c>
    </row>
    <row r="818" spans="11:16" ht="13.2">
      <c r="K818" s="12" t="str">
        <v/>
      </c>
      <c r="L818" s="12" t="str">
        <v/>
      </c>
      <c r="M818" s="12" t="str">
        <v/>
      </c>
      <c r="N818" s="12" t="str">
        <v/>
      </c>
      <c r="O818" s="12" t="str">
        <v/>
      </c>
      <c r="P818" s="12" t="str">
        <f ca="1"/>
        <v/>
      </c>
    </row>
    <row r="819" spans="11:16" ht="13.2">
      <c r="K819" s="12" t="str">
        <v/>
      </c>
      <c r="L819" s="12" t="str">
        <v/>
      </c>
      <c r="M819" s="12" t="str">
        <v/>
      </c>
      <c r="N819" s="12" t="str">
        <v/>
      </c>
      <c r="O819" s="12" t="str">
        <v/>
      </c>
      <c r="P819" s="12" t="str">
        <f ca="1"/>
        <v/>
      </c>
    </row>
    <row r="820" spans="11:16" ht="13.2">
      <c r="K820" s="12" t="str">
        <v/>
      </c>
      <c r="L820" s="12" t="str">
        <v/>
      </c>
      <c r="M820" s="12" t="str">
        <v/>
      </c>
      <c r="N820" s="12" t="str">
        <v/>
      </c>
      <c r="O820" s="12" t="str">
        <v/>
      </c>
      <c r="P820" s="12" t="str">
        <f ca="1"/>
        <v/>
      </c>
    </row>
    <row r="821" spans="11:16" ht="13.2">
      <c r="K821" s="12" t="str">
        <v/>
      </c>
      <c r="L821" s="12" t="str">
        <v/>
      </c>
      <c r="M821" s="12" t="str">
        <v/>
      </c>
      <c r="N821" s="12" t="str">
        <v/>
      </c>
      <c r="O821" s="12" t="str">
        <v/>
      </c>
      <c r="P821" s="12" t="str">
        <f ca="1"/>
        <v/>
      </c>
    </row>
    <row r="822" spans="11:16" ht="13.2">
      <c r="K822" s="12" t="str">
        <v/>
      </c>
      <c r="L822" s="12" t="str">
        <v/>
      </c>
      <c r="M822" s="12" t="str">
        <v/>
      </c>
      <c r="N822" s="12" t="str">
        <v/>
      </c>
      <c r="O822" s="12" t="str">
        <v/>
      </c>
      <c r="P822" s="12" t="str">
        <f ca="1"/>
        <v/>
      </c>
    </row>
    <row r="823" spans="11:16" ht="13.2">
      <c r="K823" s="12" t="str">
        <v/>
      </c>
      <c r="L823" s="12" t="str">
        <v/>
      </c>
      <c r="M823" s="12" t="str">
        <v/>
      </c>
      <c r="N823" s="12" t="str">
        <v/>
      </c>
      <c r="O823" s="12" t="str">
        <v/>
      </c>
      <c r="P823" s="12" t="str">
        <f ca="1"/>
        <v/>
      </c>
    </row>
    <row r="824" spans="11:16" ht="13.2">
      <c r="K824" s="12" t="str">
        <v/>
      </c>
      <c r="L824" s="12" t="str">
        <v/>
      </c>
      <c r="M824" s="12" t="str">
        <v/>
      </c>
      <c r="N824" s="12" t="str">
        <v/>
      </c>
      <c r="O824" s="12" t="str">
        <v/>
      </c>
      <c r="P824" s="12" t="str">
        <f ca="1"/>
        <v/>
      </c>
    </row>
    <row r="825" spans="11:16" ht="13.2">
      <c r="K825" s="12" t="str">
        <v/>
      </c>
      <c r="L825" s="12" t="str">
        <v/>
      </c>
      <c r="M825" s="12" t="str">
        <v/>
      </c>
      <c r="N825" s="12" t="str">
        <v/>
      </c>
      <c r="O825" s="12" t="str">
        <v/>
      </c>
      <c r="P825" s="12" t="str">
        <f ca="1"/>
        <v/>
      </c>
    </row>
    <row r="826" spans="11:16" ht="13.2">
      <c r="K826" s="12" t="str">
        <v/>
      </c>
      <c r="L826" s="12" t="str">
        <v/>
      </c>
      <c r="M826" s="12" t="str">
        <v/>
      </c>
      <c r="N826" s="12" t="str">
        <v/>
      </c>
      <c r="O826" s="12" t="str">
        <v/>
      </c>
      <c r="P826" s="12" t="str">
        <f ca="1"/>
        <v/>
      </c>
    </row>
    <row r="827" spans="11:16" ht="13.2">
      <c r="K827" s="12" t="str">
        <v/>
      </c>
      <c r="L827" s="12" t="str">
        <v/>
      </c>
      <c r="M827" s="12" t="str">
        <v/>
      </c>
      <c r="N827" s="12" t="str">
        <v/>
      </c>
      <c r="O827" s="12" t="str">
        <v/>
      </c>
      <c r="P827" s="12" t="str">
        <f ca="1"/>
        <v/>
      </c>
    </row>
    <row r="828" spans="11:16" ht="13.2">
      <c r="K828" s="12" t="str">
        <v/>
      </c>
      <c r="L828" s="12" t="str">
        <v/>
      </c>
      <c r="M828" s="12" t="str">
        <v/>
      </c>
      <c r="N828" s="12" t="str">
        <v/>
      </c>
      <c r="O828" s="12" t="str">
        <v/>
      </c>
      <c r="P828" s="12" t="str">
        <f ca="1"/>
        <v/>
      </c>
    </row>
    <row r="829" spans="11:16" ht="13.2">
      <c r="K829" s="12" t="str">
        <v/>
      </c>
      <c r="L829" s="12" t="str">
        <v/>
      </c>
      <c r="M829" s="12" t="str">
        <v/>
      </c>
      <c r="N829" s="12" t="str">
        <v/>
      </c>
      <c r="O829" s="12" t="str">
        <v/>
      </c>
      <c r="P829" s="12" t="str">
        <f ca="1"/>
        <v/>
      </c>
    </row>
    <row r="830" spans="11:16" ht="13.2">
      <c r="K830" s="12" t="str">
        <v/>
      </c>
      <c r="L830" s="12" t="str">
        <v/>
      </c>
      <c r="M830" s="12" t="str">
        <v/>
      </c>
      <c r="N830" s="12" t="str">
        <v/>
      </c>
      <c r="O830" s="12" t="str">
        <v/>
      </c>
      <c r="P830" s="12" t="str">
        <f ca="1"/>
        <v/>
      </c>
    </row>
    <row r="831" spans="11:16" ht="13.2">
      <c r="K831" s="12" t="str">
        <v/>
      </c>
      <c r="L831" s="12" t="str">
        <v/>
      </c>
      <c r="M831" s="12" t="str">
        <v/>
      </c>
      <c r="N831" s="12" t="str">
        <v/>
      </c>
      <c r="O831" s="12" t="str">
        <v/>
      </c>
      <c r="P831" s="12" t="str">
        <f ca="1"/>
        <v/>
      </c>
    </row>
    <row r="832" spans="11:16" ht="13.2">
      <c r="K832" s="12" t="str">
        <v/>
      </c>
      <c r="L832" s="12" t="str">
        <v/>
      </c>
      <c r="M832" s="12" t="str">
        <v/>
      </c>
      <c r="N832" s="12" t="str">
        <v/>
      </c>
      <c r="O832" s="12" t="str">
        <v/>
      </c>
      <c r="P832" s="12" t="str">
        <f ca="1"/>
        <v/>
      </c>
    </row>
    <row r="833" spans="11:16" ht="13.2">
      <c r="K833" s="12" t="str">
        <v/>
      </c>
      <c r="L833" s="12" t="str">
        <v/>
      </c>
      <c r="M833" s="12" t="str">
        <v/>
      </c>
      <c r="N833" s="12" t="str">
        <v/>
      </c>
      <c r="O833" s="12" t="str">
        <v/>
      </c>
      <c r="P833" s="12" t="str">
        <f ca="1"/>
        <v/>
      </c>
    </row>
    <row r="834" spans="11:16" ht="13.2">
      <c r="K834" s="12" t="str">
        <v/>
      </c>
      <c r="L834" s="12" t="str">
        <v/>
      </c>
      <c r="M834" s="12" t="str">
        <v/>
      </c>
      <c r="N834" s="12" t="str">
        <v/>
      </c>
      <c r="O834" s="12" t="str">
        <v/>
      </c>
      <c r="P834" s="12" t="str">
        <f ca="1"/>
        <v/>
      </c>
    </row>
    <row r="835" spans="11:16" ht="13.2">
      <c r="K835" s="12" t="str">
        <v/>
      </c>
      <c r="L835" s="12" t="str">
        <v/>
      </c>
      <c r="M835" s="12" t="str">
        <v/>
      </c>
      <c r="N835" s="12" t="str">
        <v/>
      </c>
      <c r="O835" s="12" t="str">
        <v/>
      </c>
      <c r="P835" s="12" t="str">
        <f ca="1"/>
        <v/>
      </c>
    </row>
    <row r="836" spans="11:16" ht="13.2">
      <c r="K836" s="12" t="str">
        <v/>
      </c>
      <c r="L836" s="12" t="str">
        <v/>
      </c>
      <c r="M836" s="12" t="str">
        <v/>
      </c>
      <c r="N836" s="12" t="str">
        <v/>
      </c>
      <c r="O836" s="12" t="str">
        <v/>
      </c>
      <c r="P836" s="12" t="str">
        <f ca="1"/>
        <v/>
      </c>
    </row>
    <row r="837" spans="11:16" ht="13.2">
      <c r="K837" s="12" t="str">
        <v/>
      </c>
      <c r="L837" s="12" t="str">
        <v/>
      </c>
      <c r="M837" s="12" t="str">
        <v/>
      </c>
      <c r="N837" s="12" t="str">
        <v/>
      </c>
      <c r="O837" s="12" t="str">
        <v/>
      </c>
      <c r="P837" s="12" t="str">
        <f ca="1"/>
        <v/>
      </c>
    </row>
    <row r="838" spans="11:16" ht="13.2">
      <c r="K838" s="12" t="str">
        <v/>
      </c>
      <c r="L838" s="12" t="str">
        <v/>
      </c>
      <c r="M838" s="12" t="str">
        <v/>
      </c>
      <c r="N838" s="12" t="str">
        <v/>
      </c>
      <c r="O838" s="12" t="str">
        <v/>
      </c>
      <c r="P838" s="12" t="str">
        <f ca="1"/>
        <v/>
      </c>
    </row>
    <row r="839" spans="11:16" ht="13.2">
      <c r="K839" s="12" t="str">
        <v/>
      </c>
      <c r="L839" s="12" t="str">
        <v/>
      </c>
      <c r="M839" s="12" t="str">
        <v/>
      </c>
      <c r="N839" s="12" t="str">
        <v/>
      </c>
      <c r="O839" s="12" t="str">
        <v/>
      </c>
      <c r="P839" s="12" t="str">
        <f ca="1"/>
        <v/>
      </c>
    </row>
    <row r="840" spans="11:16" ht="13.2">
      <c r="K840" s="12" t="str">
        <v/>
      </c>
      <c r="L840" s="12" t="str">
        <v/>
      </c>
      <c r="M840" s="12" t="str">
        <v/>
      </c>
      <c r="N840" s="12" t="str">
        <v/>
      </c>
      <c r="O840" s="12" t="str">
        <v/>
      </c>
      <c r="P840" s="12" t="str">
        <f ca="1"/>
        <v/>
      </c>
    </row>
    <row r="841" spans="11:16" ht="13.2">
      <c r="K841" s="12" t="str">
        <v/>
      </c>
      <c r="L841" s="12" t="str">
        <v/>
      </c>
      <c r="M841" s="12" t="str">
        <v/>
      </c>
      <c r="N841" s="12" t="str">
        <v/>
      </c>
      <c r="O841" s="12" t="str">
        <v/>
      </c>
      <c r="P841" s="12" t="str">
        <f ca="1"/>
        <v/>
      </c>
    </row>
    <row r="842" spans="11:16" ht="13.2">
      <c r="K842" s="12" t="str">
        <v/>
      </c>
      <c r="L842" s="12" t="str">
        <v/>
      </c>
      <c r="M842" s="12" t="str">
        <v/>
      </c>
      <c r="N842" s="12" t="str">
        <v/>
      </c>
      <c r="O842" s="12" t="str">
        <v/>
      </c>
      <c r="P842" s="12" t="str">
        <f ca="1"/>
        <v/>
      </c>
    </row>
    <row r="843" spans="11:16" ht="13.2">
      <c r="K843" s="12" t="str">
        <v/>
      </c>
      <c r="L843" s="12" t="str">
        <v/>
      </c>
      <c r="M843" s="12" t="str">
        <v/>
      </c>
      <c r="N843" s="12" t="str">
        <v/>
      </c>
      <c r="O843" s="12" t="str">
        <v/>
      </c>
      <c r="P843" s="12" t="str">
        <f ca="1"/>
        <v/>
      </c>
    </row>
    <row r="844" spans="11:16" ht="13.2">
      <c r="K844" s="12" t="str">
        <v/>
      </c>
      <c r="L844" s="12" t="str">
        <v/>
      </c>
      <c r="M844" s="12" t="str">
        <v/>
      </c>
      <c r="N844" s="12" t="str">
        <v/>
      </c>
      <c r="O844" s="12" t="str">
        <v/>
      </c>
      <c r="P844" s="12" t="str">
        <f ca="1"/>
        <v/>
      </c>
    </row>
    <row r="845" spans="11:16" ht="13.2">
      <c r="K845" s="12" t="str">
        <v/>
      </c>
      <c r="L845" s="12" t="str">
        <v/>
      </c>
      <c r="M845" s="12" t="str">
        <v/>
      </c>
      <c r="N845" s="12" t="str">
        <v/>
      </c>
      <c r="O845" s="12" t="str">
        <v/>
      </c>
      <c r="P845" s="12" t="str">
        <f ca="1"/>
        <v/>
      </c>
    </row>
    <row r="846" spans="11:16" ht="13.2">
      <c r="K846" s="12" t="str">
        <v/>
      </c>
      <c r="L846" s="12" t="str">
        <v/>
      </c>
      <c r="M846" s="12" t="str">
        <v/>
      </c>
      <c r="N846" s="12" t="str">
        <v/>
      </c>
      <c r="O846" s="12" t="str">
        <v/>
      </c>
      <c r="P846" s="12" t="str">
        <f ca="1"/>
        <v/>
      </c>
    </row>
    <row r="847" spans="11:16" ht="13.2">
      <c r="K847" s="12" t="str">
        <v/>
      </c>
      <c r="L847" s="12" t="str">
        <v/>
      </c>
      <c r="M847" s="12" t="str">
        <v/>
      </c>
      <c r="N847" s="12" t="str">
        <v/>
      </c>
      <c r="O847" s="12" t="str">
        <v/>
      </c>
      <c r="P847" s="12" t="str">
        <f ca="1"/>
        <v/>
      </c>
    </row>
    <row r="848" spans="11:16" ht="13.2">
      <c r="K848" s="12" t="str">
        <v/>
      </c>
      <c r="L848" s="12" t="str">
        <v/>
      </c>
      <c r="M848" s="12" t="str">
        <v/>
      </c>
      <c r="N848" s="12" t="str">
        <v/>
      </c>
      <c r="O848" s="12" t="str">
        <v/>
      </c>
      <c r="P848" s="12" t="str">
        <f ca="1"/>
        <v/>
      </c>
    </row>
    <row r="849" spans="11:16" ht="13.2">
      <c r="K849" s="12" t="str">
        <v/>
      </c>
      <c r="L849" s="12" t="str">
        <v/>
      </c>
      <c r="M849" s="12" t="str">
        <v/>
      </c>
      <c r="N849" s="12" t="str">
        <v/>
      </c>
      <c r="O849" s="12" t="str">
        <v/>
      </c>
      <c r="P849" s="12" t="str">
        <f ca="1"/>
        <v/>
      </c>
    </row>
    <row r="850" spans="11:16" ht="13.2">
      <c r="K850" s="12" t="str">
        <v/>
      </c>
      <c r="L850" s="12" t="str">
        <v/>
      </c>
      <c r="M850" s="12" t="str">
        <v/>
      </c>
      <c r="N850" s="12" t="str">
        <v/>
      </c>
      <c r="O850" s="12" t="str">
        <v/>
      </c>
      <c r="P850" s="12" t="str">
        <f ca="1"/>
        <v/>
      </c>
    </row>
    <row r="851" spans="11:16" ht="13.2">
      <c r="K851" s="12" t="str">
        <v/>
      </c>
      <c r="L851" s="12" t="str">
        <v/>
      </c>
      <c r="M851" s="12" t="str">
        <v/>
      </c>
      <c r="N851" s="12" t="str">
        <v/>
      </c>
      <c r="O851" s="12" t="str">
        <v/>
      </c>
      <c r="P851" s="12" t="str">
        <f ca="1"/>
        <v/>
      </c>
    </row>
    <row r="852" spans="11:16" ht="13.2">
      <c r="K852" s="12" t="str">
        <v/>
      </c>
      <c r="L852" s="12" t="str">
        <v/>
      </c>
      <c r="M852" s="12" t="str">
        <v/>
      </c>
      <c r="N852" s="12" t="str">
        <v/>
      </c>
      <c r="O852" s="12" t="str">
        <v/>
      </c>
      <c r="P852" s="12" t="str">
        <f ca="1"/>
        <v/>
      </c>
    </row>
    <row r="853" spans="11:16" ht="13.2">
      <c r="K853" s="12" t="str">
        <v/>
      </c>
      <c r="L853" s="12" t="str">
        <v/>
      </c>
      <c r="M853" s="12" t="str">
        <v/>
      </c>
      <c r="N853" s="12" t="str">
        <v/>
      </c>
      <c r="O853" s="12" t="str">
        <v/>
      </c>
      <c r="P853" s="12" t="str">
        <f ca="1"/>
        <v/>
      </c>
    </row>
    <row r="854" spans="11:16" ht="13.2">
      <c r="K854" s="12" t="str">
        <v/>
      </c>
      <c r="L854" s="12" t="str">
        <v/>
      </c>
      <c r="M854" s="12" t="str">
        <v/>
      </c>
      <c r="N854" s="12" t="str">
        <v/>
      </c>
      <c r="O854" s="12" t="str">
        <v/>
      </c>
      <c r="P854" s="12" t="str">
        <f ca="1"/>
        <v/>
      </c>
    </row>
    <row r="855" spans="11:16" ht="13.2">
      <c r="K855" s="12" t="str">
        <v/>
      </c>
      <c r="L855" s="12" t="str">
        <v/>
      </c>
      <c r="M855" s="12" t="str">
        <v/>
      </c>
      <c r="N855" s="12" t="str">
        <v/>
      </c>
      <c r="O855" s="12" t="str">
        <v/>
      </c>
      <c r="P855" s="12" t="str">
        <f ca="1"/>
        <v/>
      </c>
    </row>
    <row r="856" spans="11:16" ht="13.2">
      <c r="K856" s="12" t="str">
        <v/>
      </c>
      <c r="L856" s="12" t="str">
        <v/>
      </c>
      <c r="M856" s="12" t="str">
        <v/>
      </c>
      <c r="N856" s="12" t="str">
        <v/>
      </c>
      <c r="O856" s="12" t="str">
        <v/>
      </c>
      <c r="P856" s="12" t="str">
        <f ca="1"/>
        <v/>
      </c>
    </row>
    <row r="857" spans="11:16" ht="13.2">
      <c r="K857" s="12" t="str">
        <v/>
      </c>
      <c r="L857" s="12" t="str">
        <v/>
      </c>
      <c r="M857" s="12" t="str">
        <v/>
      </c>
      <c r="N857" s="12" t="str">
        <v/>
      </c>
      <c r="O857" s="12" t="str">
        <v/>
      </c>
      <c r="P857" s="12" t="str">
        <f ca="1"/>
        <v/>
      </c>
    </row>
    <row r="858" spans="11:16" ht="13.2">
      <c r="K858" s="12" t="str">
        <v/>
      </c>
      <c r="L858" s="12" t="str">
        <v/>
      </c>
      <c r="M858" s="12" t="str">
        <v/>
      </c>
      <c r="N858" s="12" t="str">
        <v/>
      </c>
      <c r="O858" s="12" t="str">
        <v/>
      </c>
      <c r="P858" s="12" t="str">
        <f ca="1"/>
        <v/>
      </c>
    </row>
    <row r="859" spans="11:16" ht="13.2">
      <c r="K859" s="12" t="str">
        <v/>
      </c>
      <c r="L859" s="12" t="str">
        <v/>
      </c>
      <c r="M859" s="12" t="str">
        <v/>
      </c>
      <c r="N859" s="12" t="str">
        <v/>
      </c>
      <c r="O859" s="12" t="str">
        <v/>
      </c>
      <c r="P859" s="12" t="str">
        <f ca="1"/>
        <v/>
      </c>
    </row>
    <row r="860" spans="11:16" ht="13.2">
      <c r="K860" s="12" t="str">
        <v/>
      </c>
      <c r="L860" s="12" t="str">
        <v/>
      </c>
      <c r="M860" s="12" t="str">
        <v/>
      </c>
      <c r="N860" s="12" t="str">
        <v/>
      </c>
      <c r="O860" s="12" t="str">
        <v/>
      </c>
      <c r="P860" s="12" t="str">
        <f ca="1"/>
        <v/>
      </c>
    </row>
    <row r="861" spans="11:16" ht="13.2">
      <c r="K861" s="12" t="str">
        <v/>
      </c>
      <c r="L861" s="12" t="str">
        <v/>
      </c>
      <c r="M861" s="12" t="str">
        <v/>
      </c>
      <c r="N861" s="12" t="str">
        <v/>
      </c>
      <c r="O861" s="12" t="str">
        <v/>
      </c>
      <c r="P861" s="12" t="str">
        <f ca="1"/>
        <v/>
      </c>
    </row>
    <row r="862" spans="11:16" ht="13.2">
      <c r="K862" s="12" t="str">
        <v/>
      </c>
      <c r="L862" s="12" t="str">
        <v/>
      </c>
      <c r="M862" s="12" t="str">
        <v/>
      </c>
      <c r="N862" s="12" t="str">
        <v/>
      </c>
      <c r="O862" s="12" t="str">
        <v/>
      </c>
      <c r="P862" s="12" t="str">
        <f ca="1"/>
        <v/>
      </c>
    </row>
    <row r="863" spans="11:16" ht="13.2">
      <c r="K863" s="12" t="str">
        <v/>
      </c>
      <c r="L863" s="12" t="str">
        <v/>
      </c>
      <c r="M863" s="12" t="str">
        <v/>
      </c>
      <c r="N863" s="12" t="str">
        <v/>
      </c>
      <c r="O863" s="12" t="str">
        <v/>
      </c>
      <c r="P863" s="12" t="str">
        <f ca="1"/>
        <v/>
      </c>
    </row>
    <row r="864" spans="11:16" ht="13.2">
      <c r="K864" s="12" t="str">
        <v/>
      </c>
      <c r="L864" s="12" t="str">
        <v/>
      </c>
      <c r="M864" s="12" t="str">
        <v/>
      </c>
      <c r="N864" s="12" t="str">
        <v/>
      </c>
      <c r="O864" s="12" t="str">
        <v/>
      </c>
      <c r="P864" s="12" t="str">
        <f ca="1"/>
        <v/>
      </c>
    </row>
    <row r="865" spans="11:16" ht="13.2">
      <c r="K865" s="12" t="str">
        <v/>
      </c>
      <c r="L865" s="12" t="str">
        <v/>
      </c>
      <c r="M865" s="12" t="str">
        <v/>
      </c>
      <c r="N865" s="12" t="str">
        <v/>
      </c>
      <c r="O865" s="12" t="str">
        <v/>
      </c>
      <c r="P865" s="12" t="str">
        <f ca="1"/>
        <v/>
      </c>
    </row>
    <row r="866" spans="11:16" ht="13.2">
      <c r="K866" s="12" t="str">
        <v/>
      </c>
      <c r="L866" s="12" t="str">
        <v/>
      </c>
      <c r="M866" s="12" t="str">
        <v/>
      </c>
      <c r="N866" s="12" t="str">
        <v/>
      </c>
      <c r="O866" s="12" t="str">
        <v/>
      </c>
      <c r="P866" s="12" t="str">
        <f ca="1"/>
        <v/>
      </c>
    </row>
    <row r="867" spans="11:16" ht="13.2">
      <c r="K867" s="12" t="str">
        <v/>
      </c>
      <c r="L867" s="12" t="str">
        <v/>
      </c>
      <c r="M867" s="12" t="str">
        <v/>
      </c>
      <c r="N867" s="12" t="str">
        <v/>
      </c>
      <c r="O867" s="12" t="str">
        <v/>
      </c>
      <c r="P867" s="12" t="str">
        <f ca="1"/>
        <v/>
      </c>
    </row>
    <row r="868" spans="11:16" ht="13.2">
      <c r="K868" s="12" t="str">
        <v/>
      </c>
      <c r="L868" s="12" t="str">
        <v/>
      </c>
      <c r="M868" s="12" t="str">
        <v/>
      </c>
      <c r="N868" s="12" t="str">
        <v/>
      </c>
      <c r="O868" s="12" t="str">
        <v/>
      </c>
      <c r="P868" s="12" t="str">
        <f ca="1"/>
        <v/>
      </c>
    </row>
    <row r="869" spans="11:16" ht="13.2">
      <c r="K869" s="12" t="str">
        <v/>
      </c>
      <c r="L869" s="12" t="str">
        <v/>
      </c>
      <c r="M869" s="12" t="str">
        <v/>
      </c>
      <c r="N869" s="12" t="str">
        <v/>
      </c>
      <c r="O869" s="12" t="str">
        <v/>
      </c>
      <c r="P869" s="12" t="str">
        <f ca="1"/>
        <v/>
      </c>
    </row>
    <row r="870" spans="11:16" ht="13.2">
      <c r="K870" s="12" t="str">
        <v/>
      </c>
      <c r="L870" s="12" t="str">
        <v/>
      </c>
      <c r="M870" s="12" t="str">
        <v/>
      </c>
      <c r="N870" s="12" t="str">
        <v/>
      </c>
      <c r="O870" s="12" t="str">
        <v/>
      </c>
      <c r="P870" s="12" t="str">
        <f ca="1"/>
        <v/>
      </c>
    </row>
    <row r="871" spans="11:16" ht="13.2">
      <c r="K871" s="12" t="str">
        <v/>
      </c>
      <c r="L871" s="12" t="str">
        <v/>
      </c>
      <c r="M871" s="12" t="str">
        <v/>
      </c>
      <c r="N871" s="12" t="str">
        <v/>
      </c>
      <c r="O871" s="12" t="str">
        <v/>
      </c>
      <c r="P871" s="12" t="str">
        <f ca="1"/>
        <v/>
      </c>
    </row>
    <row r="872" spans="11:16" ht="13.2">
      <c r="K872" s="12" t="str">
        <v/>
      </c>
      <c r="L872" s="12" t="str">
        <v/>
      </c>
      <c r="M872" s="12" t="str">
        <v/>
      </c>
      <c r="N872" s="12" t="str">
        <v/>
      </c>
      <c r="O872" s="12" t="str">
        <v/>
      </c>
      <c r="P872" s="12" t="str">
        <f ca="1"/>
        <v/>
      </c>
    </row>
    <row r="873" spans="11:16" ht="13.2">
      <c r="K873" s="12" t="str">
        <v/>
      </c>
      <c r="L873" s="12" t="str">
        <v/>
      </c>
      <c r="M873" s="12" t="str">
        <v/>
      </c>
      <c r="N873" s="12" t="str">
        <v/>
      </c>
      <c r="O873" s="12" t="str">
        <v/>
      </c>
      <c r="P873" s="12" t="str">
        <f ca="1"/>
        <v/>
      </c>
    </row>
    <row r="874" spans="11:16" ht="13.2">
      <c r="K874" s="12" t="str">
        <v/>
      </c>
      <c r="L874" s="12" t="str">
        <v/>
      </c>
      <c r="M874" s="12" t="str">
        <v/>
      </c>
      <c r="N874" s="12" t="str">
        <v/>
      </c>
      <c r="O874" s="12" t="str">
        <v/>
      </c>
      <c r="P874" s="12" t="str">
        <f ca="1"/>
        <v/>
      </c>
    </row>
    <row r="875" spans="11:16" ht="13.2">
      <c r="K875" s="12" t="str">
        <v/>
      </c>
      <c r="L875" s="12" t="str">
        <v/>
      </c>
      <c r="M875" s="12" t="str">
        <v/>
      </c>
      <c r="N875" s="12" t="str">
        <v/>
      </c>
      <c r="O875" s="12" t="str">
        <v/>
      </c>
      <c r="P875" s="12" t="str">
        <f ca="1"/>
        <v/>
      </c>
    </row>
    <row r="876" spans="11:16" ht="13.2">
      <c r="K876" s="12" t="str">
        <v/>
      </c>
      <c r="L876" s="12" t="str">
        <v/>
      </c>
      <c r="M876" s="12" t="str">
        <v/>
      </c>
      <c r="N876" s="12" t="str">
        <v/>
      </c>
      <c r="O876" s="12" t="str">
        <v/>
      </c>
      <c r="P876" s="12" t="str">
        <f ca="1"/>
        <v/>
      </c>
    </row>
    <row r="877" spans="11:16" ht="13.2">
      <c r="K877" s="12" t="str">
        <v/>
      </c>
      <c r="L877" s="12" t="str">
        <v/>
      </c>
      <c r="M877" s="12" t="str">
        <v/>
      </c>
      <c r="N877" s="12" t="str">
        <v/>
      </c>
      <c r="O877" s="12" t="str">
        <v/>
      </c>
      <c r="P877" s="12" t="str">
        <f ca="1"/>
        <v/>
      </c>
    </row>
    <row r="878" spans="11:16" ht="13.2">
      <c r="K878" s="12" t="str">
        <v/>
      </c>
      <c r="L878" s="12" t="str">
        <v/>
      </c>
      <c r="M878" s="12" t="str">
        <v/>
      </c>
      <c r="N878" s="12" t="str">
        <v/>
      </c>
      <c r="O878" s="12" t="str">
        <v/>
      </c>
      <c r="P878" s="12" t="str">
        <f ca="1"/>
        <v/>
      </c>
    </row>
    <row r="879" spans="11:16" ht="13.2">
      <c r="K879" s="12" t="str">
        <v/>
      </c>
      <c r="L879" s="12" t="str">
        <v/>
      </c>
      <c r="M879" s="12" t="str">
        <v/>
      </c>
      <c r="N879" s="12" t="str">
        <v/>
      </c>
      <c r="O879" s="12" t="str">
        <v/>
      </c>
      <c r="P879" s="12" t="str">
        <f ca="1"/>
        <v/>
      </c>
    </row>
    <row r="880" spans="11:16" ht="13.2">
      <c r="K880" s="12" t="str">
        <v/>
      </c>
      <c r="L880" s="12" t="str">
        <v/>
      </c>
      <c r="M880" s="12" t="str">
        <v/>
      </c>
      <c r="N880" s="12" t="str">
        <v/>
      </c>
      <c r="O880" s="12" t="str">
        <v/>
      </c>
      <c r="P880" s="12" t="str">
        <f ca="1"/>
        <v/>
      </c>
    </row>
    <row r="881" spans="11:16" ht="13.2">
      <c r="K881" s="12" t="str">
        <v/>
      </c>
      <c r="L881" s="12" t="str">
        <v/>
      </c>
      <c r="M881" s="12" t="str">
        <v/>
      </c>
      <c r="N881" s="12" t="str">
        <v/>
      </c>
      <c r="O881" s="12" t="str">
        <v/>
      </c>
      <c r="P881" s="12" t="str">
        <f ca="1"/>
        <v/>
      </c>
    </row>
    <row r="882" spans="11:16" ht="13.2">
      <c r="K882" s="12" t="str">
        <v/>
      </c>
      <c r="L882" s="12" t="str">
        <v/>
      </c>
      <c r="M882" s="12" t="str">
        <v/>
      </c>
      <c r="N882" s="12" t="str">
        <v/>
      </c>
      <c r="O882" s="12" t="str">
        <v/>
      </c>
      <c r="P882" s="12" t="str">
        <f ca="1"/>
        <v/>
      </c>
    </row>
    <row r="883" spans="11:16" ht="13.2">
      <c r="K883" s="12" t="str">
        <v/>
      </c>
      <c r="L883" s="12" t="str">
        <v/>
      </c>
      <c r="M883" s="12" t="str">
        <v/>
      </c>
      <c r="N883" s="12" t="str">
        <v/>
      </c>
      <c r="O883" s="12" t="str">
        <v/>
      </c>
      <c r="P883" s="12" t="str">
        <f ca="1"/>
        <v/>
      </c>
    </row>
    <row r="884" spans="11:16" ht="13.2">
      <c r="K884" s="12" t="str">
        <v/>
      </c>
      <c r="L884" s="12" t="str">
        <v/>
      </c>
      <c r="M884" s="12" t="str">
        <v/>
      </c>
      <c r="N884" s="12" t="str">
        <v/>
      </c>
      <c r="O884" s="12" t="str">
        <v/>
      </c>
      <c r="P884" s="12" t="str">
        <f ca="1"/>
        <v/>
      </c>
    </row>
    <row r="885" spans="11:16" ht="13.2">
      <c r="K885" s="12" t="str">
        <v/>
      </c>
      <c r="L885" s="12" t="str">
        <v/>
      </c>
      <c r="M885" s="12" t="str">
        <v/>
      </c>
      <c r="N885" s="12" t="str">
        <v/>
      </c>
      <c r="O885" s="12" t="str">
        <v/>
      </c>
      <c r="P885" s="12" t="str">
        <f ca="1"/>
        <v/>
      </c>
    </row>
    <row r="886" spans="11:16" ht="13.2">
      <c r="K886" s="12" t="str">
        <v/>
      </c>
      <c r="L886" s="12" t="str">
        <v/>
      </c>
      <c r="M886" s="12" t="str">
        <v/>
      </c>
      <c r="N886" s="12" t="str">
        <v/>
      </c>
      <c r="O886" s="12" t="str">
        <v/>
      </c>
      <c r="P886" s="12" t="str">
        <f ca="1"/>
        <v/>
      </c>
    </row>
    <row r="887" spans="11:16" ht="13.2">
      <c r="K887" s="12" t="str">
        <v/>
      </c>
      <c r="L887" s="12" t="str">
        <v/>
      </c>
      <c r="M887" s="12" t="str">
        <v/>
      </c>
      <c r="N887" s="12" t="str">
        <v/>
      </c>
      <c r="O887" s="12" t="str">
        <v/>
      </c>
      <c r="P887" s="12" t="str">
        <f ca="1"/>
        <v/>
      </c>
    </row>
    <row r="888" spans="11:16" ht="13.2">
      <c r="K888" s="12" t="str">
        <v/>
      </c>
      <c r="L888" s="12" t="str">
        <v/>
      </c>
      <c r="M888" s="12" t="str">
        <v/>
      </c>
      <c r="N888" s="12" t="str">
        <v/>
      </c>
      <c r="O888" s="12" t="str">
        <v/>
      </c>
      <c r="P888" s="12" t="str">
        <f ca="1"/>
        <v/>
      </c>
    </row>
    <row r="889" spans="11:16" ht="13.2">
      <c r="K889" s="12" t="str">
        <v/>
      </c>
      <c r="L889" s="12" t="str">
        <v/>
      </c>
      <c r="M889" s="12" t="str">
        <v/>
      </c>
      <c r="N889" s="12" t="str">
        <v/>
      </c>
      <c r="O889" s="12" t="str">
        <v/>
      </c>
      <c r="P889" s="12" t="str">
        <f ca="1"/>
        <v/>
      </c>
    </row>
    <row r="890" spans="11:16" ht="13.2">
      <c r="K890" s="12" t="str">
        <v/>
      </c>
      <c r="L890" s="12" t="str">
        <v/>
      </c>
      <c r="M890" s="12" t="str">
        <v/>
      </c>
      <c r="N890" s="12" t="str">
        <v/>
      </c>
      <c r="O890" s="12" t="str">
        <v/>
      </c>
      <c r="P890" s="12" t="str">
        <f ca="1"/>
        <v/>
      </c>
    </row>
    <row r="891" spans="11:16" ht="13.2">
      <c r="K891" s="12" t="str">
        <v/>
      </c>
      <c r="L891" s="12" t="str">
        <v/>
      </c>
      <c r="M891" s="12" t="str">
        <v/>
      </c>
      <c r="N891" s="12" t="str">
        <v/>
      </c>
      <c r="O891" s="12" t="str">
        <v/>
      </c>
      <c r="P891" s="12" t="str">
        <f ca="1"/>
        <v/>
      </c>
    </row>
    <row r="892" spans="11:16" ht="13.2">
      <c r="K892" s="12" t="str">
        <v/>
      </c>
      <c r="L892" s="12" t="str">
        <v/>
      </c>
      <c r="M892" s="12" t="str">
        <v/>
      </c>
      <c r="N892" s="12" t="str">
        <v/>
      </c>
      <c r="O892" s="12" t="str">
        <v/>
      </c>
      <c r="P892" s="12" t="str">
        <f ca="1"/>
        <v/>
      </c>
    </row>
    <row r="893" spans="11:16" ht="13.2">
      <c r="K893" s="12" t="str">
        <v/>
      </c>
      <c r="L893" s="12" t="str">
        <v/>
      </c>
      <c r="M893" s="12" t="str">
        <v/>
      </c>
      <c r="N893" s="12" t="str">
        <v/>
      </c>
      <c r="O893" s="12" t="str">
        <v/>
      </c>
      <c r="P893" s="12" t="str">
        <f ca="1"/>
        <v/>
      </c>
    </row>
    <row r="894" spans="11:16" ht="13.2">
      <c r="K894" s="12" t="str">
        <v/>
      </c>
      <c r="L894" s="12" t="str">
        <v/>
      </c>
      <c r="M894" s="12" t="str">
        <v/>
      </c>
      <c r="N894" s="12" t="str">
        <v/>
      </c>
      <c r="O894" s="12" t="str">
        <v/>
      </c>
      <c r="P894" s="12" t="str">
        <f ca="1"/>
        <v/>
      </c>
    </row>
    <row r="895" spans="11:16" ht="13.2">
      <c r="K895" s="12" t="str">
        <v/>
      </c>
      <c r="L895" s="12" t="str">
        <v/>
      </c>
      <c r="M895" s="12" t="str">
        <v/>
      </c>
      <c r="N895" s="12" t="str">
        <v/>
      </c>
      <c r="O895" s="12" t="str">
        <v/>
      </c>
      <c r="P895" s="12" t="str">
        <f ca="1"/>
        <v/>
      </c>
    </row>
    <row r="896" spans="11:16" ht="13.2">
      <c r="K896" s="12" t="str">
        <v/>
      </c>
      <c r="L896" s="12" t="str">
        <v/>
      </c>
      <c r="M896" s="12" t="str">
        <v/>
      </c>
      <c r="N896" s="12" t="str">
        <v/>
      </c>
      <c r="O896" s="12" t="str">
        <v/>
      </c>
      <c r="P896" s="12" t="str">
        <f ca="1"/>
        <v/>
      </c>
    </row>
    <row r="897" spans="11:16" ht="13.2">
      <c r="K897" s="12" t="str">
        <v/>
      </c>
      <c r="L897" s="12" t="str">
        <v/>
      </c>
      <c r="M897" s="12" t="str">
        <v/>
      </c>
      <c r="N897" s="12" t="str">
        <v/>
      </c>
      <c r="O897" s="12" t="str">
        <v/>
      </c>
      <c r="P897" s="12" t="str">
        <f ca="1"/>
        <v/>
      </c>
    </row>
    <row r="898" spans="11:16" ht="13.2">
      <c r="K898" s="12" t="str">
        <v/>
      </c>
      <c r="L898" s="12" t="str">
        <v/>
      </c>
      <c r="M898" s="12" t="str">
        <v/>
      </c>
      <c r="N898" s="12" t="str">
        <v/>
      </c>
      <c r="O898" s="12" t="str">
        <v/>
      </c>
      <c r="P898" s="12" t="str">
        <f ca="1"/>
        <v/>
      </c>
    </row>
    <row r="899" spans="11:16" ht="13.2">
      <c r="K899" s="12" t="str">
        <v/>
      </c>
      <c r="L899" s="12" t="str">
        <v/>
      </c>
      <c r="M899" s="12" t="str">
        <v/>
      </c>
      <c r="N899" s="12" t="str">
        <v/>
      </c>
      <c r="O899" s="12" t="str">
        <v/>
      </c>
      <c r="P899" s="12" t="str">
        <f ca="1"/>
        <v/>
      </c>
    </row>
    <row r="900" spans="11:16" ht="13.2">
      <c r="K900" s="12" t="str">
        <v/>
      </c>
      <c r="L900" s="12" t="str">
        <v/>
      </c>
      <c r="M900" s="12" t="str">
        <v/>
      </c>
      <c r="N900" s="12" t="str">
        <v/>
      </c>
      <c r="O900" s="12" t="str">
        <v/>
      </c>
      <c r="P900" s="12" t="str">
        <f ca="1"/>
        <v/>
      </c>
    </row>
    <row r="901" spans="11:16" ht="13.2">
      <c r="K901" s="12" t="str">
        <v/>
      </c>
      <c r="L901" s="12" t="str">
        <v/>
      </c>
      <c r="M901" s="12" t="str">
        <v/>
      </c>
      <c r="N901" s="12" t="str">
        <v/>
      </c>
      <c r="O901" s="12" t="str">
        <v/>
      </c>
      <c r="P901" s="12" t="str">
        <f ca="1"/>
        <v/>
      </c>
    </row>
    <row r="902" spans="11:16" ht="13.2">
      <c r="K902" s="12" t="str">
        <v/>
      </c>
      <c r="L902" s="12" t="str">
        <v/>
      </c>
      <c r="M902" s="12" t="str">
        <v/>
      </c>
      <c r="N902" s="12" t="str">
        <v/>
      </c>
      <c r="O902" s="12" t="str">
        <v/>
      </c>
      <c r="P902" s="12" t="str">
        <f ca="1"/>
        <v/>
      </c>
    </row>
    <row r="903" spans="11:16" ht="13.2">
      <c r="K903" s="12" t="str">
        <v/>
      </c>
      <c r="L903" s="12" t="str">
        <v/>
      </c>
      <c r="M903" s="12" t="str">
        <v/>
      </c>
      <c r="N903" s="12" t="str">
        <v/>
      </c>
      <c r="O903" s="12" t="str">
        <v/>
      </c>
      <c r="P903" s="12" t="str">
        <f ca="1"/>
        <v/>
      </c>
    </row>
    <row r="904" spans="11:16" ht="13.2">
      <c r="K904" s="12" t="str">
        <v/>
      </c>
      <c r="L904" s="12" t="str">
        <v/>
      </c>
      <c r="M904" s="12" t="str">
        <v/>
      </c>
      <c r="N904" s="12" t="str">
        <v/>
      </c>
      <c r="O904" s="12" t="str">
        <v/>
      </c>
      <c r="P904" s="12" t="str">
        <f ca="1"/>
        <v/>
      </c>
    </row>
    <row r="905" spans="11:16" ht="13.2">
      <c r="K905" s="12" t="str">
        <v/>
      </c>
      <c r="L905" s="12" t="str">
        <v/>
      </c>
      <c r="M905" s="12" t="str">
        <v/>
      </c>
      <c r="N905" s="12" t="str">
        <v/>
      </c>
      <c r="O905" s="12" t="str">
        <v/>
      </c>
      <c r="P905" s="12" t="str">
        <f ca="1"/>
        <v/>
      </c>
    </row>
    <row r="906" spans="11:16" ht="13.2">
      <c r="K906" s="12" t="str">
        <v/>
      </c>
      <c r="L906" s="12" t="str">
        <v/>
      </c>
      <c r="M906" s="12" t="str">
        <v/>
      </c>
      <c r="N906" s="12" t="str">
        <v/>
      </c>
      <c r="O906" s="12" t="str">
        <v/>
      </c>
      <c r="P906" s="12" t="str">
        <f ca="1"/>
        <v/>
      </c>
    </row>
    <row r="907" spans="11:16" ht="13.2">
      <c r="K907" s="12" t="str">
        <v/>
      </c>
      <c r="L907" s="12" t="str">
        <v/>
      </c>
      <c r="M907" s="12" t="str">
        <v/>
      </c>
      <c r="N907" s="12" t="str">
        <v/>
      </c>
      <c r="O907" s="12" t="str">
        <v/>
      </c>
      <c r="P907" s="12" t="str">
        <f ca="1"/>
        <v/>
      </c>
    </row>
    <row r="908" spans="11:16" ht="13.2">
      <c r="K908" s="12" t="str">
        <v/>
      </c>
      <c r="L908" s="12" t="str">
        <v/>
      </c>
      <c r="M908" s="12" t="str">
        <v/>
      </c>
      <c r="N908" s="12" t="str">
        <v/>
      </c>
      <c r="O908" s="12" t="str">
        <v/>
      </c>
      <c r="P908" s="12" t="str">
        <f ca="1"/>
        <v/>
      </c>
    </row>
    <row r="909" spans="11:16" ht="13.2">
      <c r="K909" s="12" t="str">
        <v/>
      </c>
      <c r="L909" s="12" t="str">
        <v/>
      </c>
      <c r="M909" s="12" t="str">
        <v/>
      </c>
      <c r="N909" s="12" t="str">
        <v/>
      </c>
      <c r="O909" s="12" t="str">
        <v/>
      </c>
      <c r="P909" s="12" t="str">
        <f ca="1"/>
        <v/>
      </c>
    </row>
    <row r="910" spans="11:16" ht="13.2">
      <c r="K910" s="12" t="str">
        <v/>
      </c>
      <c r="L910" s="12" t="str">
        <v/>
      </c>
      <c r="M910" s="12" t="str">
        <v/>
      </c>
      <c r="N910" s="12" t="str">
        <v/>
      </c>
      <c r="O910" s="12" t="str">
        <v/>
      </c>
      <c r="P910" s="12" t="str">
        <f ca="1"/>
        <v/>
      </c>
    </row>
    <row r="911" spans="11:16" ht="13.2">
      <c r="K911" s="12" t="str">
        <v/>
      </c>
      <c r="L911" s="12" t="str">
        <v/>
      </c>
      <c r="M911" s="12" t="str">
        <v/>
      </c>
      <c r="N911" s="12" t="str">
        <v/>
      </c>
      <c r="O911" s="12" t="str">
        <v/>
      </c>
      <c r="P911" s="12" t="str">
        <f ca="1"/>
        <v/>
      </c>
    </row>
    <row r="912" spans="11:16" ht="13.2">
      <c r="K912" s="12" t="str">
        <v/>
      </c>
      <c r="L912" s="12" t="str">
        <v/>
      </c>
      <c r="M912" s="12" t="str">
        <v/>
      </c>
      <c r="N912" s="12" t="str">
        <v/>
      </c>
      <c r="O912" s="12" t="str">
        <v/>
      </c>
      <c r="P912" s="12" t="str">
        <f ca="1"/>
        <v/>
      </c>
    </row>
    <row r="913" spans="11:16" ht="13.2">
      <c r="K913" s="12" t="str">
        <v/>
      </c>
      <c r="L913" s="12" t="str">
        <v/>
      </c>
      <c r="M913" s="12" t="str">
        <v/>
      </c>
      <c r="N913" s="12" t="str">
        <v/>
      </c>
      <c r="O913" s="12" t="str">
        <v/>
      </c>
      <c r="P913" s="12" t="str">
        <f ca="1"/>
        <v/>
      </c>
    </row>
    <row r="914" spans="11:16" ht="13.2">
      <c r="K914" s="12" t="str">
        <v/>
      </c>
      <c r="L914" s="12" t="str">
        <v/>
      </c>
      <c r="M914" s="12" t="str">
        <v/>
      </c>
      <c r="N914" s="12" t="str">
        <v/>
      </c>
      <c r="O914" s="12" t="str">
        <v/>
      </c>
      <c r="P914" s="12" t="str">
        <f ca="1"/>
        <v/>
      </c>
    </row>
    <row r="915" spans="11:16" ht="13.2">
      <c r="K915" s="12" t="str">
        <v/>
      </c>
      <c r="L915" s="12" t="str">
        <v/>
      </c>
      <c r="M915" s="12" t="str">
        <v/>
      </c>
      <c r="N915" s="12" t="str">
        <v/>
      </c>
      <c r="O915" s="12" t="str">
        <v/>
      </c>
      <c r="P915" s="12" t="str">
        <f ca="1"/>
        <v/>
      </c>
    </row>
    <row r="916" spans="11:16" ht="13.2">
      <c r="K916" s="12" t="str">
        <v/>
      </c>
      <c r="L916" s="12" t="str">
        <v/>
      </c>
      <c r="M916" s="12" t="str">
        <v/>
      </c>
      <c r="N916" s="12" t="str">
        <v/>
      </c>
      <c r="O916" s="12" t="str">
        <v/>
      </c>
      <c r="P916" s="12" t="str">
        <f ca="1"/>
        <v/>
      </c>
    </row>
    <row r="917" spans="11:16" ht="13.2">
      <c r="K917" s="12" t="str">
        <v/>
      </c>
      <c r="L917" s="12" t="str">
        <v/>
      </c>
      <c r="M917" s="12" t="str">
        <v/>
      </c>
      <c r="N917" s="12" t="str">
        <v/>
      </c>
      <c r="O917" s="12" t="str">
        <v/>
      </c>
      <c r="P917" s="12" t="str">
        <f ca="1"/>
        <v/>
      </c>
    </row>
    <row r="918" spans="11:16" ht="13.2">
      <c r="K918" s="12" t="str">
        <v/>
      </c>
      <c r="L918" s="12" t="str">
        <v/>
      </c>
      <c r="M918" s="12" t="str">
        <v/>
      </c>
      <c r="N918" s="12" t="str">
        <v/>
      </c>
      <c r="O918" s="12" t="str">
        <v/>
      </c>
      <c r="P918" s="12" t="str">
        <f ca="1"/>
        <v/>
      </c>
    </row>
    <row r="919" spans="11:16" ht="13.2">
      <c r="K919" s="12" t="str">
        <v/>
      </c>
      <c r="L919" s="12" t="str">
        <v/>
      </c>
      <c r="M919" s="12" t="str">
        <v/>
      </c>
      <c r="N919" s="12" t="str">
        <v/>
      </c>
      <c r="O919" s="12" t="str">
        <v/>
      </c>
      <c r="P919" s="12" t="str">
        <f ca="1"/>
        <v/>
      </c>
    </row>
    <row r="920" spans="11:16" ht="13.2">
      <c r="K920" s="12" t="str">
        <v/>
      </c>
      <c r="L920" s="12" t="str">
        <v/>
      </c>
      <c r="M920" s="12" t="str">
        <v/>
      </c>
      <c r="N920" s="12" t="str">
        <v/>
      </c>
      <c r="O920" s="12" t="str">
        <v/>
      </c>
      <c r="P920" s="12" t="str">
        <f ca="1"/>
        <v/>
      </c>
    </row>
    <row r="921" spans="11:16" ht="13.2">
      <c r="K921" s="12" t="str">
        <v/>
      </c>
      <c r="L921" s="12" t="str">
        <v/>
      </c>
      <c r="M921" s="12" t="str">
        <v/>
      </c>
      <c r="N921" s="12" t="str">
        <v/>
      </c>
      <c r="O921" s="12" t="str">
        <v/>
      </c>
      <c r="P921" s="12" t="str">
        <f ca="1"/>
        <v/>
      </c>
    </row>
    <row r="922" spans="11:16" ht="13.2">
      <c r="K922" s="12" t="str">
        <v/>
      </c>
      <c r="L922" s="12" t="str">
        <v/>
      </c>
      <c r="M922" s="12" t="str">
        <v/>
      </c>
      <c r="N922" s="12" t="str">
        <v/>
      </c>
      <c r="O922" s="12" t="str">
        <v/>
      </c>
      <c r="P922" s="12" t="str">
        <f ca="1"/>
        <v/>
      </c>
    </row>
    <row r="923" spans="11:16" ht="13.2">
      <c r="K923" s="12" t="str">
        <v/>
      </c>
      <c r="L923" s="12" t="str">
        <v/>
      </c>
      <c r="M923" s="12" t="str">
        <v/>
      </c>
      <c r="N923" s="12" t="str">
        <v/>
      </c>
      <c r="O923" s="12" t="str">
        <v/>
      </c>
      <c r="P923" s="12" t="str">
        <f ca="1"/>
        <v/>
      </c>
    </row>
    <row r="924" spans="11:16" ht="13.2">
      <c r="K924" s="12" t="str">
        <v/>
      </c>
      <c r="L924" s="12" t="str">
        <v/>
      </c>
      <c r="M924" s="12" t="str">
        <v/>
      </c>
      <c r="N924" s="12" t="str">
        <v/>
      </c>
      <c r="O924" s="12" t="str">
        <v/>
      </c>
      <c r="P924" s="12" t="str">
        <f ca="1"/>
        <v/>
      </c>
    </row>
    <row r="925" spans="11:16" ht="13.2">
      <c r="K925" s="12" t="str">
        <v/>
      </c>
      <c r="L925" s="12" t="str">
        <v/>
      </c>
      <c r="M925" s="12" t="str">
        <v/>
      </c>
      <c r="N925" s="12" t="str">
        <v/>
      </c>
      <c r="O925" s="12" t="str">
        <v/>
      </c>
      <c r="P925" s="12" t="str">
        <f ca="1"/>
        <v/>
      </c>
    </row>
    <row r="926" spans="11:16" ht="13.2">
      <c r="K926" s="12" t="str">
        <v/>
      </c>
      <c r="L926" s="12" t="str">
        <v/>
      </c>
      <c r="M926" s="12" t="str">
        <v/>
      </c>
      <c r="N926" s="12" t="str">
        <v/>
      </c>
      <c r="O926" s="12" t="str">
        <v/>
      </c>
      <c r="P926" s="12" t="str">
        <f ca="1"/>
        <v/>
      </c>
    </row>
    <row r="927" spans="11:16" ht="13.2">
      <c r="K927" s="12" t="str">
        <v/>
      </c>
      <c r="L927" s="12" t="str">
        <v/>
      </c>
      <c r="M927" s="12" t="str">
        <v/>
      </c>
      <c r="N927" s="12" t="str">
        <v/>
      </c>
      <c r="O927" s="12" t="str">
        <v/>
      </c>
      <c r="P927" s="12" t="str">
        <f ca="1"/>
        <v/>
      </c>
    </row>
    <row r="928" spans="11:16" ht="13.2">
      <c r="K928" s="12" t="str">
        <v/>
      </c>
      <c r="L928" s="12" t="str">
        <v/>
      </c>
      <c r="M928" s="12" t="str">
        <v/>
      </c>
      <c r="N928" s="12" t="str">
        <v/>
      </c>
      <c r="O928" s="12" t="str">
        <v/>
      </c>
      <c r="P928" s="12" t="str">
        <f ca="1"/>
        <v/>
      </c>
    </row>
    <row r="929" spans="11:16" ht="13.2">
      <c r="K929" s="12" t="str">
        <v/>
      </c>
      <c r="L929" s="12" t="str">
        <v/>
      </c>
      <c r="M929" s="12" t="str">
        <v/>
      </c>
      <c r="N929" s="12" t="str">
        <v/>
      </c>
      <c r="O929" s="12" t="str">
        <v/>
      </c>
      <c r="P929" s="12" t="str">
        <f ca="1"/>
        <v/>
      </c>
    </row>
    <row r="930" spans="11:16" ht="13.2">
      <c r="K930" s="12" t="str">
        <v/>
      </c>
      <c r="L930" s="12" t="str">
        <v/>
      </c>
      <c r="M930" s="12" t="str">
        <v/>
      </c>
      <c r="N930" s="12" t="str">
        <v/>
      </c>
      <c r="O930" s="12" t="str">
        <v/>
      </c>
      <c r="P930" s="12" t="str">
        <f ca="1"/>
        <v/>
      </c>
    </row>
    <row r="931" spans="11:16" ht="13.2">
      <c r="K931" s="12" t="str">
        <v/>
      </c>
      <c r="L931" s="12" t="str">
        <v/>
      </c>
      <c r="M931" s="12" t="str">
        <v/>
      </c>
      <c r="N931" s="12" t="str">
        <v/>
      </c>
      <c r="O931" s="12" t="str">
        <v/>
      </c>
      <c r="P931" s="12" t="str">
        <f ca="1"/>
        <v/>
      </c>
    </row>
    <row r="932" spans="11:16" ht="13.2">
      <c r="K932" s="12" t="str">
        <v/>
      </c>
      <c r="L932" s="12" t="str">
        <v/>
      </c>
      <c r="M932" s="12" t="str">
        <v/>
      </c>
      <c r="N932" s="12" t="str">
        <v/>
      </c>
      <c r="O932" s="12" t="str">
        <v/>
      </c>
      <c r="P932" s="12" t="str">
        <f ca="1"/>
        <v/>
      </c>
    </row>
    <row r="933" spans="11:16" ht="13.2">
      <c r="K933" s="12" t="str">
        <v/>
      </c>
      <c r="L933" s="12" t="str">
        <v/>
      </c>
      <c r="M933" s="12" t="str">
        <v/>
      </c>
      <c r="N933" s="12" t="str">
        <v/>
      </c>
      <c r="O933" s="12" t="str">
        <v/>
      </c>
      <c r="P933" s="12" t="str">
        <f ca="1"/>
        <v/>
      </c>
    </row>
    <row r="934" spans="11:16" ht="13.2">
      <c r="K934" s="12" t="str">
        <v/>
      </c>
      <c r="L934" s="12" t="str">
        <v/>
      </c>
      <c r="M934" s="12" t="str">
        <v/>
      </c>
      <c r="N934" s="12" t="str">
        <v/>
      </c>
      <c r="O934" s="12" t="str">
        <v/>
      </c>
      <c r="P934" s="12" t="str">
        <f ca="1"/>
        <v/>
      </c>
    </row>
    <row r="935" spans="11:16" ht="13.2">
      <c r="K935" s="12" t="str">
        <v/>
      </c>
      <c r="L935" s="12" t="str">
        <v/>
      </c>
      <c r="M935" s="12" t="str">
        <v/>
      </c>
      <c r="N935" s="12" t="str">
        <v/>
      </c>
      <c r="O935" s="12" t="str">
        <v/>
      </c>
      <c r="P935" s="12" t="str">
        <f ca="1"/>
        <v/>
      </c>
    </row>
    <row r="936" spans="11:16" ht="13.2">
      <c r="K936" s="12" t="str">
        <v/>
      </c>
      <c r="L936" s="12" t="str">
        <v/>
      </c>
      <c r="M936" s="12" t="str">
        <v/>
      </c>
      <c r="N936" s="12" t="str">
        <v/>
      </c>
      <c r="O936" s="12" t="str">
        <v/>
      </c>
      <c r="P936" s="12" t="str">
        <f ca="1"/>
        <v/>
      </c>
    </row>
    <row r="937" spans="11:16" ht="13.2">
      <c r="K937" s="12" t="str">
        <v/>
      </c>
      <c r="L937" s="12" t="str">
        <v/>
      </c>
      <c r="M937" s="12" t="str">
        <v/>
      </c>
      <c r="N937" s="12" t="str">
        <v/>
      </c>
      <c r="O937" s="12" t="str">
        <v/>
      </c>
      <c r="P937" s="12" t="str">
        <f ca="1"/>
        <v/>
      </c>
    </row>
    <row r="938" spans="11:16" ht="13.2">
      <c r="K938" s="12" t="str">
        <v/>
      </c>
      <c r="L938" s="12" t="str">
        <v/>
      </c>
      <c r="M938" s="12" t="str">
        <v/>
      </c>
      <c r="N938" s="12" t="str">
        <v/>
      </c>
      <c r="O938" s="12" t="str">
        <v/>
      </c>
      <c r="P938" s="12" t="str">
        <f ca="1"/>
        <v/>
      </c>
    </row>
    <row r="939" spans="11:16" ht="13.2">
      <c r="K939" s="12" t="str">
        <v/>
      </c>
      <c r="L939" s="12" t="str">
        <v/>
      </c>
      <c r="M939" s="12" t="str">
        <v/>
      </c>
      <c r="N939" s="12" t="str">
        <v/>
      </c>
      <c r="O939" s="12" t="str">
        <v/>
      </c>
      <c r="P939" s="12" t="str">
        <f ca="1"/>
        <v/>
      </c>
    </row>
    <row r="940" spans="11:16" ht="13.2">
      <c r="K940" s="12" t="str">
        <v/>
      </c>
      <c r="L940" s="12" t="str">
        <v/>
      </c>
      <c r="M940" s="12" t="str">
        <v/>
      </c>
      <c r="N940" s="12" t="str">
        <v/>
      </c>
      <c r="O940" s="12" t="str">
        <v/>
      </c>
      <c r="P940" s="12" t="str">
        <f ca="1"/>
        <v/>
      </c>
    </row>
    <row r="941" spans="11:16" ht="13.2">
      <c r="K941" s="12" t="str">
        <v/>
      </c>
      <c r="L941" s="12" t="str">
        <v/>
      </c>
      <c r="M941" s="12" t="str">
        <v/>
      </c>
      <c r="N941" s="12" t="str">
        <v/>
      </c>
      <c r="O941" s="12" t="str">
        <v/>
      </c>
      <c r="P941" s="12" t="str">
        <f ca="1"/>
        <v/>
      </c>
    </row>
    <row r="942" spans="11:16" ht="13.2">
      <c r="K942" s="12" t="str">
        <v/>
      </c>
      <c r="L942" s="12" t="str">
        <v/>
      </c>
      <c r="M942" s="12" t="str">
        <v/>
      </c>
      <c r="N942" s="12" t="str">
        <v/>
      </c>
      <c r="O942" s="12" t="str">
        <v/>
      </c>
      <c r="P942" s="12" t="str">
        <f ca="1"/>
        <v/>
      </c>
    </row>
    <row r="943" spans="11:16" ht="13.2">
      <c r="K943" s="12" t="str">
        <v/>
      </c>
      <c r="L943" s="12" t="str">
        <v/>
      </c>
      <c r="M943" s="12" t="str">
        <v/>
      </c>
      <c r="N943" s="12" t="str">
        <v/>
      </c>
      <c r="O943" s="12" t="str">
        <v/>
      </c>
      <c r="P943" s="12" t="str">
        <f ca="1"/>
        <v/>
      </c>
    </row>
    <row r="944" spans="11:16" ht="13.2">
      <c r="K944" s="12" t="str">
        <v/>
      </c>
      <c r="L944" s="12" t="str">
        <v/>
      </c>
      <c r="M944" s="12" t="str">
        <v/>
      </c>
      <c r="N944" s="12" t="str">
        <v/>
      </c>
      <c r="O944" s="12" t="str">
        <v/>
      </c>
      <c r="P944" s="12" t="str">
        <f ca="1"/>
        <v/>
      </c>
    </row>
    <row r="945" spans="11:16" ht="13.2">
      <c r="K945" s="12" t="str">
        <v/>
      </c>
      <c r="L945" s="12" t="str">
        <v/>
      </c>
      <c r="M945" s="12" t="str">
        <v/>
      </c>
      <c r="N945" s="12" t="str">
        <v/>
      </c>
      <c r="O945" s="12" t="str">
        <v/>
      </c>
      <c r="P945" s="12" t="str">
        <f ca="1"/>
        <v/>
      </c>
    </row>
    <row r="946" spans="11:16" ht="13.2">
      <c r="K946" s="12" t="str">
        <v/>
      </c>
      <c r="L946" s="12" t="str">
        <v/>
      </c>
      <c r="M946" s="12" t="str">
        <v/>
      </c>
      <c r="N946" s="12" t="str">
        <v/>
      </c>
      <c r="O946" s="12" t="str">
        <v/>
      </c>
      <c r="P946" s="12" t="str">
        <f ca="1"/>
        <v/>
      </c>
    </row>
    <row r="947" spans="11:16" ht="13.2">
      <c r="K947" s="12" t="str">
        <v/>
      </c>
      <c r="L947" s="12" t="str">
        <v/>
      </c>
      <c r="M947" s="12" t="str">
        <v/>
      </c>
      <c r="N947" s="12" t="str">
        <v/>
      </c>
      <c r="O947" s="12" t="str">
        <v/>
      </c>
      <c r="P947" s="12" t="str">
        <f ca="1"/>
        <v/>
      </c>
    </row>
    <row r="948" spans="11:16" ht="13.2">
      <c r="K948" s="12" t="str">
        <v/>
      </c>
      <c r="L948" s="12" t="str">
        <v/>
      </c>
      <c r="M948" s="12" t="str">
        <v/>
      </c>
      <c r="N948" s="12" t="str">
        <v/>
      </c>
      <c r="O948" s="12" t="str">
        <v/>
      </c>
      <c r="P948" s="12" t="str">
        <f ca="1"/>
        <v/>
      </c>
    </row>
    <row r="949" spans="11:16" ht="13.2">
      <c r="K949" s="12" t="str">
        <v/>
      </c>
      <c r="L949" s="12" t="str">
        <v/>
      </c>
      <c r="M949" s="12" t="str">
        <v/>
      </c>
      <c r="N949" s="12" t="str">
        <v/>
      </c>
      <c r="O949" s="12" t="str">
        <v/>
      </c>
      <c r="P949" s="12" t="str">
        <f ca="1"/>
        <v/>
      </c>
    </row>
    <row r="950" spans="11:16" ht="13.2">
      <c r="K950" s="12" t="str">
        <v/>
      </c>
      <c r="L950" s="12" t="str">
        <v/>
      </c>
      <c r="M950" s="12" t="str">
        <v/>
      </c>
      <c r="N950" s="12" t="str">
        <v/>
      </c>
      <c r="O950" s="12" t="str">
        <v/>
      </c>
      <c r="P950" s="12" t="str">
        <f ca="1"/>
        <v/>
      </c>
    </row>
    <row r="951" spans="11:16" ht="13.2">
      <c r="K951" s="12" t="str">
        <v/>
      </c>
      <c r="L951" s="12" t="str">
        <v/>
      </c>
      <c r="M951" s="12" t="str">
        <v/>
      </c>
      <c r="N951" s="12" t="str">
        <v/>
      </c>
      <c r="O951" s="12" t="str">
        <v/>
      </c>
      <c r="P951" s="12" t="str">
        <f ca="1"/>
        <v/>
      </c>
    </row>
    <row r="952" spans="11:16" ht="13.2">
      <c r="K952" s="12" t="str">
        <v/>
      </c>
      <c r="L952" s="12" t="str">
        <v/>
      </c>
      <c r="M952" s="12" t="str">
        <v/>
      </c>
      <c r="N952" s="12" t="str">
        <v/>
      </c>
      <c r="O952" s="12" t="str">
        <v/>
      </c>
      <c r="P952" s="12" t="str">
        <f ca="1"/>
        <v/>
      </c>
    </row>
    <row r="953" spans="11:16" ht="13.2">
      <c r="K953" s="12" t="str">
        <v/>
      </c>
      <c r="L953" s="12" t="str">
        <v/>
      </c>
      <c r="M953" s="12" t="str">
        <v/>
      </c>
      <c r="N953" s="12" t="str">
        <v/>
      </c>
      <c r="O953" s="12" t="str">
        <v/>
      </c>
      <c r="P953" s="12" t="str">
        <f ca="1"/>
        <v/>
      </c>
    </row>
    <row r="954" spans="11:16" ht="13.2">
      <c r="K954" s="12" t="str">
        <v/>
      </c>
      <c r="L954" s="12" t="str">
        <v/>
      </c>
      <c r="M954" s="12" t="str">
        <v/>
      </c>
      <c r="N954" s="12" t="str">
        <v/>
      </c>
      <c r="O954" s="12" t="str">
        <v/>
      </c>
      <c r="P954" s="12" t="str">
        <f ca="1"/>
        <v/>
      </c>
    </row>
    <row r="955" spans="11:16" ht="13.2">
      <c r="K955" s="12" t="str">
        <v/>
      </c>
      <c r="L955" s="12" t="str">
        <v/>
      </c>
      <c r="M955" s="12" t="str">
        <v/>
      </c>
      <c r="N955" s="12" t="str">
        <v/>
      </c>
      <c r="O955" s="12" t="str">
        <v/>
      </c>
      <c r="P955" s="12" t="str">
        <f ca="1"/>
        <v/>
      </c>
    </row>
    <row r="956" spans="11:16" ht="13.2">
      <c r="K956" s="12" t="str">
        <v/>
      </c>
      <c r="L956" s="12" t="str">
        <v/>
      </c>
      <c r="M956" s="12" t="str">
        <v/>
      </c>
      <c r="N956" s="12" t="str">
        <v/>
      </c>
      <c r="O956" s="12" t="str">
        <v/>
      </c>
      <c r="P956" s="12" t="str">
        <f ca="1"/>
        <v/>
      </c>
    </row>
    <row r="957" spans="11:16" ht="13.2">
      <c r="K957" s="12" t="str">
        <v/>
      </c>
      <c r="L957" s="12" t="str">
        <v/>
      </c>
      <c r="M957" s="12" t="str">
        <v/>
      </c>
      <c r="N957" s="12" t="str">
        <v/>
      </c>
      <c r="O957" s="12" t="str">
        <v/>
      </c>
      <c r="P957" s="12" t="str">
        <f ca="1"/>
        <v/>
      </c>
    </row>
    <row r="958" spans="11:16" ht="13.2">
      <c r="K958" s="12" t="str">
        <v/>
      </c>
      <c r="L958" s="12" t="str">
        <v/>
      </c>
      <c r="M958" s="12" t="str">
        <v/>
      </c>
      <c r="N958" s="12" t="str">
        <v/>
      </c>
      <c r="O958" s="12" t="str">
        <v/>
      </c>
      <c r="P958" s="12" t="str">
        <f ca="1"/>
        <v/>
      </c>
    </row>
    <row r="959" spans="11:16" ht="13.2">
      <c r="K959" s="12" t="str">
        <v/>
      </c>
      <c r="L959" s="12" t="str">
        <v/>
      </c>
      <c r="M959" s="12" t="str">
        <v/>
      </c>
      <c r="N959" s="12" t="str">
        <v/>
      </c>
      <c r="O959" s="12" t="str">
        <v/>
      </c>
      <c r="P959" s="12" t="str">
        <f ca="1"/>
        <v/>
      </c>
    </row>
    <row r="960" spans="11:16" ht="13.2">
      <c r="K960" s="12" t="str">
        <v/>
      </c>
      <c r="L960" s="12" t="str">
        <v/>
      </c>
      <c r="M960" s="12" t="str">
        <v/>
      </c>
      <c r="N960" s="12" t="str">
        <v/>
      </c>
      <c r="O960" s="12" t="str">
        <v/>
      </c>
      <c r="P960" s="12" t="str">
        <f ca="1"/>
        <v/>
      </c>
    </row>
    <row r="961" spans="11:16" ht="13.2">
      <c r="K961" s="12" t="str">
        <v/>
      </c>
      <c r="L961" s="12" t="str">
        <v/>
      </c>
      <c r="M961" s="12" t="str">
        <v/>
      </c>
      <c r="N961" s="12" t="str">
        <v/>
      </c>
      <c r="O961" s="12" t="str">
        <v/>
      </c>
      <c r="P961" s="12" t="str">
        <f ca="1"/>
        <v/>
      </c>
    </row>
    <row r="962" spans="11:16" ht="13.2">
      <c r="K962" s="12" t="str">
        <v/>
      </c>
      <c r="L962" s="12" t="str">
        <v/>
      </c>
      <c r="M962" s="12" t="str">
        <v/>
      </c>
      <c r="N962" s="12" t="str">
        <v/>
      </c>
      <c r="O962" s="12" t="str">
        <v/>
      </c>
      <c r="P962" s="12" t="str">
        <f ca="1"/>
        <v/>
      </c>
    </row>
    <row r="963" spans="11:16" ht="13.2">
      <c r="K963" s="12" t="str">
        <v/>
      </c>
      <c r="L963" s="12" t="str">
        <v/>
      </c>
      <c r="M963" s="12" t="str">
        <v/>
      </c>
      <c r="N963" s="12" t="str">
        <v/>
      </c>
      <c r="O963" s="12" t="str">
        <v/>
      </c>
      <c r="P963" s="12" t="str">
        <f ca="1"/>
        <v/>
      </c>
    </row>
    <row r="964" spans="11:16" ht="13.2">
      <c r="K964" s="12" t="str">
        <v/>
      </c>
      <c r="L964" s="12" t="str">
        <v/>
      </c>
      <c r="M964" s="12" t="str">
        <v/>
      </c>
      <c r="N964" s="12" t="str">
        <v/>
      </c>
      <c r="O964" s="12" t="str">
        <v/>
      </c>
      <c r="P964" s="12" t="str">
        <f ca="1"/>
        <v/>
      </c>
    </row>
    <row r="965" spans="11:16" ht="13.2">
      <c r="K965" s="12" t="str">
        <v/>
      </c>
      <c r="L965" s="12" t="str">
        <v/>
      </c>
      <c r="M965" s="12" t="str">
        <v/>
      </c>
      <c r="N965" s="12" t="str">
        <v/>
      </c>
      <c r="O965" s="12" t="str">
        <v/>
      </c>
      <c r="P965" s="12" t="str">
        <f ca="1"/>
        <v/>
      </c>
    </row>
    <row r="966" spans="11:16" ht="13.2">
      <c r="K966" s="12" t="str">
        <v/>
      </c>
      <c r="L966" s="12" t="str">
        <v/>
      </c>
      <c r="M966" s="12" t="str">
        <v/>
      </c>
      <c r="N966" s="12" t="str">
        <v/>
      </c>
      <c r="O966" s="12" t="str">
        <v/>
      </c>
      <c r="P966" s="12" t="str">
        <f ca="1"/>
        <v/>
      </c>
    </row>
    <row r="967" spans="11:16" ht="13.2">
      <c r="K967" s="12" t="str">
        <v/>
      </c>
      <c r="L967" s="12" t="str">
        <v/>
      </c>
      <c r="M967" s="12" t="str">
        <v/>
      </c>
      <c r="N967" s="12" t="str">
        <v/>
      </c>
      <c r="O967" s="12" t="str">
        <v/>
      </c>
      <c r="P967" s="12" t="str">
        <f ca="1"/>
        <v/>
      </c>
    </row>
    <row r="968" spans="11:16" ht="13.2">
      <c r="K968" s="12" t="str">
        <v/>
      </c>
      <c r="L968" s="12" t="str">
        <v/>
      </c>
      <c r="M968" s="12" t="str">
        <v/>
      </c>
      <c r="N968" s="12" t="str">
        <v/>
      </c>
      <c r="O968" s="12" t="str">
        <v/>
      </c>
      <c r="P968" s="12" t="str">
        <f ca="1"/>
        <v/>
      </c>
    </row>
    <row r="969" spans="11:16" ht="13.2">
      <c r="K969" s="12" t="str">
        <v/>
      </c>
      <c r="L969" s="12" t="str">
        <v/>
      </c>
      <c r="M969" s="12" t="str">
        <v/>
      </c>
      <c r="N969" s="12" t="str">
        <v/>
      </c>
      <c r="O969" s="12" t="str">
        <v/>
      </c>
      <c r="P969" s="12" t="str">
        <f ca="1"/>
        <v/>
      </c>
    </row>
    <row r="970" spans="11:16" ht="13.2">
      <c r="K970" s="12" t="str">
        <v/>
      </c>
      <c r="L970" s="12" t="str">
        <v/>
      </c>
      <c r="M970" s="12" t="str">
        <v/>
      </c>
      <c r="N970" s="12" t="str">
        <v/>
      </c>
      <c r="O970" s="12" t="str">
        <v/>
      </c>
      <c r="P970" s="12" t="str">
        <f ca="1"/>
        <v/>
      </c>
    </row>
    <row r="971" spans="11:16" ht="13.2">
      <c r="K971" s="12" t="str">
        <v/>
      </c>
      <c r="L971" s="12" t="str">
        <v/>
      </c>
      <c r="M971" s="12" t="str">
        <v/>
      </c>
      <c r="N971" s="12" t="str">
        <v/>
      </c>
      <c r="O971" s="12" t="str">
        <v/>
      </c>
      <c r="P971" s="12" t="str">
        <f ca="1"/>
        <v/>
      </c>
    </row>
    <row r="972" spans="11:16" ht="13.2">
      <c r="K972" s="12" t="str">
        <v/>
      </c>
      <c r="L972" s="12" t="str">
        <v/>
      </c>
      <c r="M972" s="12" t="str">
        <v/>
      </c>
      <c r="N972" s="12" t="str">
        <v/>
      </c>
      <c r="O972" s="12" t="str">
        <v/>
      </c>
      <c r="P972" s="12" t="str">
        <f ca="1"/>
        <v/>
      </c>
    </row>
    <row r="973" spans="11:16" ht="13.2">
      <c r="K973" s="12" t="str">
        <v/>
      </c>
      <c r="L973" s="12" t="str">
        <v/>
      </c>
      <c r="M973" s="12" t="str">
        <v/>
      </c>
      <c r="N973" s="12" t="str">
        <v/>
      </c>
      <c r="O973" s="12" t="str">
        <v/>
      </c>
      <c r="P973" s="12" t="str">
        <f ca="1"/>
        <v/>
      </c>
    </row>
    <row r="974" spans="11:16" ht="13.2">
      <c r="K974" s="12" t="str">
        <v/>
      </c>
      <c r="L974" s="12" t="str">
        <v/>
      </c>
      <c r="M974" s="12" t="str">
        <v/>
      </c>
      <c r="N974" s="12" t="str">
        <v/>
      </c>
      <c r="O974" s="12" t="str">
        <v/>
      </c>
      <c r="P974" s="12" t="str">
        <f ca="1"/>
        <v/>
      </c>
    </row>
    <row r="975" spans="11:16" ht="13.2">
      <c r="K975" s="12" t="str">
        <v/>
      </c>
      <c r="L975" s="12" t="str">
        <v/>
      </c>
      <c r="M975" s="12" t="str">
        <v/>
      </c>
      <c r="N975" s="12" t="str">
        <v/>
      </c>
      <c r="O975" s="12" t="str">
        <v/>
      </c>
      <c r="P975" s="12" t="str">
        <f ca="1"/>
        <v/>
      </c>
    </row>
    <row r="976" spans="11:16" ht="13.2">
      <c r="K976" s="12" t="str">
        <v/>
      </c>
      <c r="L976" s="12" t="str">
        <v/>
      </c>
      <c r="M976" s="12" t="str">
        <v/>
      </c>
      <c r="N976" s="12" t="str">
        <v/>
      </c>
      <c r="O976" s="12" t="str">
        <v/>
      </c>
      <c r="P976" s="12" t="str">
        <f ca="1"/>
        <v/>
      </c>
    </row>
    <row r="977" spans="11:16" ht="13.2">
      <c r="K977" s="12" t="str">
        <v/>
      </c>
      <c r="L977" s="12" t="str">
        <v/>
      </c>
      <c r="M977" s="12" t="str">
        <v/>
      </c>
      <c r="N977" s="12" t="str">
        <v/>
      </c>
      <c r="O977" s="12" t="str">
        <v/>
      </c>
      <c r="P977" s="12" t="str">
        <f ca="1"/>
        <v/>
      </c>
    </row>
    <row r="978" spans="11:16" ht="13.2">
      <c r="K978" s="12" t="str">
        <v/>
      </c>
      <c r="L978" s="12" t="str">
        <v/>
      </c>
      <c r="M978" s="12" t="str">
        <v/>
      </c>
      <c r="N978" s="12" t="str">
        <v/>
      </c>
      <c r="O978" s="12" t="str">
        <v/>
      </c>
      <c r="P978" s="12" t="str">
        <f ca="1"/>
        <v/>
      </c>
    </row>
    <row r="979" spans="11:16" ht="13.2">
      <c r="K979" s="12" t="str">
        <v/>
      </c>
      <c r="L979" s="12" t="str">
        <v/>
      </c>
      <c r="M979" s="12" t="str">
        <v/>
      </c>
      <c r="N979" s="12" t="str">
        <v/>
      </c>
      <c r="O979" s="12" t="str">
        <v/>
      </c>
      <c r="P979" s="12" t="str">
        <f ca="1"/>
        <v/>
      </c>
    </row>
    <row r="980" spans="11:16" ht="13.2">
      <c r="K980" s="12" t="str">
        <v/>
      </c>
      <c r="L980" s="12" t="str">
        <v/>
      </c>
      <c r="M980" s="12" t="str">
        <v/>
      </c>
      <c r="N980" s="12" t="str">
        <v/>
      </c>
      <c r="O980" s="12" t="str">
        <v/>
      </c>
      <c r="P980" s="12" t="str">
        <f ca="1"/>
        <v/>
      </c>
    </row>
    <row r="981" spans="11:16" ht="13.2">
      <c r="K981" s="12" t="str">
        <v/>
      </c>
      <c r="L981" s="12" t="str">
        <v/>
      </c>
      <c r="M981" s="12" t="str">
        <v/>
      </c>
      <c r="N981" s="12" t="str">
        <v/>
      </c>
      <c r="O981" s="12" t="str">
        <v/>
      </c>
      <c r="P981" s="12" t="str">
        <f ca="1"/>
        <v/>
      </c>
    </row>
    <row r="982" spans="11:16" ht="13.2">
      <c r="K982" s="12" t="str">
        <v/>
      </c>
      <c r="L982" s="12" t="str">
        <v/>
      </c>
      <c r="M982" s="12" t="str">
        <v/>
      </c>
      <c r="N982" s="12" t="str">
        <v/>
      </c>
      <c r="O982" s="12" t="str">
        <v/>
      </c>
      <c r="P982" s="12" t="str">
        <f ca="1"/>
        <v/>
      </c>
    </row>
    <row r="983" spans="11:16" ht="13.2">
      <c r="K983" s="12" t="str">
        <v/>
      </c>
      <c r="L983" s="12" t="str">
        <v/>
      </c>
      <c r="M983" s="12" t="str">
        <v/>
      </c>
      <c r="N983" s="12" t="str">
        <v/>
      </c>
      <c r="O983" s="12" t="str">
        <v/>
      </c>
      <c r="P983" s="12" t="str">
        <f ca="1"/>
        <v/>
      </c>
    </row>
    <row r="984" spans="11:16" ht="13.2">
      <c r="K984" s="12" t="str">
        <v/>
      </c>
      <c r="L984" s="12" t="str">
        <v/>
      </c>
      <c r="M984" s="12" t="str">
        <v/>
      </c>
      <c r="N984" s="12" t="str">
        <v/>
      </c>
      <c r="O984" s="12" t="str">
        <v/>
      </c>
      <c r="P984" s="12" t="str">
        <f ca="1"/>
        <v/>
      </c>
    </row>
    <row r="985" spans="11:16" ht="13.2">
      <c r="K985" s="12" t="str">
        <v/>
      </c>
      <c r="L985" s="12" t="str">
        <v/>
      </c>
      <c r="M985" s="12" t="str">
        <v/>
      </c>
      <c r="N985" s="12" t="str">
        <v/>
      </c>
      <c r="O985" s="12" t="str">
        <v/>
      </c>
      <c r="P985" s="12" t="str">
        <f ca="1"/>
        <v/>
      </c>
    </row>
    <row r="986" spans="11:16" ht="13.2">
      <c r="K986" s="12" t="str">
        <v/>
      </c>
      <c r="L986" s="12" t="str">
        <v/>
      </c>
      <c r="M986" s="12" t="str">
        <v/>
      </c>
      <c r="N986" s="12" t="str">
        <v/>
      </c>
      <c r="O986" s="12" t="str">
        <v/>
      </c>
      <c r="P986" s="12" t="str">
        <f ca="1"/>
        <v/>
      </c>
    </row>
    <row r="987" spans="11:16" ht="13.2">
      <c r="K987" s="12" t="str">
        <v/>
      </c>
      <c r="L987" s="12" t="str">
        <v/>
      </c>
      <c r="M987" s="12" t="str">
        <v/>
      </c>
      <c r="N987" s="12" t="str">
        <v/>
      </c>
      <c r="O987" s="12" t="str">
        <v/>
      </c>
      <c r="P987" s="12" t="str">
        <f ca="1"/>
        <v/>
      </c>
    </row>
    <row r="988" spans="11:16" ht="13.2">
      <c r="K988" s="12" t="str">
        <v/>
      </c>
      <c r="L988" s="12" t="str">
        <v/>
      </c>
      <c r="M988" s="12" t="str">
        <v/>
      </c>
      <c r="N988" s="12" t="str">
        <v/>
      </c>
      <c r="O988" s="12" t="str">
        <v/>
      </c>
      <c r="P988" s="12" t="str">
        <f ca="1"/>
        <v/>
      </c>
    </row>
    <row r="989" spans="11:16" ht="13.2">
      <c r="K989" s="12" t="str">
        <v/>
      </c>
      <c r="L989" s="12" t="str">
        <v/>
      </c>
      <c r="M989" s="12" t="str">
        <v/>
      </c>
      <c r="N989" s="12" t="str">
        <v/>
      </c>
      <c r="O989" s="12" t="str">
        <v/>
      </c>
      <c r="P989" s="12" t="str">
        <f ca="1"/>
        <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C220"/>
  <sheetViews>
    <sheetView showGridLines="0" zoomScale="55" workbookViewId="0">
      <selection sqref="A1:C1"/>
    </sheetView>
  </sheetViews>
  <sheetFormatPr defaultColWidth="12.6640625" defaultRowHeight="15.75" customHeight="1"/>
  <cols>
    <col min="1" max="1" width="24.33203125" customWidth="1"/>
    <col min="2" max="2" width="21.6640625" customWidth="1"/>
    <col min="3" max="3" width="27.88671875" customWidth="1"/>
  </cols>
  <sheetData>
    <row r="1" spans="1:3" ht="54.75" customHeight="1">
      <c r="A1" s="28" t="s">
        <v>465</v>
      </c>
      <c r="B1" s="29"/>
      <c r="C1" s="30"/>
    </row>
    <row r="2" spans="1:3" ht="42.75" customHeight="1">
      <c r="A2" s="16"/>
      <c r="B2" s="16"/>
      <c r="C2" s="16"/>
    </row>
    <row r="3" spans="1:3" ht="42.75" customHeight="1">
      <c r="A3" s="17" t="s">
        <v>0</v>
      </c>
      <c r="B3" s="17" t="s">
        <v>466</v>
      </c>
      <c r="C3" s="17" t="s">
        <v>467</v>
      </c>
    </row>
    <row r="4" spans="1:3" ht="24">
      <c r="A4" s="8" t="s">
        <v>10</v>
      </c>
      <c r="B4" s="8" t="s">
        <v>234</v>
      </c>
      <c r="C4" s="8" t="s">
        <v>235</v>
      </c>
    </row>
    <row r="5" spans="1:3" ht="24">
      <c r="A5" s="8" t="s">
        <v>11</v>
      </c>
      <c r="B5" s="8" t="s">
        <v>236</v>
      </c>
      <c r="C5" s="8" t="s">
        <v>237</v>
      </c>
    </row>
    <row r="6" spans="1:3" ht="24">
      <c r="A6" s="8" t="s">
        <v>12</v>
      </c>
      <c r="B6" s="8" t="s">
        <v>243</v>
      </c>
      <c r="C6" s="8" t="s">
        <v>244</v>
      </c>
    </row>
    <row r="7" spans="1:3" ht="24">
      <c r="A7" s="8" t="s">
        <v>13</v>
      </c>
      <c r="B7" s="8" t="s">
        <v>245</v>
      </c>
      <c r="C7" s="8" t="s">
        <v>246</v>
      </c>
    </row>
    <row r="8" spans="1:3" ht="24">
      <c r="A8" s="8" t="s">
        <v>14</v>
      </c>
      <c r="B8" s="8" t="s">
        <v>251</v>
      </c>
      <c r="C8" s="8" t="s">
        <v>252</v>
      </c>
    </row>
    <row r="9" spans="1:3" ht="24">
      <c r="A9" s="8" t="s">
        <v>15</v>
      </c>
      <c r="B9" s="8" t="s">
        <v>234</v>
      </c>
      <c r="C9" s="8" t="s">
        <v>468</v>
      </c>
    </row>
    <row r="10" spans="1:3" ht="24">
      <c r="A10" s="8" t="s">
        <v>17</v>
      </c>
      <c r="B10" s="8" t="s">
        <v>253</v>
      </c>
      <c r="C10" s="8" t="s">
        <v>254</v>
      </c>
    </row>
    <row r="11" spans="1:3" ht="24">
      <c r="A11" s="8" t="s">
        <v>18</v>
      </c>
      <c r="B11" s="8" t="s">
        <v>258</v>
      </c>
      <c r="C11" s="8" t="s">
        <v>469</v>
      </c>
    </row>
    <row r="12" spans="1:3" ht="24">
      <c r="A12" s="8" t="s">
        <v>19</v>
      </c>
      <c r="B12" s="8" t="s">
        <v>248</v>
      </c>
      <c r="C12" s="8" t="s">
        <v>249</v>
      </c>
    </row>
    <row r="13" spans="1:3" ht="24">
      <c r="A13" s="8" t="s">
        <v>20</v>
      </c>
      <c r="B13" s="8" t="s">
        <v>240</v>
      </c>
      <c r="C13" s="8" t="s">
        <v>257</v>
      </c>
    </row>
    <row r="14" spans="1:3" ht="24">
      <c r="A14" s="8" t="s">
        <v>21</v>
      </c>
      <c r="B14" s="8" t="s">
        <v>236</v>
      </c>
      <c r="C14" s="8" t="s">
        <v>262</v>
      </c>
    </row>
    <row r="15" spans="1:3" ht="24">
      <c r="A15" s="8" t="s">
        <v>22</v>
      </c>
      <c r="B15" s="8" t="s">
        <v>260</v>
      </c>
      <c r="C15" s="8" t="s">
        <v>261</v>
      </c>
    </row>
    <row r="16" spans="1:3" ht="24">
      <c r="A16" s="8" t="s">
        <v>23</v>
      </c>
      <c r="B16" s="8" t="s">
        <v>253</v>
      </c>
      <c r="C16" s="8" t="s">
        <v>23</v>
      </c>
    </row>
    <row r="17" spans="1:3" ht="24">
      <c r="A17" s="8" t="s">
        <v>24</v>
      </c>
      <c r="B17" s="8" t="s">
        <v>253</v>
      </c>
      <c r="C17" s="8" t="s">
        <v>271</v>
      </c>
    </row>
    <row r="18" spans="1:3" ht="24">
      <c r="A18" s="8" t="s">
        <v>25</v>
      </c>
      <c r="B18" s="8" t="s">
        <v>266</v>
      </c>
      <c r="C18" s="8" t="s">
        <v>267</v>
      </c>
    </row>
    <row r="19" spans="1:3" ht="24">
      <c r="A19" s="8" t="s">
        <v>26</v>
      </c>
      <c r="B19" s="8" t="s">
        <v>241</v>
      </c>
      <c r="C19" s="8" t="s">
        <v>264</v>
      </c>
    </row>
    <row r="20" spans="1:3" ht="24">
      <c r="A20" s="8" t="s">
        <v>27</v>
      </c>
      <c r="B20" s="8" t="s">
        <v>248</v>
      </c>
      <c r="C20" s="8" t="s">
        <v>263</v>
      </c>
    </row>
    <row r="21" spans="1:3" ht="24">
      <c r="A21" s="8" t="s">
        <v>28</v>
      </c>
      <c r="B21" s="8" t="s">
        <v>255</v>
      </c>
      <c r="C21" s="8" t="s">
        <v>276</v>
      </c>
    </row>
    <row r="22" spans="1:3" ht="24">
      <c r="A22" s="8" t="s">
        <v>29</v>
      </c>
      <c r="B22" s="8" t="s">
        <v>234</v>
      </c>
      <c r="C22" s="8" t="s">
        <v>272</v>
      </c>
    </row>
    <row r="23" spans="1:3" ht="24">
      <c r="A23" s="8" t="s">
        <v>30</v>
      </c>
      <c r="B23" s="8" t="s">
        <v>236</v>
      </c>
      <c r="C23" s="8" t="s">
        <v>273</v>
      </c>
    </row>
    <row r="24" spans="1:3" ht="24">
      <c r="A24" s="8" t="s">
        <v>31</v>
      </c>
      <c r="B24" s="8" t="s">
        <v>236</v>
      </c>
      <c r="C24" s="8" t="s">
        <v>269</v>
      </c>
    </row>
    <row r="25" spans="1:3" ht="24">
      <c r="A25" s="8" t="s">
        <v>32</v>
      </c>
      <c r="B25" s="8" t="s">
        <v>253</v>
      </c>
      <c r="C25" s="8" t="s">
        <v>278</v>
      </c>
    </row>
    <row r="26" spans="1:3" ht="24">
      <c r="A26" s="8" t="s">
        <v>33</v>
      </c>
      <c r="B26" s="8" t="s">
        <v>255</v>
      </c>
      <c r="C26" s="8" t="s">
        <v>279</v>
      </c>
    </row>
    <row r="27" spans="1:3" ht="24">
      <c r="A27" s="8" t="s">
        <v>34</v>
      </c>
      <c r="B27" s="8" t="s">
        <v>260</v>
      </c>
      <c r="C27" s="8" t="s">
        <v>270</v>
      </c>
    </row>
    <row r="28" spans="1:3" ht="24">
      <c r="A28" s="8" t="s">
        <v>35</v>
      </c>
      <c r="B28" s="8" t="s">
        <v>240</v>
      </c>
      <c r="C28" s="8" t="s">
        <v>280</v>
      </c>
    </row>
    <row r="29" spans="1:3" ht="24">
      <c r="A29" s="8" t="s">
        <v>36</v>
      </c>
      <c r="B29" s="8" t="s">
        <v>234</v>
      </c>
      <c r="C29" s="8" t="s">
        <v>268</v>
      </c>
    </row>
    <row r="30" spans="1:3" ht="48">
      <c r="A30" s="8" t="s">
        <v>37</v>
      </c>
      <c r="B30" s="8" t="s">
        <v>283</v>
      </c>
      <c r="C30" s="8" t="s">
        <v>284</v>
      </c>
    </row>
    <row r="31" spans="1:3" ht="24">
      <c r="A31" s="8" t="s">
        <v>38</v>
      </c>
      <c r="B31" s="8" t="s">
        <v>300</v>
      </c>
      <c r="C31" s="8" t="s">
        <v>470</v>
      </c>
    </row>
    <row r="32" spans="1:3" ht="48">
      <c r="A32" s="8" t="s">
        <v>39</v>
      </c>
      <c r="B32" s="8" t="s">
        <v>236</v>
      </c>
      <c r="C32" s="8" t="s">
        <v>285</v>
      </c>
    </row>
    <row r="33" spans="1:3" ht="24">
      <c r="A33" s="8" t="s">
        <v>40</v>
      </c>
      <c r="B33" s="8" t="s">
        <v>248</v>
      </c>
      <c r="C33" s="8" t="s">
        <v>287</v>
      </c>
    </row>
    <row r="34" spans="1:3" ht="24">
      <c r="A34" s="8" t="s">
        <v>41</v>
      </c>
      <c r="B34" s="8" t="s">
        <v>236</v>
      </c>
      <c r="C34" s="8" t="s">
        <v>288</v>
      </c>
    </row>
    <row r="35" spans="1:3" ht="24">
      <c r="A35" s="8" t="s">
        <v>42</v>
      </c>
      <c r="B35" s="8" t="s">
        <v>251</v>
      </c>
      <c r="C35" s="8" t="s">
        <v>292</v>
      </c>
    </row>
    <row r="36" spans="1:3" ht="48">
      <c r="A36" s="8" t="s">
        <v>43</v>
      </c>
      <c r="B36" s="8" t="s">
        <v>296</v>
      </c>
      <c r="C36" s="8" t="s">
        <v>297</v>
      </c>
    </row>
    <row r="37" spans="1:3" ht="24">
      <c r="A37" s="8" t="s">
        <v>44</v>
      </c>
      <c r="B37" s="8" t="s">
        <v>253</v>
      </c>
      <c r="C37" s="8" t="s">
        <v>293</v>
      </c>
    </row>
    <row r="38" spans="1:3" ht="24">
      <c r="A38" s="8" t="s">
        <v>45</v>
      </c>
      <c r="B38" s="8" t="s">
        <v>300</v>
      </c>
      <c r="C38" s="8" t="s">
        <v>471</v>
      </c>
    </row>
    <row r="39" spans="1:3" ht="24">
      <c r="A39" s="8" t="s">
        <v>46</v>
      </c>
      <c r="B39" s="8" t="s">
        <v>300</v>
      </c>
      <c r="C39" s="8" t="s">
        <v>301</v>
      </c>
    </row>
    <row r="40" spans="1:3" ht="24">
      <c r="A40" s="8" t="s">
        <v>47</v>
      </c>
      <c r="B40" s="8" t="s">
        <v>320</v>
      </c>
      <c r="C40" s="8" t="s">
        <v>321</v>
      </c>
    </row>
    <row r="41" spans="1:3" ht="24">
      <c r="A41" s="8" t="s">
        <v>48</v>
      </c>
      <c r="B41" s="8" t="s">
        <v>294</v>
      </c>
      <c r="C41" s="8" t="s">
        <v>295</v>
      </c>
    </row>
    <row r="42" spans="1:3" ht="24">
      <c r="A42" s="8" t="s">
        <v>49</v>
      </c>
      <c r="B42" s="8" t="s">
        <v>298</v>
      </c>
      <c r="C42" s="8" t="s">
        <v>49</v>
      </c>
    </row>
    <row r="43" spans="1:3" ht="24">
      <c r="A43" s="8" t="s">
        <v>50</v>
      </c>
      <c r="B43" s="8" t="s">
        <v>238</v>
      </c>
      <c r="C43" s="8" t="s">
        <v>323</v>
      </c>
    </row>
    <row r="44" spans="1:3" ht="24">
      <c r="A44" s="8" t="s">
        <v>51</v>
      </c>
      <c r="B44" s="8" t="s">
        <v>307</v>
      </c>
      <c r="C44" s="8" t="s">
        <v>308</v>
      </c>
    </row>
    <row r="45" spans="1:3" ht="24">
      <c r="A45" s="8" t="s">
        <v>52</v>
      </c>
      <c r="B45" s="8" t="s">
        <v>255</v>
      </c>
      <c r="C45" s="8" t="s">
        <v>306</v>
      </c>
    </row>
    <row r="46" spans="1:3" ht="24">
      <c r="A46" s="8" t="s">
        <v>53</v>
      </c>
      <c r="B46" s="8" t="s">
        <v>234</v>
      </c>
      <c r="C46" s="8" t="s">
        <v>322</v>
      </c>
    </row>
    <row r="47" spans="1:3" ht="24">
      <c r="A47" s="8" t="s">
        <v>54</v>
      </c>
      <c r="B47" s="8" t="s">
        <v>300</v>
      </c>
      <c r="C47" s="8" t="s">
        <v>472</v>
      </c>
    </row>
    <row r="48" spans="1:3" ht="48">
      <c r="A48" s="8" t="s">
        <v>55</v>
      </c>
      <c r="B48" s="8" t="s">
        <v>309</v>
      </c>
      <c r="C48" s="8" t="s">
        <v>310</v>
      </c>
    </row>
    <row r="49" spans="1:3" ht="24">
      <c r="A49" s="8" t="s">
        <v>56</v>
      </c>
      <c r="B49" s="8" t="s">
        <v>253</v>
      </c>
      <c r="C49" s="8" t="s">
        <v>473</v>
      </c>
    </row>
    <row r="50" spans="1:3" ht="24">
      <c r="A50" s="8" t="s">
        <v>57</v>
      </c>
      <c r="B50" s="8" t="s">
        <v>245</v>
      </c>
      <c r="C50" s="8" t="s">
        <v>312</v>
      </c>
    </row>
    <row r="51" spans="1:3" ht="24">
      <c r="A51" s="8" t="s">
        <v>58</v>
      </c>
      <c r="B51" s="8" t="s">
        <v>289</v>
      </c>
      <c r="C51" s="8" t="s">
        <v>311</v>
      </c>
    </row>
    <row r="52" spans="1:3" ht="24">
      <c r="A52" s="8" t="s">
        <v>59</v>
      </c>
      <c r="B52" s="8" t="s">
        <v>304</v>
      </c>
      <c r="C52" s="8" t="s">
        <v>305</v>
      </c>
    </row>
    <row r="53" spans="1:3" ht="24">
      <c r="A53" s="8" t="s">
        <v>60</v>
      </c>
      <c r="B53" s="8" t="s">
        <v>294</v>
      </c>
      <c r="C53" s="8" t="s">
        <v>299</v>
      </c>
    </row>
    <row r="54" spans="1:3" ht="24">
      <c r="A54" s="8" t="s">
        <v>61</v>
      </c>
      <c r="B54" s="8" t="s">
        <v>253</v>
      </c>
      <c r="C54" s="8" t="s">
        <v>302</v>
      </c>
    </row>
    <row r="55" spans="1:3" ht="24">
      <c r="A55" s="8" t="s">
        <v>62</v>
      </c>
      <c r="B55" s="8" t="s">
        <v>258</v>
      </c>
      <c r="C55" s="8" t="s">
        <v>474</v>
      </c>
    </row>
    <row r="56" spans="1:3" ht="24">
      <c r="A56" s="8" t="s">
        <v>63</v>
      </c>
      <c r="B56" s="8" t="s">
        <v>345</v>
      </c>
      <c r="C56" s="8" t="s">
        <v>346</v>
      </c>
    </row>
    <row r="57" spans="1:3" ht="24">
      <c r="A57" s="8" t="s">
        <v>64</v>
      </c>
      <c r="B57" s="8" t="s">
        <v>315</v>
      </c>
      <c r="C57" s="8" t="s">
        <v>316</v>
      </c>
    </row>
    <row r="58" spans="1:3" ht="48">
      <c r="A58" s="8" t="s">
        <v>65</v>
      </c>
      <c r="B58" s="8" t="s">
        <v>283</v>
      </c>
      <c r="C58" s="8" t="s">
        <v>317</v>
      </c>
    </row>
    <row r="59" spans="1:3" ht="24">
      <c r="A59" s="8" t="s">
        <v>66</v>
      </c>
      <c r="B59" s="8" t="s">
        <v>255</v>
      </c>
      <c r="C59" s="8" t="s">
        <v>343</v>
      </c>
    </row>
    <row r="60" spans="1:3" ht="48">
      <c r="A60" s="8" t="s">
        <v>67</v>
      </c>
      <c r="B60" s="8" t="s">
        <v>296</v>
      </c>
      <c r="C60" s="8" t="s">
        <v>326</v>
      </c>
    </row>
    <row r="61" spans="1:3" ht="24">
      <c r="A61" s="8" t="s">
        <v>68</v>
      </c>
      <c r="B61" s="8" t="s">
        <v>309</v>
      </c>
      <c r="C61" s="8" t="s">
        <v>324</v>
      </c>
    </row>
    <row r="62" spans="1:3" ht="48">
      <c r="A62" s="8" t="s">
        <v>69</v>
      </c>
      <c r="B62" s="8" t="s">
        <v>334</v>
      </c>
      <c r="C62" s="8" t="s">
        <v>335</v>
      </c>
    </row>
    <row r="63" spans="1:3" ht="24">
      <c r="A63" s="8" t="s">
        <v>70</v>
      </c>
      <c r="B63" s="8" t="s">
        <v>332</v>
      </c>
      <c r="C63" s="8" t="s">
        <v>333</v>
      </c>
    </row>
    <row r="64" spans="1:3" ht="48">
      <c r="A64" s="8" t="s">
        <v>71</v>
      </c>
      <c r="B64" s="8" t="s">
        <v>240</v>
      </c>
      <c r="C64" s="8" t="s">
        <v>339</v>
      </c>
    </row>
    <row r="65" spans="1:3" ht="48">
      <c r="A65" s="8" t="s">
        <v>72</v>
      </c>
      <c r="B65" s="8" t="s">
        <v>294</v>
      </c>
      <c r="C65" s="8" t="s">
        <v>342</v>
      </c>
    </row>
    <row r="66" spans="1:3" ht="24">
      <c r="A66" s="8" t="s">
        <v>73</v>
      </c>
      <c r="B66" s="8" t="s">
        <v>300</v>
      </c>
      <c r="C66" s="8" t="s">
        <v>475</v>
      </c>
    </row>
    <row r="67" spans="1:3" ht="24">
      <c r="A67" s="8" t="s">
        <v>74</v>
      </c>
      <c r="B67" s="8" t="s">
        <v>332</v>
      </c>
      <c r="C67" s="8" t="s">
        <v>338</v>
      </c>
    </row>
    <row r="68" spans="1:3" ht="24">
      <c r="A68" s="8" t="s">
        <v>75</v>
      </c>
      <c r="B68" s="8" t="s">
        <v>255</v>
      </c>
      <c r="C68" s="8" t="s">
        <v>369</v>
      </c>
    </row>
    <row r="69" spans="1:3" ht="24">
      <c r="A69" s="8" t="s">
        <v>76</v>
      </c>
      <c r="B69" s="8" t="s">
        <v>266</v>
      </c>
      <c r="C69" s="8" t="s">
        <v>341</v>
      </c>
    </row>
    <row r="70" spans="1:3" ht="24">
      <c r="A70" s="8" t="s">
        <v>77</v>
      </c>
      <c r="B70" s="8" t="s">
        <v>364</v>
      </c>
      <c r="C70" s="8" t="s">
        <v>476</v>
      </c>
    </row>
    <row r="71" spans="1:3" ht="24">
      <c r="A71" s="8" t="s">
        <v>78</v>
      </c>
      <c r="B71" s="8" t="s">
        <v>234</v>
      </c>
      <c r="C71" s="8" t="s">
        <v>336</v>
      </c>
    </row>
    <row r="72" spans="1:3" ht="24">
      <c r="A72" s="8" t="s">
        <v>79</v>
      </c>
      <c r="B72" s="8" t="s">
        <v>300</v>
      </c>
      <c r="C72" s="8" t="s">
        <v>344</v>
      </c>
    </row>
    <row r="73" spans="1:3" ht="24">
      <c r="A73" s="8" t="s">
        <v>80</v>
      </c>
      <c r="B73" s="8" t="s">
        <v>255</v>
      </c>
      <c r="C73" s="8" t="s">
        <v>357</v>
      </c>
    </row>
    <row r="74" spans="1:3" ht="24">
      <c r="A74" s="8" t="s">
        <v>81</v>
      </c>
      <c r="B74" s="8" t="s">
        <v>364</v>
      </c>
      <c r="C74" s="8" t="s">
        <v>365</v>
      </c>
    </row>
    <row r="75" spans="1:3" ht="24">
      <c r="A75" s="8" t="s">
        <v>82</v>
      </c>
      <c r="B75" s="8" t="s">
        <v>300</v>
      </c>
      <c r="C75" s="8" t="s">
        <v>350</v>
      </c>
    </row>
    <row r="76" spans="1:3" ht="24">
      <c r="A76" s="8" t="s">
        <v>83</v>
      </c>
      <c r="B76" s="8" t="s">
        <v>328</v>
      </c>
      <c r="C76" s="8" t="s">
        <v>329</v>
      </c>
    </row>
    <row r="77" spans="1:3" ht="48">
      <c r="A77" s="8" t="s">
        <v>84</v>
      </c>
      <c r="B77" s="8" t="s">
        <v>283</v>
      </c>
      <c r="C77" s="8" t="s">
        <v>360</v>
      </c>
    </row>
    <row r="78" spans="1:3" ht="24">
      <c r="A78" s="8" t="s">
        <v>85</v>
      </c>
      <c r="B78" s="8" t="s">
        <v>330</v>
      </c>
      <c r="C78" s="8" t="s">
        <v>331</v>
      </c>
    </row>
    <row r="79" spans="1:3" ht="24">
      <c r="A79" s="8" t="s">
        <v>86</v>
      </c>
      <c r="B79" s="8" t="s">
        <v>294</v>
      </c>
      <c r="C79" s="8" t="s">
        <v>362</v>
      </c>
    </row>
    <row r="80" spans="1:3" ht="48">
      <c r="A80" s="8" t="s">
        <v>87</v>
      </c>
      <c r="B80" s="8" t="s">
        <v>294</v>
      </c>
      <c r="C80" s="8" t="s">
        <v>348</v>
      </c>
    </row>
    <row r="81" spans="1:3" ht="24">
      <c r="A81" s="8" t="s">
        <v>88</v>
      </c>
      <c r="B81" s="8" t="s">
        <v>358</v>
      </c>
      <c r="C81" s="8" t="s">
        <v>359</v>
      </c>
    </row>
    <row r="82" spans="1:3" ht="24">
      <c r="A82" s="8" t="s">
        <v>89</v>
      </c>
      <c r="B82" s="8" t="s">
        <v>266</v>
      </c>
      <c r="C82" s="8" t="s">
        <v>347</v>
      </c>
    </row>
    <row r="83" spans="1:3" ht="24">
      <c r="A83" s="8" t="s">
        <v>90</v>
      </c>
      <c r="B83" s="8" t="s">
        <v>266</v>
      </c>
      <c r="C83" s="8" t="s">
        <v>363</v>
      </c>
    </row>
    <row r="84" spans="1:3" ht="48">
      <c r="A84" s="8" t="s">
        <v>91</v>
      </c>
      <c r="B84" s="8" t="s">
        <v>283</v>
      </c>
      <c r="C84" s="8" t="s">
        <v>371</v>
      </c>
    </row>
    <row r="85" spans="1:3" ht="24">
      <c r="A85" s="8" t="s">
        <v>92</v>
      </c>
      <c r="B85" s="8" t="s">
        <v>238</v>
      </c>
      <c r="C85" s="8" t="s">
        <v>477</v>
      </c>
    </row>
    <row r="86" spans="1:3" ht="48">
      <c r="A86" s="8" t="s">
        <v>94</v>
      </c>
      <c r="B86" s="8" t="s">
        <v>296</v>
      </c>
      <c r="C86" s="8" t="s">
        <v>367</v>
      </c>
    </row>
    <row r="87" spans="1:3" ht="24">
      <c r="A87" s="8" t="s">
        <v>95</v>
      </c>
      <c r="B87" s="8" t="s">
        <v>255</v>
      </c>
      <c r="C87" s="8" t="s">
        <v>368</v>
      </c>
    </row>
    <row r="88" spans="1:3" ht="24">
      <c r="A88" s="8" t="s">
        <v>96</v>
      </c>
      <c r="B88" s="8" t="s">
        <v>307</v>
      </c>
      <c r="C88" s="8" t="s">
        <v>377</v>
      </c>
    </row>
    <row r="89" spans="1:3" ht="24">
      <c r="A89" s="8" t="s">
        <v>97</v>
      </c>
      <c r="B89" s="8" t="s">
        <v>266</v>
      </c>
      <c r="C89" s="8" t="s">
        <v>366</v>
      </c>
    </row>
    <row r="90" spans="1:3" ht="48">
      <c r="A90" s="8" t="s">
        <v>98</v>
      </c>
      <c r="B90" s="8" t="s">
        <v>245</v>
      </c>
      <c r="C90" s="8" t="s">
        <v>356</v>
      </c>
    </row>
    <row r="91" spans="1:3" ht="24">
      <c r="A91" s="8" t="s">
        <v>99</v>
      </c>
      <c r="B91" s="8" t="s">
        <v>372</v>
      </c>
      <c r="C91" s="8" t="s">
        <v>373</v>
      </c>
    </row>
    <row r="92" spans="1:3" ht="24">
      <c r="A92" s="8" t="s">
        <v>100</v>
      </c>
      <c r="B92" s="8" t="s">
        <v>300</v>
      </c>
      <c r="C92" s="8" t="s">
        <v>385</v>
      </c>
    </row>
    <row r="93" spans="1:3" ht="24">
      <c r="A93" s="8" t="s">
        <v>101</v>
      </c>
      <c r="B93" s="8" t="s">
        <v>266</v>
      </c>
      <c r="C93" s="8" t="s">
        <v>380</v>
      </c>
    </row>
    <row r="94" spans="1:3" ht="24">
      <c r="A94" s="8" t="s">
        <v>102</v>
      </c>
      <c r="B94" s="8" t="s">
        <v>266</v>
      </c>
      <c r="C94" s="8" t="s">
        <v>376</v>
      </c>
    </row>
    <row r="95" spans="1:3" ht="24">
      <c r="A95" s="8" t="s">
        <v>103</v>
      </c>
      <c r="B95" s="8" t="s">
        <v>255</v>
      </c>
      <c r="C95" s="8" t="s">
        <v>394</v>
      </c>
    </row>
    <row r="96" spans="1:3" ht="24">
      <c r="A96" s="8" t="s">
        <v>104</v>
      </c>
      <c r="B96" s="8" t="s">
        <v>300</v>
      </c>
      <c r="C96" s="8" t="s">
        <v>383</v>
      </c>
    </row>
    <row r="97" spans="1:3" ht="24">
      <c r="A97" s="8" t="s">
        <v>105</v>
      </c>
      <c r="B97" s="8" t="s">
        <v>300</v>
      </c>
      <c r="C97" s="8" t="s">
        <v>399</v>
      </c>
    </row>
    <row r="98" spans="1:3" ht="24">
      <c r="A98" s="8" t="s">
        <v>106</v>
      </c>
      <c r="B98" s="8" t="s">
        <v>234</v>
      </c>
      <c r="C98" s="8" t="s">
        <v>370</v>
      </c>
    </row>
    <row r="99" spans="1:3" ht="24">
      <c r="A99" s="8" t="s">
        <v>107</v>
      </c>
      <c r="B99" s="8" t="s">
        <v>387</v>
      </c>
      <c r="C99" s="8" t="s">
        <v>388</v>
      </c>
    </row>
    <row r="100" spans="1:3" ht="48">
      <c r="A100" s="8" t="s">
        <v>108</v>
      </c>
      <c r="B100" s="8" t="s">
        <v>300</v>
      </c>
      <c r="C100" s="8" t="s">
        <v>382</v>
      </c>
    </row>
    <row r="101" spans="1:3" ht="24">
      <c r="A101" s="8" t="s">
        <v>109</v>
      </c>
      <c r="B101" s="8" t="s">
        <v>234</v>
      </c>
      <c r="C101" s="8" t="s">
        <v>386</v>
      </c>
    </row>
    <row r="102" spans="1:3" ht="24">
      <c r="A102" s="8" t="s">
        <v>110</v>
      </c>
      <c r="B102" s="8" t="s">
        <v>300</v>
      </c>
      <c r="C102" s="8" t="s">
        <v>110</v>
      </c>
    </row>
    <row r="103" spans="1:3" ht="48">
      <c r="A103" s="8" t="s">
        <v>111</v>
      </c>
      <c r="B103" s="8" t="s">
        <v>296</v>
      </c>
      <c r="C103" s="8" t="s">
        <v>379</v>
      </c>
    </row>
    <row r="104" spans="1:3" ht="24">
      <c r="A104" s="8" t="s">
        <v>112</v>
      </c>
      <c r="B104" s="8" t="s">
        <v>389</v>
      </c>
      <c r="C104" s="8" t="s">
        <v>390</v>
      </c>
    </row>
    <row r="105" spans="1:3" ht="48">
      <c r="A105" s="8" t="s">
        <v>113</v>
      </c>
      <c r="B105" s="8" t="s">
        <v>283</v>
      </c>
      <c r="C105" s="8" t="s">
        <v>393</v>
      </c>
    </row>
    <row r="106" spans="1:3" ht="24">
      <c r="A106" s="8" t="s">
        <v>114</v>
      </c>
      <c r="B106" s="8" t="s">
        <v>300</v>
      </c>
      <c r="C106" s="8" t="s">
        <v>391</v>
      </c>
    </row>
    <row r="107" spans="1:3" ht="24">
      <c r="A107" s="8" t="s">
        <v>115</v>
      </c>
      <c r="B107" s="8" t="s">
        <v>289</v>
      </c>
      <c r="C107" s="8" t="s">
        <v>478</v>
      </c>
    </row>
    <row r="108" spans="1:3" ht="48">
      <c r="A108" s="8" t="s">
        <v>116</v>
      </c>
      <c r="B108" s="8" t="s">
        <v>283</v>
      </c>
      <c r="C108" s="8" t="s">
        <v>384</v>
      </c>
    </row>
    <row r="109" spans="1:3" ht="24">
      <c r="A109" s="8" t="s">
        <v>117</v>
      </c>
      <c r="B109" s="8" t="s">
        <v>266</v>
      </c>
      <c r="C109" s="8" t="s">
        <v>406</v>
      </c>
    </row>
    <row r="110" spans="1:3" ht="24">
      <c r="A110" s="8" t="s">
        <v>118</v>
      </c>
      <c r="B110" s="8" t="s">
        <v>234</v>
      </c>
      <c r="C110" s="8" t="s">
        <v>479</v>
      </c>
    </row>
    <row r="111" spans="1:3" ht="24">
      <c r="A111" s="8" t="s">
        <v>119</v>
      </c>
      <c r="B111" s="8" t="s">
        <v>266</v>
      </c>
      <c r="C111" s="8" t="s">
        <v>407</v>
      </c>
    </row>
    <row r="112" spans="1:3" ht="24">
      <c r="A112" s="8" t="s">
        <v>120</v>
      </c>
      <c r="B112" s="8" t="s">
        <v>258</v>
      </c>
      <c r="C112" s="8" t="s">
        <v>480</v>
      </c>
    </row>
    <row r="113" spans="1:3" ht="24">
      <c r="A113" s="8" t="s">
        <v>121</v>
      </c>
      <c r="B113" s="8" t="s">
        <v>315</v>
      </c>
      <c r="C113" s="8" t="s">
        <v>395</v>
      </c>
    </row>
    <row r="114" spans="1:3" ht="24">
      <c r="A114" s="8" t="s">
        <v>122</v>
      </c>
      <c r="B114" s="8" t="s">
        <v>358</v>
      </c>
      <c r="C114" s="8" t="s">
        <v>428</v>
      </c>
    </row>
    <row r="115" spans="1:3" ht="24">
      <c r="A115" s="8" t="s">
        <v>123</v>
      </c>
      <c r="B115" s="8" t="s">
        <v>304</v>
      </c>
      <c r="C115" s="8" t="s">
        <v>397</v>
      </c>
    </row>
    <row r="116" spans="1:3" ht="48">
      <c r="A116" s="8" t="s">
        <v>124</v>
      </c>
      <c r="B116" s="8" t="s">
        <v>296</v>
      </c>
      <c r="C116" s="8" t="s">
        <v>400</v>
      </c>
    </row>
    <row r="117" spans="1:3" ht="24">
      <c r="A117" s="8" t="s">
        <v>125</v>
      </c>
      <c r="B117" s="8" t="s">
        <v>300</v>
      </c>
      <c r="C117" s="8" t="s">
        <v>414</v>
      </c>
    </row>
    <row r="118" spans="1:3" ht="24">
      <c r="A118" s="8" t="s">
        <v>126</v>
      </c>
      <c r="B118" s="8" t="s">
        <v>266</v>
      </c>
      <c r="C118" s="8" t="s">
        <v>410</v>
      </c>
    </row>
    <row r="119" spans="1:3" ht="24">
      <c r="A119" s="8" t="s">
        <v>127</v>
      </c>
      <c r="B119" s="8" t="s">
        <v>243</v>
      </c>
      <c r="C119" s="8" t="s">
        <v>398</v>
      </c>
    </row>
    <row r="120" spans="1:3" ht="24">
      <c r="A120" s="8" t="s">
        <v>128</v>
      </c>
      <c r="B120" s="8" t="s">
        <v>332</v>
      </c>
      <c r="C120" s="8" t="s">
        <v>405</v>
      </c>
    </row>
    <row r="121" spans="1:3" ht="48">
      <c r="A121" s="8" t="s">
        <v>129</v>
      </c>
      <c r="B121" s="8" t="s">
        <v>245</v>
      </c>
      <c r="C121" s="8" t="s">
        <v>396</v>
      </c>
    </row>
    <row r="122" spans="1:3" ht="24">
      <c r="A122" s="8" t="s">
        <v>130</v>
      </c>
      <c r="B122" s="8" t="s">
        <v>358</v>
      </c>
      <c r="C122" s="8" t="s">
        <v>425</v>
      </c>
    </row>
    <row r="123" spans="1:3" ht="24">
      <c r="A123" s="8" t="s">
        <v>131</v>
      </c>
      <c r="B123" s="8" t="s">
        <v>372</v>
      </c>
      <c r="C123" s="8" t="s">
        <v>403</v>
      </c>
    </row>
    <row r="124" spans="1:3" ht="48">
      <c r="A124" s="8" t="s">
        <v>132</v>
      </c>
      <c r="B124" s="8" t="s">
        <v>435</v>
      </c>
      <c r="C124" s="8" t="s">
        <v>436</v>
      </c>
    </row>
    <row r="125" spans="1:3" ht="24">
      <c r="A125" s="8" t="s">
        <v>133</v>
      </c>
      <c r="B125" s="8" t="s">
        <v>320</v>
      </c>
      <c r="C125" s="8" t="s">
        <v>408</v>
      </c>
    </row>
    <row r="126" spans="1:3" ht="24">
      <c r="A126" s="8" t="s">
        <v>134</v>
      </c>
      <c r="B126" s="8" t="s">
        <v>255</v>
      </c>
      <c r="C126" s="8" t="s">
        <v>402</v>
      </c>
    </row>
    <row r="127" spans="1:3" ht="24">
      <c r="A127" s="8" t="s">
        <v>135</v>
      </c>
      <c r="B127" s="8" t="s">
        <v>234</v>
      </c>
      <c r="C127" s="8" t="s">
        <v>412</v>
      </c>
    </row>
    <row r="128" spans="1:3" ht="24">
      <c r="A128" s="8" t="s">
        <v>136</v>
      </c>
      <c r="B128" s="8" t="s">
        <v>358</v>
      </c>
      <c r="C128" s="8" t="s">
        <v>423</v>
      </c>
    </row>
    <row r="129" spans="1:3" ht="24">
      <c r="A129" s="8" t="s">
        <v>137</v>
      </c>
      <c r="B129" s="8" t="s">
        <v>238</v>
      </c>
      <c r="C129" s="8" t="s">
        <v>413</v>
      </c>
    </row>
    <row r="130" spans="1:3" ht="24">
      <c r="A130" s="8" t="s">
        <v>138</v>
      </c>
      <c r="B130" s="8" t="s">
        <v>255</v>
      </c>
      <c r="C130" s="8" t="s">
        <v>409</v>
      </c>
    </row>
    <row r="131" spans="1:3" ht="24">
      <c r="A131" s="8" t="s">
        <v>139</v>
      </c>
      <c r="B131" s="8" t="s">
        <v>418</v>
      </c>
      <c r="C131" s="8" t="s">
        <v>419</v>
      </c>
    </row>
    <row r="132" spans="1:3" ht="24">
      <c r="A132" s="8" t="s">
        <v>140</v>
      </c>
      <c r="B132" s="8" t="s">
        <v>234</v>
      </c>
      <c r="C132" s="8" t="s">
        <v>437</v>
      </c>
    </row>
    <row r="133" spans="1:3" ht="24">
      <c r="A133" s="8" t="s">
        <v>141</v>
      </c>
      <c r="B133" s="8" t="s">
        <v>234</v>
      </c>
      <c r="C133" s="8" t="s">
        <v>433</v>
      </c>
    </row>
    <row r="134" spans="1:3" ht="24">
      <c r="A134" s="8" t="s">
        <v>142</v>
      </c>
      <c r="B134" s="8" t="s">
        <v>307</v>
      </c>
      <c r="C134" s="8" t="s">
        <v>426</v>
      </c>
    </row>
    <row r="135" spans="1:3" ht="24">
      <c r="A135" s="8" t="s">
        <v>143</v>
      </c>
      <c r="B135" s="8" t="s">
        <v>358</v>
      </c>
      <c r="C135" s="8" t="s">
        <v>417</v>
      </c>
    </row>
    <row r="136" spans="1:3" ht="24">
      <c r="A136" s="8" t="s">
        <v>144</v>
      </c>
      <c r="B136" s="8" t="s">
        <v>243</v>
      </c>
      <c r="C136" s="8" t="s">
        <v>481</v>
      </c>
    </row>
    <row r="137" spans="1:3" ht="48">
      <c r="A137" s="8" t="s">
        <v>145</v>
      </c>
      <c r="B137" s="8" t="s">
        <v>283</v>
      </c>
      <c r="C137" s="8" t="s">
        <v>429</v>
      </c>
    </row>
    <row r="138" spans="1:3" ht="24">
      <c r="A138" s="8" t="s">
        <v>146</v>
      </c>
      <c r="B138" s="8" t="s">
        <v>281</v>
      </c>
      <c r="C138" s="8" t="s">
        <v>431</v>
      </c>
    </row>
    <row r="139" spans="1:3" ht="24">
      <c r="A139" s="8" t="s">
        <v>147</v>
      </c>
      <c r="B139" s="8" t="s">
        <v>420</v>
      </c>
      <c r="C139" s="8" t="s">
        <v>421</v>
      </c>
    </row>
    <row r="140" spans="1:3" ht="48">
      <c r="A140" s="8" t="s">
        <v>148</v>
      </c>
      <c r="B140" s="8" t="s">
        <v>345</v>
      </c>
      <c r="C140" s="8" t="s">
        <v>415</v>
      </c>
    </row>
    <row r="141" spans="1:3" ht="24">
      <c r="A141" s="8" t="s">
        <v>149</v>
      </c>
      <c r="B141" s="8" t="s">
        <v>294</v>
      </c>
      <c r="C141" s="8" t="s">
        <v>442</v>
      </c>
    </row>
    <row r="142" spans="1:3" ht="24">
      <c r="A142" s="8" t="s">
        <v>150</v>
      </c>
      <c r="B142" s="8" t="s">
        <v>260</v>
      </c>
      <c r="C142" s="8" t="s">
        <v>439</v>
      </c>
    </row>
    <row r="143" spans="1:3" ht="24">
      <c r="A143" s="8" t="s">
        <v>151</v>
      </c>
      <c r="B143" s="8" t="s">
        <v>255</v>
      </c>
      <c r="C143" s="8" t="s">
        <v>446</v>
      </c>
    </row>
    <row r="144" spans="1:3" ht="24">
      <c r="A144" s="8" t="s">
        <v>152</v>
      </c>
      <c r="B144" s="8" t="s">
        <v>255</v>
      </c>
      <c r="C144" s="8" t="s">
        <v>440</v>
      </c>
    </row>
    <row r="145" spans="1:3" ht="24">
      <c r="A145" s="8" t="s">
        <v>153</v>
      </c>
      <c r="B145" s="8" t="s">
        <v>300</v>
      </c>
      <c r="C145" s="8" t="s">
        <v>424</v>
      </c>
    </row>
    <row r="146" spans="1:3" ht="24">
      <c r="A146" s="8" t="s">
        <v>154</v>
      </c>
      <c r="B146" s="8" t="s">
        <v>372</v>
      </c>
      <c r="C146" s="8" t="s">
        <v>451</v>
      </c>
    </row>
    <row r="147" spans="1:3" ht="24">
      <c r="A147" s="8" t="s">
        <v>155</v>
      </c>
      <c r="B147" s="8" t="s">
        <v>266</v>
      </c>
      <c r="C147" s="8" t="s">
        <v>449</v>
      </c>
    </row>
    <row r="148" spans="1:3" ht="24">
      <c r="A148" s="8" t="s">
        <v>156</v>
      </c>
      <c r="B148" s="8" t="s">
        <v>294</v>
      </c>
      <c r="C148" s="8" t="s">
        <v>443</v>
      </c>
    </row>
    <row r="149" spans="1:3" ht="24">
      <c r="A149" s="8" t="s">
        <v>157</v>
      </c>
      <c r="B149" s="8" t="s">
        <v>266</v>
      </c>
      <c r="C149" s="8" t="s">
        <v>450</v>
      </c>
    </row>
    <row r="150" spans="1:3" ht="24">
      <c r="A150" s="8" t="s">
        <v>158</v>
      </c>
      <c r="B150" s="8" t="s">
        <v>234</v>
      </c>
      <c r="C150" s="8" t="s">
        <v>453</v>
      </c>
    </row>
    <row r="151" spans="1:3" ht="24">
      <c r="A151" s="8" t="s">
        <v>159</v>
      </c>
      <c r="B151" s="8" t="s">
        <v>234</v>
      </c>
      <c r="C151" s="8" t="s">
        <v>452</v>
      </c>
    </row>
    <row r="152" spans="1:3" ht="24">
      <c r="A152" s="8" t="s">
        <v>160</v>
      </c>
      <c r="B152" s="8" t="s">
        <v>255</v>
      </c>
      <c r="C152" s="8" t="s">
        <v>482</v>
      </c>
    </row>
    <row r="153" spans="1:3" ht="24">
      <c r="A153" s="8" t="s">
        <v>161</v>
      </c>
      <c r="B153" s="8"/>
      <c r="C153" s="8" t="s">
        <v>447</v>
      </c>
    </row>
    <row r="154" spans="1:3" ht="24">
      <c r="A154" s="8" t="s">
        <v>162</v>
      </c>
      <c r="B154" s="8" t="s">
        <v>281</v>
      </c>
      <c r="C154" s="8" t="s">
        <v>483</v>
      </c>
    </row>
    <row r="155" spans="1:3" ht="24">
      <c r="A155" s="8" t="s">
        <v>163</v>
      </c>
      <c r="B155" s="8" t="s">
        <v>294</v>
      </c>
      <c r="C155" s="8" t="s">
        <v>458</v>
      </c>
    </row>
    <row r="156" spans="1:3" ht="24">
      <c r="A156" s="8" t="s">
        <v>164</v>
      </c>
      <c r="B156" s="8" t="s">
        <v>318</v>
      </c>
      <c r="C156" s="8" t="s">
        <v>455</v>
      </c>
    </row>
    <row r="157" spans="1:3" ht="24">
      <c r="A157" s="8" t="s">
        <v>165</v>
      </c>
      <c r="B157" s="8"/>
      <c r="C157" s="8" t="s">
        <v>454</v>
      </c>
    </row>
    <row r="158" spans="1:3" ht="48">
      <c r="A158" s="8" t="s">
        <v>166</v>
      </c>
      <c r="B158" s="8" t="s">
        <v>444</v>
      </c>
      <c r="C158" s="8" t="s">
        <v>445</v>
      </c>
    </row>
    <row r="159" spans="1:3" ht="24">
      <c r="A159" s="8" t="s">
        <v>167</v>
      </c>
      <c r="B159" s="8" t="s">
        <v>253</v>
      </c>
      <c r="C159" s="8" t="s">
        <v>484</v>
      </c>
    </row>
    <row r="160" spans="1:3" ht="48">
      <c r="A160" s="8" t="s">
        <v>168</v>
      </c>
      <c r="B160" s="8"/>
      <c r="C160" s="8" t="s">
        <v>457</v>
      </c>
    </row>
    <row r="161" spans="1:3" ht="24">
      <c r="A161" s="8" t="s">
        <v>169</v>
      </c>
      <c r="B161" s="8" t="s">
        <v>315</v>
      </c>
      <c r="C161" s="8" t="s">
        <v>456</v>
      </c>
    </row>
    <row r="162" spans="1:3" ht="24">
      <c r="A162" s="8" t="s">
        <v>170</v>
      </c>
      <c r="B162" s="8" t="s">
        <v>307</v>
      </c>
      <c r="C162" s="8" t="s">
        <v>485</v>
      </c>
    </row>
    <row r="163" spans="1:3" ht="48">
      <c r="A163" s="8" t="s">
        <v>171</v>
      </c>
      <c r="B163" s="8" t="s">
        <v>266</v>
      </c>
      <c r="C163" s="8" t="s">
        <v>463</v>
      </c>
    </row>
    <row r="164" spans="1:3" ht="24">
      <c r="A164" s="8" t="s">
        <v>172</v>
      </c>
      <c r="B164" s="8" t="s">
        <v>255</v>
      </c>
      <c r="C164" s="8" t="s">
        <v>486</v>
      </c>
    </row>
    <row r="165" spans="1:3" ht="24">
      <c r="A165" s="8" t="s">
        <v>173</v>
      </c>
      <c r="B165" s="8" t="s">
        <v>255</v>
      </c>
      <c r="C165" s="8" t="s">
        <v>464</v>
      </c>
    </row>
    <row r="166" spans="1:3" ht="24">
      <c r="A166" s="8" t="s">
        <v>174</v>
      </c>
      <c r="B166" s="8" t="s">
        <v>238</v>
      </c>
      <c r="C166" s="8" t="s">
        <v>392</v>
      </c>
    </row>
    <row r="167" spans="1:3" ht="48">
      <c r="A167" s="8" t="s">
        <v>175</v>
      </c>
      <c r="B167" s="8" t="s">
        <v>283</v>
      </c>
      <c r="C167" s="8" t="s">
        <v>404</v>
      </c>
    </row>
    <row r="168" spans="1:3" ht="24">
      <c r="A168" s="8" t="s">
        <v>176</v>
      </c>
      <c r="B168" s="8" t="s">
        <v>304</v>
      </c>
      <c r="C168" s="8" t="s">
        <v>378</v>
      </c>
    </row>
    <row r="169" spans="1:3" ht="24">
      <c r="A169" s="8" t="s">
        <v>177</v>
      </c>
      <c r="B169" s="8" t="s">
        <v>255</v>
      </c>
      <c r="C169" s="8" t="s">
        <v>303</v>
      </c>
    </row>
    <row r="170" spans="1:3" ht="24">
      <c r="A170" s="8" t="s">
        <v>178</v>
      </c>
      <c r="B170" s="8" t="s">
        <v>238</v>
      </c>
      <c r="C170" s="8" t="s">
        <v>250</v>
      </c>
    </row>
    <row r="171" spans="1:3" ht="24">
      <c r="A171" s="8" t="s">
        <v>179</v>
      </c>
      <c r="B171" s="8" t="s">
        <v>238</v>
      </c>
      <c r="C171" s="8" t="s">
        <v>274</v>
      </c>
    </row>
    <row r="172" spans="1:3" ht="24">
      <c r="A172" s="8" t="s">
        <v>180</v>
      </c>
      <c r="B172" s="8" t="s">
        <v>238</v>
      </c>
      <c r="C172" s="8" t="s">
        <v>239</v>
      </c>
    </row>
    <row r="173" spans="1:3" ht="24">
      <c r="A173" s="8" t="s">
        <v>181</v>
      </c>
      <c r="B173" s="8" t="s">
        <v>238</v>
      </c>
      <c r="C173" s="8" t="s">
        <v>337</v>
      </c>
    </row>
    <row r="174" spans="1:3" ht="24">
      <c r="A174" s="8" t="s">
        <v>182</v>
      </c>
      <c r="B174" s="8" t="s">
        <v>260</v>
      </c>
      <c r="C174" s="8" t="s">
        <v>277</v>
      </c>
    </row>
    <row r="175" spans="1:3" ht="24">
      <c r="A175" s="8" t="s">
        <v>183</v>
      </c>
      <c r="B175" s="8" t="s">
        <v>234</v>
      </c>
      <c r="C175" s="8" t="s">
        <v>411</v>
      </c>
    </row>
    <row r="176" spans="1:3" ht="24">
      <c r="A176" s="8" t="s">
        <v>184</v>
      </c>
      <c r="B176" s="8" t="s">
        <v>487</v>
      </c>
      <c r="C176" s="8" t="s">
        <v>488</v>
      </c>
    </row>
    <row r="177" spans="1:3" ht="48">
      <c r="A177" s="8" t="s">
        <v>185</v>
      </c>
      <c r="B177" s="8"/>
      <c r="C177" s="8" t="s">
        <v>430</v>
      </c>
    </row>
    <row r="178" spans="1:3" ht="24">
      <c r="A178" s="8" t="s">
        <v>186</v>
      </c>
      <c r="B178" s="8" t="s">
        <v>358</v>
      </c>
      <c r="C178" s="8" t="s">
        <v>489</v>
      </c>
    </row>
    <row r="179" spans="1:3" ht="24">
      <c r="A179" s="8" t="s">
        <v>187</v>
      </c>
      <c r="B179" s="8" t="s">
        <v>241</v>
      </c>
      <c r="C179" s="8" t="s">
        <v>265</v>
      </c>
    </row>
    <row r="180" spans="1:3" ht="24">
      <c r="A180" s="8" t="s">
        <v>188</v>
      </c>
      <c r="B180" s="8" t="s">
        <v>260</v>
      </c>
      <c r="C180" s="8" t="s">
        <v>352</v>
      </c>
    </row>
    <row r="181" spans="1:3" ht="48">
      <c r="A181" s="8" t="s">
        <v>189</v>
      </c>
      <c r="B181" s="8" t="s">
        <v>241</v>
      </c>
      <c r="C181" s="8" t="s">
        <v>286</v>
      </c>
    </row>
    <row r="182" spans="1:3" ht="24">
      <c r="A182" s="8" t="s">
        <v>190</v>
      </c>
      <c r="B182" s="8" t="s">
        <v>258</v>
      </c>
      <c r="C182" s="8" t="s">
        <v>259</v>
      </c>
    </row>
    <row r="183" spans="1:3" ht="48">
      <c r="A183" s="8" t="s">
        <v>191</v>
      </c>
      <c r="B183" s="8" t="s">
        <v>258</v>
      </c>
      <c r="C183" s="8" t="s">
        <v>459</v>
      </c>
    </row>
    <row r="184" spans="1:3" ht="24">
      <c r="A184" s="8" t="s">
        <v>192</v>
      </c>
      <c r="B184" s="8" t="s">
        <v>289</v>
      </c>
      <c r="C184" s="8" t="s">
        <v>290</v>
      </c>
    </row>
    <row r="185" spans="1:3" ht="24">
      <c r="A185" s="8" t="s">
        <v>193</v>
      </c>
      <c r="B185" s="8" t="s">
        <v>266</v>
      </c>
      <c r="C185" s="8" t="s">
        <v>441</v>
      </c>
    </row>
    <row r="186" spans="1:3" ht="24">
      <c r="A186" s="8" t="s">
        <v>194</v>
      </c>
      <c r="B186" s="8" t="s">
        <v>251</v>
      </c>
      <c r="C186" s="8" t="s">
        <v>353</v>
      </c>
    </row>
    <row r="187" spans="1:3" ht="48">
      <c r="A187" s="8" t="s">
        <v>195</v>
      </c>
      <c r="B187" s="8" t="s">
        <v>283</v>
      </c>
      <c r="C187" s="8" t="s">
        <v>340</v>
      </c>
    </row>
    <row r="188" spans="1:3" ht="24">
      <c r="A188" s="8" t="s">
        <v>196</v>
      </c>
      <c r="B188" s="8"/>
      <c r="C188" s="8" t="s">
        <v>490</v>
      </c>
    </row>
    <row r="189" spans="1:3" ht="24">
      <c r="A189" s="8" t="s">
        <v>197</v>
      </c>
      <c r="B189" s="8" t="s">
        <v>300</v>
      </c>
      <c r="C189" s="8" t="s">
        <v>325</v>
      </c>
    </row>
    <row r="190" spans="1:3" ht="24">
      <c r="A190" s="8" t="s">
        <v>198</v>
      </c>
      <c r="B190" s="8" t="s">
        <v>238</v>
      </c>
      <c r="C190" s="8" t="s">
        <v>291</v>
      </c>
    </row>
    <row r="191" spans="1:3" ht="24">
      <c r="A191" s="8" t="s">
        <v>199</v>
      </c>
      <c r="B191" s="8" t="s">
        <v>255</v>
      </c>
      <c r="C191" s="8" t="s">
        <v>349</v>
      </c>
    </row>
    <row r="192" spans="1:3" ht="48">
      <c r="A192" s="8" t="s">
        <v>200</v>
      </c>
      <c r="B192" s="8" t="s">
        <v>283</v>
      </c>
      <c r="C192" s="8" t="s">
        <v>448</v>
      </c>
    </row>
    <row r="193" spans="1:3" ht="24">
      <c r="A193" s="8" t="s">
        <v>201</v>
      </c>
      <c r="B193" s="8" t="s">
        <v>318</v>
      </c>
      <c r="C193" s="8" t="s">
        <v>432</v>
      </c>
    </row>
    <row r="194" spans="1:3" ht="24">
      <c r="A194" s="8" t="s">
        <v>202</v>
      </c>
      <c r="B194" s="8" t="s">
        <v>258</v>
      </c>
      <c r="C194" s="8" t="s">
        <v>434</v>
      </c>
    </row>
    <row r="195" spans="1:3" ht="24">
      <c r="A195" s="8" t="s">
        <v>203</v>
      </c>
      <c r="B195" s="8" t="s">
        <v>266</v>
      </c>
      <c r="C195" s="8" t="s">
        <v>351</v>
      </c>
    </row>
    <row r="196" spans="1:3" ht="24">
      <c r="A196" s="8" t="s">
        <v>204</v>
      </c>
      <c r="B196" s="8" t="s">
        <v>300</v>
      </c>
      <c r="C196" s="8" t="s">
        <v>427</v>
      </c>
    </row>
    <row r="197" spans="1:3" ht="24">
      <c r="A197" s="8" t="s">
        <v>205</v>
      </c>
      <c r="B197" s="8" t="s">
        <v>255</v>
      </c>
      <c r="C197" s="8" t="s">
        <v>256</v>
      </c>
    </row>
    <row r="198" spans="1:3" ht="24">
      <c r="A198" s="8" t="s">
        <v>206</v>
      </c>
      <c r="B198" s="8" t="s">
        <v>255</v>
      </c>
      <c r="C198" s="8" t="s">
        <v>491</v>
      </c>
    </row>
    <row r="199" spans="1:3" ht="24">
      <c r="A199" s="8" t="s">
        <v>207</v>
      </c>
      <c r="B199" s="8" t="s">
        <v>320</v>
      </c>
      <c r="C199" s="8" t="s">
        <v>401</v>
      </c>
    </row>
    <row r="200" spans="1:3" ht="24">
      <c r="A200" s="8" t="s">
        <v>208</v>
      </c>
      <c r="B200" s="8" t="s">
        <v>281</v>
      </c>
      <c r="C200" s="8" t="s">
        <v>282</v>
      </c>
    </row>
    <row r="201" spans="1:3" ht="24">
      <c r="A201" s="8" t="s">
        <v>209</v>
      </c>
      <c r="B201" s="8" t="s">
        <v>315</v>
      </c>
      <c r="C201" s="8" t="s">
        <v>422</v>
      </c>
    </row>
    <row r="202" spans="1:3" ht="24">
      <c r="A202" s="8" t="s">
        <v>210</v>
      </c>
      <c r="B202" s="8" t="s">
        <v>281</v>
      </c>
      <c r="C202" s="8" t="s">
        <v>327</v>
      </c>
    </row>
    <row r="203" spans="1:3" ht="24">
      <c r="A203" s="8" t="s">
        <v>211</v>
      </c>
      <c r="B203" s="8" t="s">
        <v>266</v>
      </c>
      <c r="C203" s="8" t="s">
        <v>381</v>
      </c>
    </row>
    <row r="204" spans="1:3" ht="48">
      <c r="A204" s="8" t="s">
        <v>212</v>
      </c>
      <c r="B204" s="8" t="s">
        <v>240</v>
      </c>
      <c r="C204" s="8" t="s">
        <v>212</v>
      </c>
    </row>
    <row r="205" spans="1:3" ht="24">
      <c r="A205" s="8" t="s">
        <v>213</v>
      </c>
      <c r="B205" s="8" t="s">
        <v>313</v>
      </c>
      <c r="C205" s="8" t="s">
        <v>314</v>
      </c>
    </row>
    <row r="206" spans="1:3" ht="24">
      <c r="A206" s="8" t="s">
        <v>214</v>
      </c>
      <c r="B206" s="8" t="s">
        <v>236</v>
      </c>
      <c r="C206" s="8" t="s">
        <v>492</v>
      </c>
    </row>
    <row r="207" spans="1:3" ht="24">
      <c r="A207" s="8" t="s">
        <v>215</v>
      </c>
      <c r="B207" s="8" t="s">
        <v>318</v>
      </c>
      <c r="C207" s="8" t="s">
        <v>319</v>
      </c>
    </row>
    <row r="208" spans="1:3" ht="24">
      <c r="A208" s="8" t="s">
        <v>216</v>
      </c>
      <c r="B208" s="8" t="s">
        <v>238</v>
      </c>
      <c r="C208" s="8" t="s">
        <v>247</v>
      </c>
    </row>
    <row r="209" spans="1:3" ht="24">
      <c r="A209" s="8" t="s">
        <v>217</v>
      </c>
      <c r="B209" s="8" t="s">
        <v>460</v>
      </c>
      <c r="C209" s="8" t="s">
        <v>461</v>
      </c>
    </row>
    <row r="210" spans="1:3" ht="24">
      <c r="A210" s="8" t="s">
        <v>218</v>
      </c>
      <c r="B210" s="8" t="s">
        <v>236</v>
      </c>
      <c r="C210" s="8" t="s">
        <v>275</v>
      </c>
    </row>
    <row r="211" spans="1:3" ht="24">
      <c r="A211" s="8" t="s">
        <v>219</v>
      </c>
      <c r="B211" s="8" t="s">
        <v>255</v>
      </c>
      <c r="C211" s="8" t="s">
        <v>493</v>
      </c>
    </row>
    <row r="212" spans="1:3" ht="24">
      <c r="A212" s="8" t="s">
        <v>220</v>
      </c>
      <c r="B212" s="8" t="s">
        <v>374</v>
      </c>
      <c r="C212" s="8" t="s">
        <v>375</v>
      </c>
    </row>
    <row r="213" spans="1:3" ht="24">
      <c r="A213" s="8" t="s">
        <v>221</v>
      </c>
      <c r="B213" s="8"/>
      <c r="C213" s="8" t="s">
        <v>462</v>
      </c>
    </row>
    <row r="214" spans="1:3" ht="48">
      <c r="A214" s="8" t="s">
        <v>222</v>
      </c>
      <c r="B214" s="8" t="s">
        <v>372</v>
      </c>
      <c r="C214" s="8" t="s">
        <v>416</v>
      </c>
    </row>
    <row r="215" spans="1:3" ht="24">
      <c r="A215" s="8" t="s">
        <v>223</v>
      </c>
      <c r="B215" s="8" t="s">
        <v>266</v>
      </c>
      <c r="C215" s="8" t="s">
        <v>361</v>
      </c>
    </row>
    <row r="216" spans="1:3" ht="24">
      <c r="A216" s="8" t="s">
        <v>224</v>
      </c>
      <c r="B216" s="8" t="s">
        <v>300</v>
      </c>
      <c r="C216" s="8" t="s">
        <v>494</v>
      </c>
    </row>
    <row r="217" spans="1:3" ht="24">
      <c r="A217" s="8" t="s">
        <v>225</v>
      </c>
      <c r="B217" s="8" t="s">
        <v>354</v>
      </c>
      <c r="C217" s="8" t="s">
        <v>355</v>
      </c>
    </row>
    <row r="218" spans="1:3" ht="24">
      <c r="A218" s="8" t="s">
        <v>226</v>
      </c>
      <c r="B218" s="8" t="s">
        <v>307</v>
      </c>
      <c r="C218" s="8" t="s">
        <v>438</v>
      </c>
    </row>
    <row r="219" spans="1:3" ht="24">
      <c r="A219" s="8" t="s">
        <v>227</v>
      </c>
      <c r="B219" s="8" t="s">
        <v>241</v>
      </c>
      <c r="C219" s="8" t="s">
        <v>242</v>
      </c>
    </row>
    <row r="220" spans="1:3" ht="13.2">
      <c r="A220" s="18"/>
      <c r="B220" s="18"/>
      <c r="C220" s="18"/>
    </row>
  </sheetData>
  <mergeCells count="1">
    <mergeCell ref="A1:C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P160"/>
  <sheetViews>
    <sheetView topLeftCell="A31" zoomScale="91" workbookViewId="0">
      <selection activeCell="F7" sqref="F7"/>
    </sheetView>
  </sheetViews>
  <sheetFormatPr defaultColWidth="12.6640625" defaultRowHeight="15.75" customHeight="1"/>
  <sheetData>
    <row r="1" spans="1:16">
      <c r="A1" s="12" t="str">
        <f ca="1">IFERROR(__xludf.DUMMYFUNCTION("QUERY('Filter data'!A:P, ""SELECT * WHERE O = 'Good Stock'"")"),"Stock")</f>
        <v>Stock</v>
      </c>
      <c r="B1" s="12" t="str">
        <f ca="1">IFERROR(__xludf.DUMMYFUNCTION("""COMPUTED_VALUE"""),"Market Cap (In Rs Cr.)")</f>
        <v>Market Cap (In Rs Cr.)</v>
      </c>
      <c r="C1" s="12" t="str">
        <f ca="1">IFERROR(__xludf.DUMMYFUNCTION("""COMPUTED_VALUE"""),"Current price")</f>
        <v>Current price</v>
      </c>
      <c r="D1" s="12" t="str">
        <f ca="1">IFERROR(__xludf.DUMMYFUNCTION("""COMPUTED_VALUE"""),"PE Ratio")</f>
        <v>PE Ratio</v>
      </c>
      <c r="E1" s="12" t="str">
        <f ca="1">IFERROR(__xludf.DUMMYFUNCTION("""COMPUTED_VALUE"""),"52 Week High")</f>
        <v>52 Week High</v>
      </c>
      <c r="F1" s="12" t="str">
        <f ca="1">IFERROR(__xludf.DUMMYFUNCTION("""COMPUTED_VALUE"""),"% Below 52 week high")</f>
        <v>% Below 52 week high</v>
      </c>
      <c r="G1" s="12" t="str">
        <f ca="1">IFERROR(__xludf.DUMMYFUNCTION("""COMPUTED_VALUE"""),"52 Week Low")</f>
        <v>52 Week Low</v>
      </c>
      <c r="H1" s="12" t="str">
        <f ca="1">IFERROR(__xludf.DUMMYFUNCTION("""COMPUTED_VALUE"""),"% Above 52 Week low")</f>
        <v>% Above 52 Week low</v>
      </c>
      <c r="I1" s="12" t="str">
        <f ca="1">IFERROR(__xludf.DUMMYFUNCTION("""COMPUTED_VALUE"""),"Yesterday Closing Price")</f>
        <v>Yesterday Closing Price</v>
      </c>
      <c r="J1" s="12" t="str">
        <f ca="1">IFERROR(__xludf.DUMMYFUNCTION("""COMPUTED_VALUE"""),"% Change")</f>
        <v>% Change</v>
      </c>
      <c r="K1" s="12" t="str">
        <f ca="1">IFERROR(__xludf.DUMMYFUNCTION("""COMPUTED_VALUE"""),"Industery")</f>
        <v>Industery</v>
      </c>
      <c r="L1" s="12" t="str">
        <f ca="1">IFERROR(__xludf.DUMMYFUNCTION("""COMPUTED_VALUE"""),"NSE/BSE")</f>
        <v>NSE/BSE</v>
      </c>
      <c r="M1" s="12" t="str">
        <f ca="1">IFERROR(__xludf.DUMMYFUNCTION("""COMPUTED_VALUE"""),"Bear Mode1")</f>
        <v>Bear Mode1</v>
      </c>
      <c r="N1" s="12" t="str">
        <f ca="1">IFERROR(__xludf.DUMMYFUNCTION("""COMPUTED_VALUE"""),"Bear Mode2")</f>
        <v>Bear Mode2</v>
      </c>
      <c r="O1" s="12" t="str">
        <f ca="1">IFERROR(__xludf.DUMMYFUNCTION("""COMPUTED_VALUE"""),"Stock Staus")</f>
        <v>Stock Staus</v>
      </c>
      <c r="P1" s="12" t="str">
        <f ca="1">IFERROR(__xludf.DUMMYFUNCTION("""COMPUTED_VALUE"""),"Cap Size")</f>
        <v>Cap Size</v>
      </c>
    </row>
    <row r="2" spans="1:16">
      <c r="A2" s="12" t="str">
        <f ca="1">IFERROR(__xludf.DUMMYFUNCTION("""COMPUTED_VALUE"""),"Reliance")</f>
        <v>Reliance</v>
      </c>
      <c r="B2" s="13">
        <f ca="1">IFERROR(__xludf.DUMMYFUNCTION("""COMPUTED_VALUE"""),1620922.4391001)</f>
        <v>1620922.4391001</v>
      </c>
      <c r="C2" s="12">
        <f ca="1">IFERROR(__xludf.DUMMYFUNCTION("""COMPUTED_VALUE"""),2467.9)</f>
        <v>2467.9</v>
      </c>
      <c r="D2" s="12">
        <f ca="1">IFERROR(__xludf.DUMMYFUNCTION("""COMPUTED_VALUE"""),25.09)</f>
        <v>25.09</v>
      </c>
      <c r="E2" s="12">
        <f ca="1">IFERROR(__xludf.DUMMYFUNCTION("""COMPUTED_VALUE"""),2856.15)</f>
        <v>2856.15</v>
      </c>
      <c r="F2" s="14">
        <f ca="1">IFERROR(__xludf.DUMMYFUNCTION("""COMPUTED_VALUE"""),0.135934737321219)</f>
        <v>0.135934737321219</v>
      </c>
      <c r="G2" s="12">
        <f ca="1">IFERROR(__xludf.DUMMYFUNCTION("""COMPUTED_VALUE"""),2180)</f>
        <v>2180</v>
      </c>
      <c r="H2" s="14">
        <f ca="1">IFERROR(__xludf.DUMMYFUNCTION("""COMPUTED_VALUE"""),0.132064220183486)</f>
        <v>0.13206422018348599</v>
      </c>
      <c r="I2" s="12">
        <f ca="1">IFERROR(__xludf.DUMMYFUNCTION("""COMPUTED_VALUE"""),2471.6)</f>
        <v>2471.6</v>
      </c>
      <c r="J2" s="14">
        <f ca="1">IFERROR(__xludf.DUMMYFUNCTION("""COMPUTED_VALUE"""),-0.00149700598802387)</f>
        <v>-1.49700598802387E-3</v>
      </c>
      <c r="K2" s="12" t="str">
        <f ca="1">IFERROR(__xludf.DUMMYFUNCTION("""COMPUTED_VALUE"""),"Telecom and oil")</f>
        <v>Telecom and oil</v>
      </c>
      <c r="L2" s="12" t="str">
        <f ca="1">IFERROR(__xludf.DUMMYFUNCTION("""COMPUTED_VALUE"""),"RELIANCE")</f>
        <v>RELIANCE</v>
      </c>
      <c r="M2" s="12" t="str">
        <f ca="1">IFERROR(__xludf.DUMMYFUNCTION("""COMPUTED_VALUE"""),"No")</f>
        <v>No</v>
      </c>
      <c r="N2" s="12" t="str">
        <f ca="1">IFERROR(__xludf.DUMMYFUNCTION("""COMPUTED_VALUE"""),"No")</f>
        <v>No</v>
      </c>
      <c r="O2" s="12" t="str">
        <f ca="1">IFERROR(__xludf.DUMMYFUNCTION("""COMPUTED_VALUE"""),"Good Stock")</f>
        <v>Good Stock</v>
      </c>
      <c r="P2" s="12" t="str">
        <f ca="1">IFERROR(__xludf.DUMMYFUNCTION("""COMPUTED_VALUE"""),"Large Cap")</f>
        <v>Large Cap</v>
      </c>
    </row>
    <row r="3" spans="1:16">
      <c r="A3" s="12" t="str">
        <f ca="1">IFERROR(__xludf.DUMMYFUNCTION("""COMPUTED_VALUE"""),"TCS")</f>
        <v>TCS</v>
      </c>
      <c r="B3" s="13">
        <f ca="1">IFERROR(__xludf.DUMMYFUNCTION("""COMPUTED_VALUE"""),1234544.5174748)</f>
        <v>1234544.5174748001</v>
      </c>
      <c r="C3" s="12">
        <f ca="1">IFERROR(__xludf.DUMMYFUNCTION("""COMPUTED_VALUE"""),3374.2)</f>
        <v>3374.2</v>
      </c>
      <c r="D3" s="12">
        <f ca="1">IFERROR(__xludf.DUMMYFUNCTION("""COMPUTED_VALUE"""),30.43)</f>
        <v>30.43</v>
      </c>
      <c r="E3" s="12">
        <f ca="1">IFERROR(__xludf.DUMMYFUNCTION("""COMPUTED_VALUE"""),4045.5)</f>
        <v>4045.5</v>
      </c>
      <c r="F3" s="14">
        <f ca="1">IFERROR(__xludf.DUMMYFUNCTION("""COMPUTED_VALUE"""),0.165937461376838)</f>
        <v>0.16593746137683801</v>
      </c>
      <c r="G3" s="12">
        <f ca="1">IFERROR(__xludf.DUMMYFUNCTION("""COMPUTED_VALUE"""),2926)</f>
        <v>2926</v>
      </c>
      <c r="H3" s="14">
        <f ca="1">IFERROR(__xludf.DUMMYFUNCTION("""COMPUTED_VALUE"""),0.153178400546821)</f>
        <v>0.153178400546821</v>
      </c>
      <c r="I3" s="12">
        <f ca="1">IFERROR(__xludf.DUMMYFUNCTION("""COMPUTED_VALUE"""),3334.6)</f>
        <v>3334.6</v>
      </c>
      <c r="J3" s="14">
        <f ca="1">IFERROR(__xludf.DUMMYFUNCTION("""COMPUTED_VALUE"""),0.0118754873148203)</f>
        <v>1.1875487314820301E-2</v>
      </c>
      <c r="K3" s="12" t="str">
        <f ca="1">IFERROR(__xludf.DUMMYFUNCTION("""COMPUTED_VALUE"""),"IT")</f>
        <v>IT</v>
      </c>
      <c r="L3" s="12" t="str">
        <f ca="1">IFERROR(__xludf.DUMMYFUNCTION("""COMPUTED_VALUE"""),"BOM:532540")</f>
        <v>BOM:532540</v>
      </c>
      <c r="M3" s="12" t="str">
        <f ca="1">IFERROR(__xludf.DUMMYFUNCTION("""COMPUTED_VALUE"""),"No")</f>
        <v>No</v>
      </c>
      <c r="N3" s="12" t="str">
        <f ca="1">IFERROR(__xludf.DUMMYFUNCTION("""COMPUTED_VALUE"""),"No")</f>
        <v>No</v>
      </c>
      <c r="O3" s="12" t="str">
        <f ca="1">IFERROR(__xludf.DUMMYFUNCTION("""COMPUTED_VALUE"""),"Good Stock")</f>
        <v>Good Stock</v>
      </c>
      <c r="P3" s="12" t="str">
        <f ca="1">IFERROR(__xludf.DUMMYFUNCTION("""COMPUTED_VALUE"""),"Large Cap")</f>
        <v>Large Cap</v>
      </c>
    </row>
    <row r="4" spans="1:16">
      <c r="A4" s="12" t="str">
        <f ca="1">IFERROR(__xludf.DUMMYFUNCTION("""COMPUTED_VALUE"""),"HUL")</f>
        <v>HUL</v>
      </c>
      <c r="B4" s="13">
        <f ca="1">IFERROR(__xludf.DUMMYFUNCTION("""COMPUTED_VALUE"""),616301.326875)</f>
        <v>616301.32687500003</v>
      </c>
      <c r="C4" s="12">
        <f ca="1">IFERROR(__xludf.DUMMYFUNCTION("""COMPUTED_VALUE"""),2620.6)</f>
        <v>2620.6</v>
      </c>
      <c r="D4" s="12">
        <f ca="1">IFERROR(__xludf.DUMMYFUNCTION("""COMPUTED_VALUE"""),63.81)</f>
        <v>63.81</v>
      </c>
      <c r="E4" s="12">
        <f ca="1">IFERROR(__xludf.DUMMYFUNCTION("""COMPUTED_VALUE"""),2741.6)</f>
        <v>2741.6</v>
      </c>
      <c r="F4" s="14">
        <f ca="1">IFERROR(__xludf.DUMMYFUNCTION("""COMPUTED_VALUE"""),0.0441348117887365)</f>
        <v>4.4134811788736503E-2</v>
      </c>
      <c r="G4" s="12">
        <f ca="1">IFERROR(__xludf.DUMMYFUNCTION("""COMPUTED_VALUE"""),1901.55)</f>
        <v>1901.55</v>
      </c>
      <c r="H4" s="14">
        <f ca="1">IFERROR(__xludf.DUMMYFUNCTION("""COMPUTED_VALUE"""),0.378138886697693)</f>
        <v>0.37813888669769302</v>
      </c>
      <c r="I4" s="12">
        <f ca="1">IFERROR(__xludf.DUMMYFUNCTION("""COMPUTED_VALUE"""),2590.05)</f>
        <v>2590.0500000000002</v>
      </c>
      <c r="J4" s="14">
        <f ca="1">IFERROR(__xludf.DUMMYFUNCTION("""COMPUTED_VALUE"""),0.0117951390899788)</f>
        <v>1.17951390899788E-2</v>
      </c>
      <c r="K4" s="12" t="str">
        <f ca="1">IFERROR(__xludf.DUMMYFUNCTION("""COMPUTED_VALUE"""),"FMCG")</f>
        <v>FMCG</v>
      </c>
      <c r="L4" s="12" t="str">
        <f ca="1">IFERROR(__xludf.DUMMYFUNCTION("""COMPUTED_VALUE"""),"HINDUNILVR")</f>
        <v>HINDUNILVR</v>
      </c>
      <c r="M4" s="12" t="str">
        <f ca="1">IFERROR(__xludf.DUMMYFUNCTION("""COMPUTED_VALUE"""),"No")</f>
        <v>No</v>
      </c>
      <c r="N4" s="12" t="str">
        <f ca="1">IFERROR(__xludf.DUMMYFUNCTION("""COMPUTED_VALUE"""),"No")</f>
        <v>No</v>
      </c>
      <c r="O4" s="12" t="str">
        <f ca="1">IFERROR(__xludf.DUMMYFUNCTION("""COMPUTED_VALUE"""),"Good Stock")</f>
        <v>Good Stock</v>
      </c>
      <c r="P4" s="12" t="str">
        <f ca="1">IFERROR(__xludf.DUMMYFUNCTION("""COMPUTED_VALUE"""),"Large Cap")</f>
        <v>Large Cap</v>
      </c>
    </row>
    <row r="5" spans="1:16">
      <c r="A5" s="12" t="str">
        <f ca="1">IFERROR(__xludf.DUMMYFUNCTION("""COMPUTED_VALUE"""),"SBI Bank")</f>
        <v>SBI Bank</v>
      </c>
      <c r="B5" s="13">
        <f ca="1">IFERROR(__xludf.DUMMYFUNCTION("""COMPUTED_VALUE"""),535431.3246675)</f>
        <v>535431.32466749998</v>
      </c>
      <c r="C5" s="12">
        <f ca="1">IFERROR(__xludf.DUMMYFUNCTION("""COMPUTED_VALUE"""),600.05)</f>
        <v>600.04999999999995</v>
      </c>
      <c r="D5" s="12">
        <f ca="1">IFERROR(__xludf.DUMMYFUNCTION("""COMPUTED_VALUE"""),13)</f>
        <v>13</v>
      </c>
      <c r="E5" s="12">
        <f ca="1">IFERROR(__xludf.DUMMYFUNCTION("""COMPUTED_VALUE"""),629.65)</f>
        <v>629.65</v>
      </c>
      <c r="F5" s="14">
        <f ca="1">IFERROR(__xludf.DUMMYFUNCTION("""COMPUTED_VALUE"""),0.0470102437862304)</f>
        <v>4.70102437862304E-2</v>
      </c>
      <c r="G5" s="12">
        <f ca="1">IFERROR(__xludf.DUMMYFUNCTION("""COMPUTED_VALUE"""),425)</f>
        <v>425</v>
      </c>
      <c r="H5" s="14">
        <f ca="1">IFERROR(__xludf.DUMMYFUNCTION("""COMPUTED_VALUE"""),0.411882352941176)</f>
        <v>0.41188235294117598</v>
      </c>
      <c r="I5" s="12">
        <f ca="1">IFERROR(__xludf.DUMMYFUNCTION("""COMPUTED_VALUE"""),595)</f>
        <v>595</v>
      </c>
      <c r="J5" s="14">
        <f ca="1">IFERROR(__xludf.DUMMYFUNCTION("""COMPUTED_VALUE"""),0.00848739495798311)</f>
        <v>8.48739495798311E-3</v>
      </c>
      <c r="K5" s="12" t="str">
        <f ca="1">IFERROR(__xludf.DUMMYFUNCTION("""COMPUTED_VALUE"""),"Bank")</f>
        <v>Bank</v>
      </c>
      <c r="L5" s="12" t="str">
        <f ca="1">IFERROR(__xludf.DUMMYFUNCTION("""COMPUTED_VALUE"""),"BOM:500112")</f>
        <v>BOM:500112</v>
      </c>
      <c r="M5" s="12" t="str">
        <f ca="1">IFERROR(__xludf.DUMMYFUNCTION("""COMPUTED_VALUE"""),"No")</f>
        <v>No</v>
      </c>
      <c r="N5" s="12" t="str">
        <f ca="1">IFERROR(__xludf.DUMMYFUNCTION("""COMPUTED_VALUE"""),"No")</f>
        <v>No</v>
      </c>
      <c r="O5" s="12" t="str">
        <f ca="1">IFERROR(__xludf.DUMMYFUNCTION("""COMPUTED_VALUE"""),"Good Stock")</f>
        <v>Good Stock</v>
      </c>
      <c r="P5" s="12" t="str">
        <f ca="1">IFERROR(__xludf.DUMMYFUNCTION("""COMPUTED_VALUE"""),"Large Cap")</f>
        <v>Large Cap</v>
      </c>
    </row>
    <row r="6" spans="1:16">
      <c r="A6" s="12" t="str">
        <f ca="1">IFERROR(__xludf.DUMMYFUNCTION("""COMPUTED_VALUE"""),"HDFC")</f>
        <v>HDFC</v>
      </c>
      <c r="B6" s="13">
        <f ca="1">IFERROR(__xludf.DUMMYFUNCTION("""COMPUTED_VALUE"""),478914.7)</f>
        <v>478914.7</v>
      </c>
      <c r="C6" s="12">
        <f ca="1">IFERROR(__xludf.DUMMYFUNCTION("""COMPUTED_VALUE"""),2619.25)</f>
        <v>2619.25</v>
      </c>
      <c r="D6" s="12">
        <f ca="1">IFERROR(__xludf.DUMMYFUNCTION("""COMPUTED_VALUE"""),19.81)</f>
        <v>19.809999999999999</v>
      </c>
      <c r="E6" s="12">
        <f ca="1">IFERROR(__xludf.DUMMYFUNCTION("""COMPUTED_VALUE"""),2933.8)</f>
        <v>2933.8</v>
      </c>
      <c r="F6" s="14">
        <f ca="1">IFERROR(__xludf.DUMMYFUNCTION("""COMPUTED_VALUE"""),0.107215897470856)</f>
        <v>0.107215897470856</v>
      </c>
      <c r="G6" s="12">
        <f ca="1">IFERROR(__xludf.DUMMYFUNCTION("""COMPUTED_VALUE"""),2026)</f>
        <v>2026</v>
      </c>
      <c r="H6" s="14">
        <f ca="1">IFERROR(__xludf.DUMMYFUNCTION("""COMPUTED_VALUE"""),0.29281836130306)</f>
        <v>0.29281836130305999</v>
      </c>
      <c r="I6" s="12">
        <f ca="1">IFERROR(__xludf.DUMMYFUNCTION("""COMPUTED_VALUE"""),2612.8)</f>
        <v>2612.8000000000002</v>
      </c>
      <c r="J6" s="14">
        <f ca="1">IFERROR(__xludf.DUMMYFUNCTION("""COMPUTED_VALUE"""),0.00246861604409056)</f>
        <v>2.4686160440905601E-3</v>
      </c>
      <c r="K6" s="12" t="str">
        <f ca="1">IFERROR(__xludf.DUMMYFUNCTION("""COMPUTED_VALUE"""),"Financial Servcies")</f>
        <v>Financial Servcies</v>
      </c>
      <c r="L6" s="12" t="str">
        <f ca="1">IFERROR(__xludf.DUMMYFUNCTION("""COMPUTED_VALUE"""),"HDFC")</f>
        <v>HDFC</v>
      </c>
      <c r="M6" s="12" t="str">
        <f ca="1">IFERROR(__xludf.DUMMYFUNCTION("""COMPUTED_VALUE"""),"No")</f>
        <v>No</v>
      </c>
      <c r="N6" s="12" t="str">
        <f ca="1">IFERROR(__xludf.DUMMYFUNCTION("""COMPUTED_VALUE"""),"No")</f>
        <v>No</v>
      </c>
      <c r="O6" s="12" t="str">
        <f ca="1">IFERROR(__xludf.DUMMYFUNCTION("""COMPUTED_VALUE"""),"Good Stock")</f>
        <v>Good Stock</v>
      </c>
      <c r="P6" s="12" t="str">
        <f ca="1">IFERROR(__xludf.DUMMYFUNCTION("""COMPUTED_VALUE"""),"Large Cap")</f>
        <v>Large Cap</v>
      </c>
    </row>
    <row r="7" spans="1:16">
      <c r="A7" s="12" t="str">
        <f ca="1">IFERROR(__xludf.DUMMYFUNCTION("""COMPUTED_VALUE"""),"LIC")</f>
        <v>LIC</v>
      </c>
      <c r="B7" s="13">
        <f ca="1">IFERROR(__xludf.DUMMYFUNCTION("""COMPUTED_VALUE"""),450686.7570293)</f>
        <v>450686.75702929997</v>
      </c>
      <c r="C7" s="12">
        <f ca="1">IFERROR(__xludf.DUMMYFUNCTION("""COMPUTED_VALUE"""),712.7)</f>
        <v>712.7</v>
      </c>
      <c r="D7" s="12">
        <f ca="1">IFERROR(__xludf.DUMMYFUNCTION("""COMPUTED_VALUE"""),23.63)</f>
        <v>23.63</v>
      </c>
      <c r="E7" s="12">
        <f ca="1">IFERROR(__xludf.DUMMYFUNCTION("""COMPUTED_VALUE"""),920)</f>
        <v>920</v>
      </c>
      <c r="F7" s="14">
        <f ca="1">IFERROR(__xludf.DUMMYFUNCTION("""COMPUTED_VALUE"""),0.225326086956521)</f>
        <v>0.22532608695652101</v>
      </c>
      <c r="G7" s="12">
        <f ca="1">IFERROR(__xludf.DUMMYFUNCTION("""COMPUTED_VALUE"""),588)</f>
        <v>588</v>
      </c>
      <c r="H7" s="14">
        <f ca="1">IFERROR(__xludf.DUMMYFUNCTION("""COMPUTED_VALUE"""),0.212074829931972)</f>
        <v>0.21207482993197199</v>
      </c>
      <c r="I7" s="12">
        <f ca="1">IFERROR(__xludf.DUMMYFUNCTION("""COMPUTED_VALUE"""),705.55)</f>
        <v>705.55</v>
      </c>
      <c r="J7" s="14">
        <f ca="1">IFERROR(__xludf.DUMMYFUNCTION("""COMPUTED_VALUE"""),0.0101339380625045)</f>
        <v>1.01339380625045E-2</v>
      </c>
      <c r="K7" s="12" t="str">
        <f ca="1">IFERROR(__xludf.DUMMYFUNCTION("""COMPUTED_VALUE"""),"Insurance")</f>
        <v>Insurance</v>
      </c>
      <c r="L7" s="12" t="str">
        <f ca="1">IFERROR(__xludf.DUMMYFUNCTION("""COMPUTED_VALUE"""),"BOM:543526")</f>
        <v>BOM:543526</v>
      </c>
      <c r="M7" s="12" t="str">
        <f ca="1">IFERROR(__xludf.DUMMYFUNCTION("""COMPUTED_VALUE"""),"No")</f>
        <v>No</v>
      </c>
      <c r="N7" s="12" t="str">
        <f ca="1">IFERROR(__xludf.DUMMYFUNCTION("""COMPUTED_VALUE"""),"No")</f>
        <v>No</v>
      </c>
      <c r="O7" s="12" t="str">
        <f ca="1">IFERROR(__xludf.DUMMYFUNCTION("""COMPUTED_VALUE"""),"Good Stock")</f>
        <v>Good Stock</v>
      </c>
      <c r="P7" s="12" t="str">
        <f ca="1">IFERROR(__xludf.DUMMYFUNCTION("""COMPUTED_VALUE"""),"Large Cap")</f>
        <v>Large Cap</v>
      </c>
    </row>
    <row r="8" spans="1:16">
      <c r="A8" s="12" t="str">
        <f ca="1">IFERROR(__xludf.DUMMYFUNCTION("""COMPUTED_VALUE"""),"Bajaj Finance")</f>
        <v>Bajaj Finance</v>
      </c>
      <c r="B8" s="13">
        <f ca="1">IFERROR(__xludf.DUMMYFUNCTION("""COMPUTED_VALUE"""),361172.6351402)</f>
        <v>361172.63514019997</v>
      </c>
      <c r="C8" s="12">
        <f ca="1">IFERROR(__xludf.DUMMYFUNCTION("""COMPUTED_VALUE"""),5977)</f>
        <v>5977</v>
      </c>
      <c r="D8" s="12">
        <f ca="1">IFERROR(__xludf.DUMMYFUNCTION("""COMPUTED_VALUE"""),36.52)</f>
        <v>36.520000000000003</v>
      </c>
      <c r="E8" s="12">
        <f ca="1">IFERROR(__xludf.DUMMYFUNCTION("""COMPUTED_VALUE"""),8045)</f>
        <v>8045</v>
      </c>
      <c r="F8" s="14">
        <f ca="1">IFERROR(__xludf.DUMMYFUNCTION("""COMPUTED_VALUE"""),0.25705407085146)</f>
        <v>0.25705407085145998</v>
      </c>
      <c r="G8" s="12">
        <f ca="1">IFERROR(__xludf.DUMMYFUNCTION("""COMPUTED_VALUE"""),5220)</f>
        <v>5220</v>
      </c>
      <c r="H8" s="14">
        <f ca="1">IFERROR(__xludf.DUMMYFUNCTION("""COMPUTED_VALUE"""),0.145019157088122)</f>
        <v>0.14501915708812199</v>
      </c>
      <c r="I8" s="12">
        <f ca="1">IFERROR(__xludf.DUMMYFUNCTION("""COMPUTED_VALUE"""),5898.4)</f>
        <v>5898.4</v>
      </c>
      <c r="J8" s="14">
        <f ca="1">IFERROR(__xludf.DUMMYFUNCTION("""COMPUTED_VALUE"""),0.0133256476332565)</f>
        <v>1.3325647633256501E-2</v>
      </c>
      <c r="K8" s="12" t="str">
        <f ca="1">IFERROR(__xludf.DUMMYFUNCTION("""COMPUTED_VALUE"""),"NBFC")</f>
        <v>NBFC</v>
      </c>
      <c r="L8" s="12" t="str">
        <f ca="1">IFERROR(__xludf.DUMMYFUNCTION("""COMPUTED_VALUE"""),"BAJFINANCE")</f>
        <v>BAJFINANCE</v>
      </c>
      <c r="M8" s="12" t="str">
        <f ca="1">IFERROR(__xludf.DUMMYFUNCTION("""COMPUTED_VALUE"""),"No")</f>
        <v>No</v>
      </c>
      <c r="N8" s="12" t="str">
        <f ca="1">IFERROR(__xludf.DUMMYFUNCTION("""COMPUTED_VALUE"""),"No")</f>
        <v>No</v>
      </c>
      <c r="O8" s="12" t="str">
        <f ca="1">IFERROR(__xludf.DUMMYFUNCTION("""COMPUTED_VALUE"""),"Good Stock")</f>
        <v>Good Stock</v>
      </c>
      <c r="P8" s="12" t="str">
        <f ca="1">IFERROR(__xludf.DUMMYFUNCTION("""COMPUTED_VALUE"""),"Large Cap")</f>
        <v>Large Cap</v>
      </c>
    </row>
    <row r="9" spans="1:16">
      <c r="A9" s="12" t="str">
        <f ca="1">IFERROR(__xludf.DUMMYFUNCTION("""COMPUTED_VALUE"""),"Kotak Bank")</f>
        <v>Kotak Bank</v>
      </c>
      <c r="B9" s="13">
        <f ca="1">IFERROR(__xludf.DUMMYFUNCTION("""COMPUTED_VALUE"""),354002.5359556)</f>
        <v>354002.53595559997</v>
      </c>
      <c r="C9" s="12">
        <f ca="1">IFERROR(__xludf.DUMMYFUNCTION("""COMPUTED_VALUE"""),1780.5)</f>
        <v>1780.5</v>
      </c>
      <c r="D9" s="12">
        <f ca="1">IFERROR(__xludf.DUMMYFUNCTION("""COMPUTED_VALUE"""),25.87)</f>
        <v>25.87</v>
      </c>
      <c r="E9" s="12">
        <f ca="1">IFERROR(__xludf.DUMMYFUNCTION("""COMPUTED_VALUE"""),1997.55)</f>
        <v>1997.55</v>
      </c>
      <c r="F9" s="14">
        <f ca="1">IFERROR(__xludf.DUMMYFUNCTION("""COMPUTED_VALUE"""),0.10865810618007)</f>
        <v>0.10865810618007</v>
      </c>
      <c r="G9" s="12">
        <f ca="1">IFERROR(__xludf.DUMMYFUNCTION("""COMPUTED_VALUE"""),1631)</f>
        <v>1631</v>
      </c>
      <c r="H9" s="14">
        <f ca="1">IFERROR(__xludf.DUMMYFUNCTION("""COMPUTED_VALUE"""),0.0916615573267933)</f>
        <v>9.1661557326793305E-2</v>
      </c>
      <c r="I9" s="12">
        <f ca="1">IFERROR(__xludf.DUMMYFUNCTION("""COMPUTED_VALUE"""),1779.5)</f>
        <v>1779.5</v>
      </c>
      <c r="J9" s="14">
        <f ca="1">IFERROR(__xludf.DUMMYFUNCTION("""COMPUTED_VALUE"""),0.000561955605507165)</f>
        <v>5.6195560550716497E-4</v>
      </c>
      <c r="K9" s="12" t="str">
        <f ca="1">IFERROR(__xludf.DUMMYFUNCTION("""COMPUTED_VALUE"""),"Bank")</f>
        <v>Bank</v>
      </c>
      <c r="L9" s="12" t="str">
        <f ca="1">IFERROR(__xludf.DUMMYFUNCTION("""COMPUTED_VALUE"""),"KOTAKBANK")</f>
        <v>KOTAKBANK</v>
      </c>
      <c r="M9" s="12" t="str">
        <f ca="1">IFERROR(__xludf.DUMMYFUNCTION("""COMPUTED_VALUE"""),"No")</f>
        <v>No</v>
      </c>
      <c r="N9" s="12" t="str">
        <f ca="1">IFERROR(__xludf.DUMMYFUNCTION("""COMPUTED_VALUE"""),"No")</f>
        <v>No</v>
      </c>
      <c r="O9" s="12" t="str">
        <f ca="1">IFERROR(__xludf.DUMMYFUNCTION("""COMPUTED_VALUE"""),"Good Stock")</f>
        <v>Good Stock</v>
      </c>
      <c r="P9" s="12" t="str">
        <f ca="1">IFERROR(__xludf.DUMMYFUNCTION("""COMPUTED_VALUE"""),"Large Cap")</f>
        <v>Large Cap</v>
      </c>
    </row>
    <row r="10" spans="1:16">
      <c r="A10" s="12" t="str">
        <f ca="1">IFERROR(__xludf.DUMMYFUNCTION("""COMPUTED_VALUE"""),"L&amp;T")</f>
        <v>L&amp;T</v>
      </c>
      <c r="B10" s="13">
        <f ca="1">IFERROR(__xludf.DUMMYFUNCTION("""COMPUTED_VALUE"""),302617.166625)</f>
        <v>302617.16662500001</v>
      </c>
      <c r="C10" s="12">
        <f ca="1">IFERROR(__xludf.DUMMYFUNCTION("""COMPUTED_VALUE"""),2153.75)</f>
        <v>2153.75</v>
      </c>
      <c r="D10" s="12">
        <f ca="1">IFERROR(__xludf.DUMMYFUNCTION("""COMPUTED_VALUE"""),31.53)</f>
        <v>31.53</v>
      </c>
      <c r="E10" s="12">
        <f ca="1">IFERROR(__xludf.DUMMYFUNCTION("""COMPUTED_VALUE"""),2210.5)</f>
        <v>2210.5</v>
      </c>
      <c r="F10" s="14">
        <f ca="1">IFERROR(__xludf.DUMMYFUNCTION("""COMPUTED_VALUE"""),0.0256729246776747)</f>
        <v>2.5672924677674701E-2</v>
      </c>
      <c r="G10" s="12">
        <f ca="1">IFERROR(__xludf.DUMMYFUNCTION("""COMPUTED_VALUE"""),1456.8)</f>
        <v>1456.8</v>
      </c>
      <c r="H10" s="14">
        <f ca="1">IFERROR(__xludf.DUMMYFUNCTION("""COMPUTED_VALUE"""),0.478411587040087)</f>
        <v>0.47841158704008702</v>
      </c>
      <c r="I10" s="12">
        <f ca="1">IFERROR(__xludf.DUMMYFUNCTION("""COMPUTED_VALUE"""),2160.2)</f>
        <v>2160.1999999999998</v>
      </c>
      <c r="J10" s="14">
        <f ca="1">IFERROR(__xludf.DUMMYFUNCTION("""COMPUTED_VALUE"""),-0.00298583464494019)</f>
        <v>-2.9858346449401899E-3</v>
      </c>
      <c r="K10" s="12" t="str">
        <f ca="1">IFERROR(__xludf.DUMMYFUNCTION("""COMPUTED_VALUE"""),"Infrastructure")</f>
        <v>Infrastructure</v>
      </c>
      <c r="L10" s="12" t="str">
        <f ca="1">IFERROR(__xludf.DUMMYFUNCTION("""COMPUTED_VALUE"""),"BOM:500510")</f>
        <v>BOM:500510</v>
      </c>
      <c r="M10" s="12" t="str">
        <f ca="1">IFERROR(__xludf.DUMMYFUNCTION("""COMPUTED_VALUE"""),"No")</f>
        <v>No</v>
      </c>
      <c r="N10" s="12" t="str">
        <f ca="1">IFERROR(__xludf.DUMMYFUNCTION("""COMPUTED_VALUE"""),"No")</f>
        <v>No</v>
      </c>
      <c r="O10" s="12" t="str">
        <f ca="1">IFERROR(__xludf.DUMMYFUNCTION("""COMPUTED_VALUE"""),"Good Stock")</f>
        <v>Good Stock</v>
      </c>
      <c r="P10" s="12" t="str">
        <f ca="1">IFERROR(__xludf.DUMMYFUNCTION("""COMPUTED_VALUE"""),"Large Cap")</f>
        <v>Large Cap</v>
      </c>
    </row>
    <row r="11" spans="1:16">
      <c r="A11" s="12" t="str">
        <f ca="1">IFERROR(__xludf.DUMMYFUNCTION("""COMPUTED_VALUE"""),"Axis Bank")</f>
        <v>Axis Bank</v>
      </c>
      <c r="B11" s="13">
        <f ca="1">IFERROR(__xludf.DUMMYFUNCTION("""COMPUTED_VALUE"""),287213.2945283)</f>
        <v>287213.2945283</v>
      </c>
      <c r="C11" s="12">
        <f ca="1">IFERROR(__xludf.DUMMYFUNCTION("""COMPUTED_VALUE"""),933.9)</f>
        <v>933.9</v>
      </c>
      <c r="D11" s="12">
        <f ca="1">IFERROR(__xludf.DUMMYFUNCTION("""COMPUTED_VALUE"""),15.67)</f>
        <v>15.67</v>
      </c>
      <c r="E11" s="12">
        <f ca="1">IFERROR(__xludf.DUMMYFUNCTION("""COMPUTED_VALUE"""),970)</f>
        <v>970</v>
      </c>
      <c r="F11" s="14">
        <f ca="1">IFERROR(__xludf.DUMMYFUNCTION("""COMPUTED_VALUE"""),0.0372164948453608)</f>
        <v>3.7216494845360798E-2</v>
      </c>
      <c r="G11" s="12">
        <f ca="1">IFERROR(__xludf.DUMMYFUNCTION("""COMPUTED_VALUE"""),618.25)</f>
        <v>618.25</v>
      </c>
      <c r="H11" s="14">
        <f ca="1">IFERROR(__xludf.DUMMYFUNCTION("""COMPUTED_VALUE"""),0.510553983016579)</f>
        <v>0.51055398301657895</v>
      </c>
      <c r="I11" s="12">
        <f ca="1">IFERROR(__xludf.DUMMYFUNCTION("""COMPUTED_VALUE"""),935.55)</f>
        <v>935.55</v>
      </c>
      <c r="J11" s="14">
        <f ca="1">IFERROR(__xludf.DUMMYFUNCTION("""COMPUTED_VALUE"""),-0.00176366843033507)</f>
        <v>-1.76366843033507E-3</v>
      </c>
      <c r="K11" s="12" t="str">
        <f ca="1">IFERROR(__xludf.DUMMYFUNCTION("""COMPUTED_VALUE"""),"Bank")</f>
        <v>Bank</v>
      </c>
      <c r="L11" s="12" t="str">
        <f ca="1">IFERROR(__xludf.DUMMYFUNCTION("""COMPUTED_VALUE"""),"AXISBANK")</f>
        <v>AXISBANK</v>
      </c>
      <c r="M11" s="12" t="str">
        <f ca="1">IFERROR(__xludf.DUMMYFUNCTION("""COMPUTED_VALUE"""),"No")</f>
        <v>No</v>
      </c>
      <c r="N11" s="12" t="str">
        <f ca="1">IFERROR(__xludf.DUMMYFUNCTION("""COMPUTED_VALUE"""),"No")</f>
        <v>No</v>
      </c>
      <c r="O11" s="12" t="str">
        <f ca="1">IFERROR(__xludf.DUMMYFUNCTION("""COMPUTED_VALUE"""),"Good Stock")</f>
        <v>Good Stock</v>
      </c>
      <c r="P11" s="12" t="str">
        <f ca="1">IFERROR(__xludf.DUMMYFUNCTION("""COMPUTED_VALUE"""),"Large Cap")</f>
        <v>Large Cap</v>
      </c>
    </row>
    <row r="12" spans="1:16">
      <c r="A12" s="12" t="str">
        <f ca="1">IFERROR(__xludf.DUMMYFUNCTION("""COMPUTED_VALUE"""),"Maruti Suzuki")</f>
        <v>Maruti Suzuki</v>
      </c>
      <c r="B12" s="13">
        <f ca="1">IFERROR(__xludf.DUMMYFUNCTION("""COMPUTED_VALUE"""),255438.4185926)</f>
        <v>255438.41859260001</v>
      </c>
      <c r="C12" s="12">
        <f ca="1">IFERROR(__xludf.DUMMYFUNCTION("""COMPUTED_VALUE"""),8454.2)</f>
        <v>8454.2000000000007</v>
      </c>
      <c r="D12" s="12">
        <f ca="1">IFERROR(__xludf.DUMMYFUNCTION("""COMPUTED_VALUE"""),42.1)</f>
        <v>42.1</v>
      </c>
      <c r="E12" s="12">
        <f ca="1">IFERROR(__xludf.DUMMYFUNCTION("""COMPUTED_VALUE"""),9769)</f>
        <v>9769</v>
      </c>
      <c r="F12" s="14">
        <f ca="1">IFERROR(__xludf.DUMMYFUNCTION("""COMPUTED_VALUE"""),0.134589006039512)</f>
        <v>0.13458900603951199</v>
      </c>
      <c r="G12" s="12">
        <f ca="1">IFERROR(__xludf.DUMMYFUNCTION("""COMPUTED_VALUE"""),6536.55)</f>
        <v>6536.55</v>
      </c>
      <c r="H12" s="14">
        <f ca="1">IFERROR(__xludf.DUMMYFUNCTION("""COMPUTED_VALUE"""),0.293373415639748)</f>
        <v>0.293373415639748</v>
      </c>
      <c r="I12" s="12">
        <f ca="1">IFERROR(__xludf.DUMMYFUNCTION("""COMPUTED_VALUE"""),8369.2)</f>
        <v>8369.2000000000007</v>
      </c>
      <c r="J12" s="14">
        <f ca="1">IFERROR(__xludf.DUMMYFUNCTION("""COMPUTED_VALUE"""),0.0101562873392916)</f>
        <v>1.01562873392916E-2</v>
      </c>
      <c r="K12" s="12" t="str">
        <f ca="1">IFERROR(__xludf.DUMMYFUNCTION("""COMPUTED_VALUE"""),"Automobile")</f>
        <v>Automobile</v>
      </c>
      <c r="L12" s="12" t="str">
        <f ca="1">IFERROR(__xludf.DUMMYFUNCTION("""COMPUTED_VALUE"""),"MARUTI")</f>
        <v>MARUTI</v>
      </c>
      <c r="M12" s="12" t="str">
        <f ca="1">IFERROR(__xludf.DUMMYFUNCTION("""COMPUTED_VALUE"""),"No")</f>
        <v>No</v>
      </c>
      <c r="N12" s="12" t="str">
        <f ca="1">IFERROR(__xludf.DUMMYFUNCTION("""COMPUTED_VALUE"""),"No")</f>
        <v>No</v>
      </c>
      <c r="O12" s="12" t="str">
        <f ca="1">IFERROR(__xludf.DUMMYFUNCTION("""COMPUTED_VALUE"""),"Good Stock")</f>
        <v>Good Stock</v>
      </c>
      <c r="P12" s="12" t="str">
        <f ca="1">IFERROR(__xludf.DUMMYFUNCTION("""COMPUTED_VALUE"""),"Large Cap")</f>
        <v>Large Cap</v>
      </c>
    </row>
    <row r="13" spans="1:16">
      <c r="A13" s="12" t="str">
        <f ca="1">IFERROR(__xludf.DUMMYFUNCTION("""COMPUTED_VALUE"""),"Sun pharma")</f>
        <v>Sun pharma</v>
      </c>
      <c r="B13" s="13">
        <f ca="1">IFERROR(__xludf.DUMMYFUNCTION("""COMPUTED_VALUE"""),247191.650802)</f>
        <v>247191.65080199999</v>
      </c>
      <c r="C13" s="12">
        <f ca="1">IFERROR(__xludf.DUMMYFUNCTION("""COMPUTED_VALUE"""),1031.05)</f>
        <v>1031.05</v>
      </c>
      <c r="D13" s="12">
        <f ca="1">IFERROR(__xludf.DUMMYFUNCTION("""COMPUTED_VALUE"""),60.4)</f>
        <v>60.4</v>
      </c>
      <c r="E13" s="12">
        <f ca="1">IFERROR(__xludf.DUMMYFUNCTION("""COMPUTED_VALUE"""),1070.95)</f>
        <v>1070.95</v>
      </c>
      <c r="F13" s="14">
        <f ca="1">IFERROR(__xludf.DUMMYFUNCTION("""COMPUTED_VALUE"""),0.0372566412997806)</f>
        <v>3.7256641299780603E-2</v>
      </c>
      <c r="G13" s="12">
        <f ca="1">IFERROR(__xludf.DUMMYFUNCTION("""COMPUTED_VALUE"""),784.8)</f>
        <v>784.8</v>
      </c>
      <c r="H13" s="14">
        <f ca="1">IFERROR(__xludf.DUMMYFUNCTION("""COMPUTED_VALUE"""),0.313774209989806)</f>
        <v>0.31377420998980599</v>
      </c>
      <c r="I13" s="12">
        <f ca="1">IFERROR(__xludf.DUMMYFUNCTION("""COMPUTED_VALUE"""),1032.85)</f>
        <v>1032.8499999999999</v>
      </c>
      <c r="J13" s="14">
        <f ca="1">IFERROR(__xludf.DUMMYFUNCTION("""COMPUTED_VALUE"""),-0.00174275064142901)</f>
        <v>-1.7427506414290101E-3</v>
      </c>
      <c r="K13" s="12" t="str">
        <f ca="1">IFERROR(__xludf.DUMMYFUNCTION("""COMPUTED_VALUE"""),"Pharma")</f>
        <v>Pharma</v>
      </c>
      <c r="L13" s="12" t="str">
        <f ca="1">IFERROR(__xludf.DUMMYFUNCTION("""COMPUTED_VALUE"""),"SUNPHARMA")</f>
        <v>SUNPHARMA</v>
      </c>
      <c r="M13" s="12" t="str">
        <f ca="1">IFERROR(__xludf.DUMMYFUNCTION("""COMPUTED_VALUE"""),"No")</f>
        <v>No</v>
      </c>
      <c r="N13" s="12" t="str">
        <f ca="1">IFERROR(__xludf.DUMMYFUNCTION("""COMPUTED_VALUE"""),"No")</f>
        <v>No</v>
      </c>
      <c r="O13" s="12" t="str">
        <f ca="1">IFERROR(__xludf.DUMMYFUNCTION("""COMPUTED_VALUE"""),"Good Stock")</f>
        <v>Good Stock</v>
      </c>
      <c r="P13" s="12" t="str">
        <f ca="1">IFERROR(__xludf.DUMMYFUNCTION("""COMPUTED_VALUE"""),"Large Cap")</f>
        <v>Large Cap</v>
      </c>
    </row>
    <row r="14" spans="1:16">
      <c r="A14" s="12" t="str">
        <f ca="1">IFERROR(__xludf.DUMMYFUNCTION("""COMPUTED_VALUE"""),"Bajaj Finserv")</f>
        <v>Bajaj Finserv</v>
      </c>
      <c r="B14" s="13">
        <f ca="1">IFERROR(__xludf.DUMMYFUNCTION("""COMPUTED_VALUE"""),221292.5064376)</f>
        <v>221292.50643760001</v>
      </c>
      <c r="C14" s="12">
        <f ca="1">IFERROR(__xludf.DUMMYFUNCTION("""COMPUTED_VALUE"""),1391)</f>
        <v>1391</v>
      </c>
      <c r="D14" s="12">
        <f ca="1">IFERROR(__xludf.DUMMYFUNCTION("""COMPUTED_VALUE"""),40.48)</f>
        <v>40.479999999999997</v>
      </c>
      <c r="E14" s="12">
        <f ca="1">IFERROR(__xludf.DUMMYFUNCTION("""COMPUTED_VALUE"""),3724.2)</f>
        <v>3724.2</v>
      </c>
      <c r="F14" s="14">
        <f ca="1">IFERROR(__xludf.DUMMYFUNCTION("""COMPUTED_VALUE"""),0.62649696579131)</f>
        <v>0.62649696579130998</v>
      </c>
      <c r="G14" s="12">
        <f ca="1">IFERROR(__xludf.DUMMYFUNCTION("""COMPUTED_VALUE"""),1374.35)</f>
        <v>1374.35</v>
      </c>
      <c r="H14" s="14">
        <f ca="1">IFERROR(__xludf.DUMMYFUNCTION("""COMPUTED_VALUE"""),0.012114817913923)</f>
        <v>1.2114817913923E-2</v>
      </c>
      <c r="I14" s="12">
        <f ca="1">IFERROR(__xludf.DUMMYFUNCTION("""COMPUTED_VALUE"""),1387.8)</f>
        <v>1387.8</v>
      </c>
      <c r="J14" s="14">
        <f ca="1">IFERROR(__xludf.DUMMYFUNCTION("""COMPUTED_VALUE"""),0.0023058077532786)</f>
        <v>2.3058077532786001E-3</v>
      </c>
      <c r="K14" s="12" t="str">
        <f ca="1">IFERROR(__xludf.DUMMYFUNCTION("""COMPUTED_VALUE"""),"Financial Servcies")</f>
        <v>Financial Servcies</v>
      </c>
      <c r="L14" s="12" t="str">
        <f ca="1">IFERROR(__xludf.DUMMYFUNCTION("""COMPUTED_VALUE"""),"BAJAJFINSV")</f>
        <v>BAJAJFINSV</v>
      </c>
      <c r="M14" s="12" t="str">
        <f ca="1">IFERROR(__xludf.DUMMYFUNCTION("""COMPUTED_VALUE"""),"No")</f>
        <v>No</v>
      </c>
      <c r="N14" s="12" t="str">
        <f ca="1">IFERROR(__xludf.DUMMYFUNCTION("""COMPUTED_VALUE"""),"No")</f>
        <v>No</v>
      </c>
      <c r="O14" s="12" t="str">
        <f ca="1">IFERROR(__xludf.DUMMYFUNCTION("""COMPUTED_VALUE"""),"Good Stock")</f>
        <v>Good Stock</v>
      </c>
      <c r="P14" s="12" t="str">
        <f ca="1">IFERROR(__xludf.DUMMYFUNCTION("""COMPUTED_VALUE"""),"Large Cap")</f>
        <v>Large Cap</v>
      </c>
    </row>
    <row r="15" spans="1:16">
      <c r="A15" s="12" t="str">
        <f ca="1">IFERROR(__xludf.DUMMYFUNCTION("""COMPUTED_VALUE"""),"Ultratech Cement")</f>
        <v>Ultratech Cement</v>
      </c>
      <c r="B15" s="13">
        <f ca="1">IFERROR(__xludf.DUMMYFUNCTION("""COMPUTED_VALUE"""),208975.8)</f>
        <v>208975.8</v>
      </c>
      <c r="C15" s="12">
        <f ca="1">IFERROR(__xludf.DUMMYFUNCTION("""COMPUTED_VALUE"""),7244.95)</f>
        <v>7244.95</v>
      </c>
      <c r="D15" s="12">
        <f ca="1">IFERROR(__xludf.DUMMYFUNCTION("""COMPUTED_VALUE"""),31.35)</f>
        <v>31.35</v>
      </c>
      <c r="E15" s="12">
        <f ca="1">IFERROR(__xludf.DUMMYFUNCTION("""COMPUTED_VALUE"""),7946)</f>
        <v>7946</v>
      </c>
      <c r="F15" s="14">
        <f ca="1">IFERROR(__xludf.DUMMYFUNCTION("""COMPUTED_VALUE"""),0.0882267807701988)</f>
        <v>8.8226780770198798E-2</v>
      </c>
      <c r="G15" s="12">
        <f ca="1">IFERROR(__xludf.DUMMYFUNCTION("""COMPUTED_VALUE"""),5157.05)</f>
        <v>5157.05</v>
      </c>
      <c r="H15" s="14">
        <f ca="1">IFERROR(__xludf.DUMMYFUNCTION("""COMPUTED_VALUE"""),0.404863245460098)</f>
        <v>0.404863245460098</v>
      </c>
      <c r="I15" s="12">
        <f ca="1">IFERROR(__xludf.DUMMYFUNCTION("""COMPUTED_VALUE"""),7153.35)</f>
        <v>7153.35</v>
      </c>
      <c r="J15" s="14">
        <f ca="1">IFERROR(__xludf.DUMMYFUNCTION("""COMPUTED_VALUE"""),0.0128051891770987)</f>
        <v>1.28051891770987E-2</v>
      </c>
      <c r="K15" s="12" t="str">
        <f ca="1">IFERROR(__xludf.DUMMYFUNCTION("""COMPUTED_VALUE"""),"Cement")</f>
        <v>Cement</v>
      </c>
      <c r="L15" s="12" t="str">
        <f ca="1">IFERROR(__xludf.DUMMYFUNCTION("""COMPUTED_VALUE"""),"ULTRACEMCO")</f>
        <v>ULTRACEMCO</v>
      </c>
      <c r="M15" s="12" t="str">
        <f ca="1">IFERROR(__xludf.DUMMYFUNCTION("""COMPUTED_VALUE"""),"No")</f>
        <v>No</v>
      </c>
      <c r="N15" s="12" t="str">
        <f ca="1">IFERROR(__xludf.DUMMYFUNCTION("""COMPUTED_VALUE"""),"No")</f>
        <v>No</v>
      </c>
      <c r="O15" s="12" t="str">
        <f ca="1">IFERROR(__xludf.DUMMYFUNCTION("""COMPUTED_VALUE"""),"Good Stock")</f>
        <v>Good Stock</v>
      </c>
      <c r="P15" s="12" t="str">
        <f ca="1">IFERROR(__xludf.DUMMYFUNCTION("""COMPUTED_VALUE"""),"Large Cap")</f>
        <v>Large Cap</v>
      </c>
    </row>
    <row r="16" spans="1:16">
      <c r="A16" s="12" t="str">
        <f ca="1">IFERROR(__xludf.DUMMYFUNCTION("""COMPUTED_VALUE"""),"M&amp;M")</f>
        <v>M&amp;M</v>
      </c>
      <c r="B16" s="13">
        <f ca="1">IFERROR(__xludf.DUMMYFUNCTION("""COMPUTED_VALUE"""),158785.3716893)</f>
        <v>158785.37168929999</v>
      </c>
      <c r="C16" s="12">
        <f ca="1">IFERROR(__xludf.DUMMYFUNCTION("""COMPUTED_VALUE"""),1327.55)</f>
        <v>1327.55</v>
      </c>
      <c r="D16" s="12">
        <f ca="1">IFERROR(__xludf.DUMMYFUNCTION("""COMPUTED_VALUE"""),16.12)</f>
        <v>16.12</v>
      </c>
      <c r="E16" s="12">
        <f ca="1">IFERROR(__xludf.DUMMYFUNCTION("""COMPUTED_VALUE"""),1366.55)</f>
        <v>1366.55</v>
      </c>
      <c r="F16" s="14">
        <f ca="1">IFERROR(__xludf.DUMMYFUNCTION("""COMPUTED_VALUE"""),0.0285390216237971)</f>
        <v>2.8539021623797099E-2</v>
      </c>
      <c r="G16" s="12">
        <f ca="1">IFERROR(__xludf.DUMMYFUNCTION("""COMPUTED_VALUE"""),671.15)</f>
        <v>671.15</v>
      </c>
      <c r="H16" s="14">
        <f ca="1">IFERROR(__xludf.DUMMYFUNCTION("""COMPUTED_VALUE"""),0.978022796692244)</f>
        <v>0.97802279669224401</v>
      </c>
      <c r="I16" s="12">
        <f ca="1">IFERROR(__xludf.DUMMYFUNCTION("""COMPUTED_VALUE"""),1319.9)</f>
        <v>1319.9</v>
      </c>
      <c r="J16" s="14">
        <f ca="1">IFERROR(__xludf.DUMMYFUNCTION("""COMPUTED_VALUE"""),0.00579589362830507)</f>
        <v>5.7958936283050702E-3</v>
      </c>
      <c r="K16" s="12" t="str">
        <f ca="1">IFERROR(__xludf.DUMMYFUNCTION("""COMPUTED_VALUE"""),"Automobile")</f>
        <v>Automobile</v>
      </c>
      <c r="L16" s="12" t="str">
        <f ca="1">IFERROR(__xludf.DUMMYFUNCTION("""COMPUTED_VALUE"""),"M&amp;M")</f>
        <v>M&amp;M</v>
      </c>
      <c r="M16" s="12" t="str">
        <f ca="1">IFERROR(__xludf.DUMMYFUNCTION("""COMPUTED_VALUE"""),"No")</f>
        <v>No</v>
      </c>
      <c r="N16" s="12" t="str">
        <f ca="1">IFERROR(__xludf.DUMMYFUNCTION("""COMPUTED_VALUE"""),"No")</f>
        <v>No</v>
      </c>
      <c r="O16" s="12" t="str">
        <f ca="1">IFERROR(__xludf.DUMMYFUNCTION("""COMPUTED_VALUE"""),"Good Stock")</f>
        <v>Good Stock</v>
      </c>
      <c r="P16" s="12" t="str">
        <f ca="1">IFERROR(__xludf.DUMMYFUNCTION("""COMPUTED_VALUE"""),"Large Cap")</f>
        <v>Large Cap</v>
      </c>
    </row>
    <row r="17" spans="1:16">
      <c r="A17" s="12" t="str">
        <f ca="1">IFERROR(__xludf.DUMMYFUNCTION("""COMPUTED_VALUE"""),"Tata Steel")</f>
        <v>Tata Steel</v>
      </c>
      <c r="B17" s="13">
        <f ca="1">IFERROR(__xludf.DUMMYFUNCTION("""COMPUTED_VALUE"""),147293.6037181)</f>
        <v>147293.6037181</v>
      </c>
      <c r="C17" s="12">
        <f ca="1">IFERROR(__xludf.DUMMYFUNCTION("""COMPUTED_VALUE"""),120.45)</f>
        <v>120.45</v>
      </c>
      <c r="D17" s="12">
        <f ca="1">IFERROR(__xludf.DUMMYFUNCTION("""COMPUTED_VALUE"""),5.13)</f>
        <v>5.13</v>
      </c>
      <c r="E17" s="12">
        <f ca="1">IFERROR(__xludf.DUMMYFUNCTION("""COMPUTED_VALUE"""),138.63)</f>
        <v>138.63</v>
      </c>
      <c r="F17" s="14">
        <f ca="1">IFERROR(__xludf.DUMMYFUNCTION("""COMPUTED_VALUE"""),0.131140445790954)</f>
        <v>0.13114044579095399</v>
      </c>
      <c r="G17" s="12">
        <f ca="1">IFERROR(__xludf.DUMMYFUNCTION("""COMPUTED_VALUE"""),82.71)</f>
        <v>82.71</v>
      </c>
      <c r="H17" s="14">
        <f ca="1">IFERROR(__xludf.DUMMYFUNCTION("""COMPUTED_VALUE"""),0.456293072179905)</f>
        <v>0.456293072179905</v>
      </c>
      <c r="I17" s="12">
        <f ca="1">IFERROR(__xludf.DUMMYFUNCTION("""COMPUTED_VALUE"""),118.05)</f>
        <v>118.05</v>
      </c>
      <c r="J17" s="14">
        <f ca="1">IFERROR(__xludf.DUMMYFUNCTION("""COMPUTED_VALUE"""),0.0203303684879288)</f>
        <v>2.0330368487928799E-2</v>
      </c>
      <c r="K17" s="12" t="str">
        <f ca="1">IFERROR(__xludf.DUMMYFUNCTION("""COMPUTED_VALUE"""),"Infrastructure")</f>
        <v>Infrastructure</v>
      </c>
      <c r="L17" s="12" t="str">
        <f ca="1">IFERROR(__xludf.DUMMYFUNCTION("""COMPUTED_VALUE"""),"BOM:500470")</f>
        <v>BOM:500470</v>
      </c>
      <c r="M17" s="12" t="str">
        <f ca="1">IFERROR(__xludf.DUMMYFUNCTION("""COMPUTED_VALUE"""),"No")</f>
        <v>No</v>
      </c>
      <c r="N17" s="12" t="str">
        <f ca="1">IFERROR(__xludf.DUMMYFUNCTION("""COMPUTED_VALUE"""),"No")</f>
        <v>No</v>
      </c>
      <c r="O17" s="12" t="str">
        <f ca="1">IFERROR(__xludf.DUMMYFUNCTION("""COMPUTED_VALUE"""),"Good Stock")</f>
        <v>Good Stock</v>
      </c>
      <c r="P17" s="12" t="str">
        <f ca="1">IFERROR(__xludf.DUMMYFUNCTION("""COMPUTED_VALUE"""),"Large Cap")</f>
        <v>Large Cap</v>
      </c>
    </row>
    <row r="18" spans="1:16">
      <c r="A18" s="12" t="str">
        <f ca="1">IFERROR(__xludf.DUMMYFUNCTION("""COMPUTED_VALUE"""),"L&amp;T Infotech")</f>
        <v>L&amp;T Infotech</v>
      </c>
      <c r="B18" s="13">
        <f ca="1">IFERROR(__xludf.DUMMYFUNCTION("""COMPUTED_VALUE"""),126813.4)</f>
        <v>126813.4</v>
      </c>
      <c r="C18" s="12">
        <f ca="1">IFERROR(__xludf.DUMMYFUNCTION("""COMPUTED_VALUE"""),4289.8)</f>
        <v>4289.8</v>
      </c>
      <c r="D18" s="12">
        <f ca="1">IFERROR(__xludf.DUMMYFUNCTION("""COMPUTED_VALUE"""),34.73)</f>
        <v>34.729999999999997</v>
      </c>
      <c r="E18" s="12">
        <f ca="1">IFERROR(__xludf.DUMMYFUNCTION("""COMPUTED_VALUE"""),4293.25)</f>
        <v>4293.25</v>
      </c>
      <c r="F18" s="14">
        <f ca="1">IFERROR(__xludf.DUMMYFUNCTION("""COMPUTED_VALUE"""),0.000803587026145651)</f>
        <v>8.03587026145651E-4</v>
      </c>
      <c r="G18" s="12">
        <f ca="1">IFERROR(__xludf.DUMMYFUNCTION("""COMPUTED_VALUE"""),4147.45)</f>
        <v>4147.45</v>
      </c>
      <c r="H18" s="14">
        <f ca="1">IFERROR(__xludf.DUMMYFUNCTION("""COMPUTED_VALUE"""),0.0343222944218737)</f>
        <v>3.4322294421873699E-2</v>
      </c>
      <c r="I18" s="12">
        <f ca="1">IFERROR(__xludf.DUMMYFUNCTION("""COMPUTED_VALUE"""),4279.2)</f>
        <v>4279.2</v>
      </c>
      <c r="J18" s="14">
        <f ca="1">IFERROR(__xludf.DUMMYFUNCTION("""COMPUTED_VALUE"""),0.00247709852308851)</f>
        <v>2.4770985230885101E-3</v>
      </c>
      <c r="K18" s="12" t="str">
        <f ca="1">IFERROR(__xludf.DUMMYFUNCTION("""COMPUTED_VALUE"""),"IT")</f>
        <v>IT</v>
      </c>
      <c r="L18" s="12" t="str">
        <f ca="1">IFERROR(__xludf.DUMMYFUNCTION("""COMPUTED_VALUE"""),"BOM:540005")</f>
        <v>BOM:540005</v>
      </c>
      <c r="M18" s="12" t="str">
        <f ca="1">IFERROR(__xludf.DUMMYFUNCTION("""COMPUTED_VALUE"""),"No")</f>
        <v>No</v>
      </c>
      <c r="N18" s="12" t="str">
        <f ca="1">IFERROR(__xludf.DUMMYFUNCTION("""COMPUTED_VALUE"""),"No")</f>
        <v>No</v>
      </c>
      <c r="O18" s="12" t="str">
        <f ca="1">IFERROR(__xludf.DUMMYFUNCTION("""COMPUTED_VALUE"""),"Good Stock")</f>
        <v>Good Stock</v>
      </c>
      <c r="P18" s="12" t="str">
        <f ca="1">IFERROR(__xludf.DUMMYFUNCTION("""COMPUTED_VALUE"""),"Large Cap")</f>
        <v>Large Cap</v>
      </c>
    </row>
    <row r="19" spans="1:16">
      <c r="A19" s="12" t="str">
        <f ca="1">IFERROR(__xludf.DUMMYFUNCTION("""COMPUTED_VALUE"""),"Ambuja Cement")</f>
        <v>Ambuja Cement</v>
      </c>
      <c r="B19" s="13">
        <f ca="1">IFERROR(__xludf.DUMMYFUNCTION("""COMPUTED_VALUE"""),102995.3567038)</f>
        <v>102995.3567038</v>
      </c>
      <c r="C19" s="12">
        <f ca="1">IFERROR(__xludf.DUMMYFUNCTION("""COMPUTED_VALUE"""),518.7)</f>
        <v>518.70000000000005</v>
      </c>
      <c r="D19" s="12">
        <f ca="1">IFERROR(__xludf.DUMMYFUNCTION("""COMPUTED_VALUE"""),57.36)</f>
        <v>57.36</v>
      </c>
      <c r="E19" s="12">
        <f ca="1">IFERROR(__xludf.DUMMYFUNCTION("""COMPUTED_VALUE"""),598.15)</f>
        <v>598.15</v>
      </c>
      <c r="F19" s="14">
        <f ca="1">IFERROR(__xludf.DUMMYFUNCTION("""COMPUTED_VALUE"""),0.132826214160327)</f>
        <v>0.132826214160327</v>
      </c>
      <c r="G19" s="12">
        <f ca="1">IFERROR(__xludf.DUMMYFUNCTION("""COMPUTED_VALUE"""),274)</f>
        <v>274</v>
      </c>
      <c r="H19" s="14">
        <f ca="1">IFERROR(__xludf.DUMMYFUNCTION("""COMPUTED_VALUE"""),0.893065693430657)</f>
        <v>0.893065693430657</v>
      </c>
      <c r="I19" s="12">
        <f ca="1">IFERROR(__xludf.DUMMYFUNCTION("""COMPUTED_VALUE"""),510.4)</f>
        <v>510.4</v>
      </c>
      <c r="J19" s="14">
        <f ca="1">IFERROR(__xludf.DUMMYFUNCTION("""COMPUTED_VALUE"""),0.0162617554858935)</f>
        <v>1.6261755485893498E-2</v>
      </c>
      <c r="K19" s="12" t="str">
        <f ca="1">IFERROR(__xludf.DUMMYFUNCTION("""COMPUTED_VALUE"""),"Cement")</f>
        <v>Cement</v>
      </c>
      <c r="L19" s="12" t="str">
        <f ca="1">IFERROR(__xludf.DUMMYFUNCTION("""COMPUTED_VALUE"""),"BOM:500425")</f>
        <v>BOM:500425</v>
      </c>
      <c r="M19" s="12" t="str">
        <f ca="1">IFERROR(__xludf.DUMMYFUNCTION("""COMPUTED_VALUE"""),"No")</f>
        <v>No</v>
      </c>
      <c r="N19" s="12" t="str">
        <f ca="1">IFERROR(__xludf.DUMMYFUNCTION("""COMPUTED_VALUE"""),"No")</f>
        <v>No</v>
      </c>
      <c r="O19" s="12" t="str">
        <f ca="1">IFERROR(__xludf.DUMMYFUNCTION("""COMPUTED_VALUE"""),"Good Stock")</f>
        <v>Good Stock</v>
      </c>
      <c r="P19" s="12" t="str">
        <f ca="1">IFERROR(__xludf.DUMMYFUNCTION("""COMPUTED_VALUE"""),"Large Cap")</f>
        <v>Large Cap</v>
      </c>
    </row>
    <row r="20" spans="1:16">
      <c r="A20" s="12" t="str">
        <f ca="1">IFERROR(__xludf.DUMMYFUNCTION("""COMPUTED_VALUE"""),"Bajaj Auto")</f>
        <v>Bajaj Auto</v>
      </c>
      <c r="B20" s="13">
        <f ca="1">IFERROR(__xludf.DUMMYFUNCTION("""COMPUTED_VALUE"""),101964.8629622)</f>
        <v>101964.8629622</v>
      </c>
      <c r="C20" s="12">
        <f ca="1">IFERROR(__xludf.DUMMYFUNCTION("""COMPUTED_VALUE"""),3602.45)</f>
        <v>3602.45</v>
      </c>
      <c r="D20" s="12">
        <f ca="1">IFERROR(__xludf.DUMMYFUNCTION("""COMPUTED_VALUE"""),17.79)</f>
        <v>17.79</v>
      </c>
      <c r="E20" s="12">
        <f ca="1">IFERROR(__xludf.DUMMYFUNCTION("""COMPUTED_VALUE"""),4131.75)</f>
        <v>4131.75</v>
      </c>
      <c r="F20" s="14">
        <f ca="1">IFERROR(__xludf.DUMMYFUNCTION("""COMPUTED_VALUE"""),0.12810552429358)</f>
        <v>0.12810552429357999</v>
      </c>
      <c r="G20" s="12">
        <f ca="1">IFERROR(__xludf.DUMMYFUNCTION("""COMPUTED_VALUE"""),3125)</f>
        <v>3125</v>
      </c>
      <c r="H20" s="14">
        <f ca="1">IFERROR(__xludf.DUMMYFUNCTION("""COMPUTED_VALUE"""),0.152783999999999)</f>
        <v>0.152783999999999</v>
      </c>
      <c r="I20" s="12">
        <f ca="1">IFERROR(__xludf.DUMMYFUNCTION("""COMPUTED_VALUE"""),3570.3)</f>
        <v>3570.3</v>
      </c>
      <c r="J20" s="14">
        <f ca="1">IFERROR(__xludf.DUMMYFUNCTION("""COMPUTED_VALUE"""),0.00900484553118775)</f>
        <v>9.0048455311877492E-3</v>
      </c>
      <c r="K20" s="12" t="str">
        <f ca="1">IFERROR(__xludf.DUMMYFUNCTION("""COMPUTED_VALUE"""),"Automobile")</f>
        <v>Automobile</v>
      </c>
      <c r="L20" s="12" t="str">
        <f ca="1">IFERROR(__xludf.DUMMYFUNCTION("""COMPUTED_VALUE"""),"BAJAJ-AUTO")</f>
        <v>BAJAJ-AUTO</v>
      </c>
      <c r="M20" s="12" t="str">
        <f ca="1">IFERROR(__xludf.DUMMYFUNCTION("""COMPUTED_VALUE"""),"No")</f>
        <v>No</v>
      </c>
      <c r="N20" s="12" t="str">
        <f ca="1">IFERROR(__xludf.DUMMYFUNCTION("""COMPUTED_VALUE"""),"No")</f>
        <v>No</v>
      </c>
      <c r="O20" s="12" t="str">
        <f ca="1">IFERROR(__xludf.DUMMYFUNCTION("""COMPUTED_VALUE"""),"Good Stock")</f>
        <v>Good Stock</v>
      </c>
      <c r="P20" s="12" t="str">
        <f ca="1">IFERROR(__xludf.DUMMYFUNCTION("""COMPUTED_VALUE"""),"Large Cap")</f>
        <v>Large Cap</v>
      </c>
    </row>
    <row r="21" spans="1:16">
      <c r="A21" s="12" t="str">
        <f ca="1">IFERROR(__xludf.DUMMYFUNCTION("""COMPUTED_VALUE"""),"Tech Mahindra")</f>
        <v>Tech Mahindra</v>
      </c>
      <c r="B21" s="13">
        <f ca="1">IFERROR(__xludf.DUMMYFUNCTION("""COMPUTED_VALUE"""),97631.0184537)</f>
        <v>97631.018453700002</v>
      </c>
      <c r="C21" s="12">
        <f ca="1">IFERROR(__xludf.DUMMYFUNCTION("""COMPUTED_VALUE"""),1002.8)</f>
        <v>1002.8</v>
      </c>
      <c r="D21" s="12">
        <f ca="1">IFERROR(__xludf.DUMMYFUNCTION("""COMPUTED_VALUE"""),16.8)</f>
        <v>16.8</v>
      </c>
      <c r="E21" s="12">
        <f ca="1">IFERROR(__xludf.DUMMYFUNCTION("""COMPUTED_VALUE"""),1751)</f>
        <v>1751</v>
      </c>
      <c r="F21" s="14">
        <f ca="1">IFERROR(__xludf.DUMMYFUNCTION("""COMPUTED_VALUE"""),0.427298686464877)</f>
        <v>0.42729868646487701</v>
      </c>
      <c r="G21" s="12">
        <f ca="1">IFERROR(__xludf.DUMMYFUNCTION("""COMPUTED_VALUE"""),943.7)</f>
        <v>943.7</v>
      </c>
      <c r="H21" s="14">
        <f ca="1">IFERROR(__xludf.DUMMYFUNCTION("""COMPUTED_VALUE"""),0.0626258344812969)</f>
        <v>6.2625834481296896E-2</v>
      </c>
      <c r="I21" s="12">
        <f ca="1">IFERROR(__xludf.DUMMYFUNCTION("""COMPUTED_VALUE"""),1001.55)</f>
        <v>1001.55</v>
      </c>
      <c r="J21" s="14">
        <f ca="1">IFERROR(__xludf.DUMMYFUNCTION("""COMPUTED_VALUE"""),0.00124806549847736)</f>
        <v>1.2480654984773599E-3</v>
      </c>
      <c r="K21" s="12" t="str">
        <f ca="1">IFERROR(__xludf.DUMMYFUNCTION("""COMPUTED_VALUE"""),"IT")</f>
        <v>IT</v>
      </c>
      <c r="L21" s="12" t="str">
        <f ca="1">IFERROR(__xludf.DUMMYFUNCTION("""COMPUTED_VALUE"""),"TECHM")</f>
        <v>TECHM</v>
      </c>
      <c r="M21" s="12" t="str">
        <f ca="1">IFERROR(__xludf.DUMMYFUNCTION("""COMPUTED_VALUE"""),"No")</f>
        <v>No</v>
      </c>
      <c r="N21" s="12" t="str">
        <f ca="1">IFERROR(__xludf.DUMMYFUNCTION("""COMPUTED_VALUE"""),"No")</f>
        <v>No</v>
      </c>
      <c r="O21" s="12" t="str">
        <f ca="1">IFERROR(__xludf.DUMMYFUNCTION("""COMPUTED_VALUE"""),"Good Stock")</f>
        <v>Good Stock</v>
      </c>
      <c r="P21" s="12" t="str">
        <f ca="1">IFERROR(__xludf.DUMMYFUNCTION("""COMPUTED_VALUE"""),"Large Cap")</f>
        <v>Large Cap</v>
      </c>
    </row>
    <row r="22" spans="1:16">
      <c r="A22" s="12" t="str">
        <f ca="1">IFERROR(__xludf.DUMMYFUNCTION("""COMPUTED_VALUE"""),"Dabur")</f>
        <v>Dabur</v>
      </c>
      <c r="B22" s="13">
        <f ca="1">IFERROR(__xludf.DUMMYFUNCTION("""COMPUTED_VALUE"""),96383.9372552)</f>
        <v>96383.937255199999</v>
      </c>
      <c r="C22" s="12">
        <f ca="1">IFERROR(__xludf.DUMMYFUNCTION("""COMPUTED_VALUE"""),544)</f>
        <v>544</v>
      </c>
      <c r="D22" s="12">
        <f ca="1">IFERROR(__xludf.DUMMYFUNCTION("""COMPUTED_VALUE"""),55.79)</f>
        <v>55.79</v>
      </c>
      <c r="E22" s="12">
        <f ca="1">IFERROR(__xludf.DUMMYFUNCTION("""COMPUTED_VALUE"""),610.75)</f>
        <v>610.75</v>
      </c>
      <c r="F22" s="14">
        <f ca="1">IFERROR(__xludf.DUMMYFUNCTION("""COMPUTED_VALUE"""),0.109291854277527)</f>
        <v>0.109291854277527</v>
      </c>
      <c r="G22" s="12">
        <f ca="1">IFERROR(__xludf.DUMMYFUNCTION("""COMPUTED_VALUE"""),482.25)</f>
        <v>482.25</v>
      </c>
      <c r="H22" s="14">
        <f ca="1">IFERROR(__xludf.DUMMYFUNCTION("""COMPUTED_VALUE"""),0.128045619491964)</f>
        <v>0.128045619491964</v>
      </c>
      <c r="I22" s="12">
        <f ca="1">IFERROR(__xludf.DUMMYFUNCTION("""COMPUTED_VALUE"""),544.95)</f>
        <v>544.95000000000005</v>
      </c>
      <c r="J22" s="14">
        <f ca="1">IFERROR(__xludf.DUMMYFUNCTION("""COMPUTED_VALUE"""),-0.00174327919992668)</f>
        <v>-1.74327919992668E-3</v>
      </c>
      <c r="K22" s="12" t="str">
        <f ca="1">IFERROR(__xludf.DUMMYFUNCTION("""COMPUTED_VALUE"""),"FMCG")</f>
        <v>FMCG</v>
      </c>
      <c r="L22" s="12" t="str">
        <f ca="1">IFERROR(__xludf.DUMMYFUNCTION("""COMPUTED_VALUE"""),"DABUR")</f>
        <v>DABUR</v>
      </c>
      <c r="M22" s="12" t="str">
        <f ca="1">IFERROR(__xludf.DUMMYFUNCTION("""COMPUTED_VALUE"""),"No")</f>
        <v>No</v>
      </c>
      <c r="N22" s="12" t="str">
        <f ca="1">IFERROR(__xludf.DUMMYFUNCTION("""COMPUTED_VALUE"""),"No")</f>
        <v>No</v>
      </c>
      <c r="O22" s="12" t="str">
        <f ca="1">IFERROR(__xludf.DUMMYFUNCTION("""COMPUTED_VALUE"""),"Good Stock")</f>
        <v>Good Stock</v>
      </c>
      <c r="P22" s="12" t="str">
        <f ca="1">IFERROR(__xludf.DUMMYFUNCTION("""COMPUTED_VALUE"""),"Large Cap")</f>
        <v>Large Cap</v>
      </c>
    </row>
    <row r="23" spans="1:16">
      <c r="A23" s="12" t="str">
        <f ca="1">IFERROR(__xludf.DUMMYFUNCTION("""COMPUTED_VALUE"""),"Bank of Baroda")</f>
        <v>Bank of Baroda</v>
      </c>
      <c r="B23" s="13">
        <f ca="1">IFERROR(__xludf.DUMMYFUNCTION("""COMPUTED_VALUE"""),95565.8761753)</f>
        <v>95565.8761753</v>
      </c>
      <c r="C23" s="12">
        <f ca="1">IFERROR(__xludf.DUMMYFUNCTION("""COMPUTED_VALUE"""),184.9)</f>
        <v>184.9</v>
      </c>
      <c r="D23" s="12">
        <f ca="1">IFERROR(__xludf.DUMMYFUNCTION("""COMPUTED_VALUE"""),9.72)</f>
        <v>9.7200000000000006</v>
      </c>
      <c r="E23" s="12">
        <f ca="1">IFERROR(__xludf.DUMMYFUNCTION("""COMPUTED_VALUE"""),197.2)</f>
        <v>197.2</v>
      </c>
      <c r="F23" s="14">
        <f ca="1">IFERROR(__xludf.DUMMYFUNCTION("""COMPUTED_VALUE"""),0.0623732251521297)</f>
        <v>6.2373225152129702E-2</v>
      </c>
      <c r="G23" s="12">
        <f ca="1">IFERROR(__xludf.DUMMYFUNCTION("""COMPUTED_VALUE"""),89.9)</f>
        <v>89.9</v>
      </c>
      <c r="H23" s="14">
        <f ca="1">IFERROR(__xludf.DUMMYFUNCTION("""COMPUTED_VALUE"""),1.05672969966629)</f>
        <v>1.05672969966629</v>
      </c>
      <c r="I23" s="12">
        <f ca="1">IFERROR(__xludf.DUMMYFUNCTION("""COMPUTED_VALUE"""),181.8)</f>
        <v>181.8</v>
      </c>
      <c r="J23" s="14">
        <f ca="1">IFERROR(__xludf.DUMMYFUNCTION("""COMPUTED_VALUE"""),0.017051705170517)</f>
        <v>1.7051705170517E-2</v>
      </c>
      <c r="K23" s="12" t="str">
        <f ca="1">IFERROR(__xludf.DUMMYFUNCTION("""COMPUTED_VALUE"""),"Bank")</f>
        <v>Bank</v>
      </c>
      <c r="L23" s="12" t="str">
        <f ca="1">IFERROR(__xludf.DUMMYFUNCTION("""COMPUTED_VALUE"""),"BOM:532134")</f>
        <v>BOM:532134</v>
      </c>
      <c r="M23" s="12" t="str">
        <f ca="1">IFERROR(__xludf.DUMMYFUNCTION("""COMPUTED_VALUE"""),"No")</f>
        <v>No</v>
      </c>
      <c r="N23" s="12" t="str">
        <f ca="1">IFERROR(__xludf.DUMMYFUNCTION("""COMPUTED_VALUE"""),"No")</f>
        <v>No</v>
      </c>
      <c r="O23" s="12" t="str">
        <f ca="1">IFERROR(__xludf.DUMMYFUNCTION("""COMPUTED_VALUE"""),"Good Stock")</f>
        <v>Good Stock</v>
      </c>
      <c r="P23" s="12" t="str">
        <f ca="1">IFERROR(__xludf.DUMMYFUNCTION("""COMPUTED_VALUE"""),"Large Cap")</f>
        <v>Large Cap</v>
      </c>
    </row>
    <row r="24" spans="1:16">
      <c r="A24" s="12" t="str">
        <f ca="1">IFERROR(__xludf.DUMMYFUNCTION("""COMPUTED_VALUE"""),"Godrej Consumer")</f>
        <v>Godrej Consumer</v>
      </c>
      <c r="B24" s="13">
        <f ca="1">IFERROR(__xludf.DUMMYFUNCTION("""COMPUTED_VALUE"""),93678.862)</f>
        <v>93678.861999999994</v>
      </c>
      <c r="C24" s="12">
        <f ca="1">IFERROR(__xludf.DUMMYFUNCTION("""COMPUTED_VALUE"""),916.75)</f>
        <v>916.75</v>
      </c>
      <c r="D24" s="12">
        <f ca="1">IFERROR(__xludf.DUMMYFUNCTION("""COMPUTED_VALUE"""),58.81)</f>
        <v>58.81</v>
      </c>
      <c r="E24" s="12">
        <f ca="1">IFERROR(__xludf.DUMMYFUNCTION("""COMPUTED_VALUE"""),955.65)</f>
        <v>955.65</v>
      </c>
      <c r="F24" s="14">
        <f ca="1">IFERROR(__xludf.DUMMYFUNCTION("""COMPUTED_VALUE"""),0.0407052791293883)</f>
        <v>4.0705279129388303E-2</v>
      </c>
      <c r="G24" s="12">
        <f ca="1">IFERROR(__xludf.DUMMYFUNCTION("""COMPUTED_VALUE"""),660.2)</f>
        <v>660.2</v>
      </c>
      <c r="H24" s="14">
        <f ca="1">IFERROR(__xludf.DUMMYFUNCTION("""COMPUTED_VALUE"""),0.388594365343835)</f>
        <v>0.38859436534383501</v>
      </c>
      <c r="I24" s="12">
        <f ca="1">IFERROR(__xludf.DUMMYFUNCTION("""COMPUTED_VALUE"""),914.9)</f>
        <v>914.9</v>
      </c>
      <c r="J24" s="14">
        <f ca="1">IFERROR(__xludf.DUMMYFUNCTION("""COMPUTED_VALUE"""),0.00202207891572852)</f>
        <v>2.02207891572852E-3</v>
      </c>
      <c r="K24" s="12" t="str">
        <f ca="1">IFERROR(__xludf.DUMMYFUNCTION("""COMPUTED_VALUE"""),"FMCG")</f>
        <v>FMCG</v>
      </c>
      <c r="L24" s="12" t="str">
        <f ca="1">IFERROR(__xludf.DUMMYFUNCTION("""COMPUTED_VALUE"""),"BOM:532424")</f>
        <v>BOM:532424</v>
      </c>
      <c r="M24" s="12" t="str">
        <f ca="1">IFERROR(__xludf.DUMMYFUNCTION("""COMPUTED_VALUE"""),"No")</f>
        <v>No</v>
      </c>
      <c r="N24" s="12" t="str">
        <f ca="1">IFERROR(__xludf.DUMMYFUNCTION("""COMPUTED_VALUE"""),"No")</f>
        <v>No</v>
      </c>
      <c r="O24" s="12" t="str">
        <f ca="1">IFERROR(__xludf.DUMMYFUNCTION("""COMPUTED_VALUE"""),"Good Stock")</f>
        <v>Good Stock</v>
      </c>
      <c r="P24" s="12" t="str">
        <f ca="1">IFERROR(__xludf.DUMMYFUNCTION("""COMPUTED_VALUE"""),"Large Cap")</f>
        <v>Large Cap</v>
      </c>
    </row>
    <row r="25" spans="1:16">
      <c r="A25" s="12" t="str">
        <f ca="1">IFERROR(__xludf.DUMMYFUNCTION("""COMPUTED_VALUE"""),"Divi's Lab")</f>
        <v>Divi's Lab</v>
      </c>
      <c r="B25" s="13">
        <f ca="1">IFERROR(__xludf.DUMMYFUNCTION("""COMPUTED_VALUE"""),88977.11)</f>
        <v>88977.11</v>
      </c>
      <c r="C25" s="12">
        <f ca="1">IFERROR(__xludf.DUMMYFUNCTION("""COMPUTED_VALUE"""),3352.15)</f>
        <v>3352.15</v>
      </c>
      <c r="D25" s="12">
        <f ca="1">IFERROR(__xludf.DUMMYFUNCTION("""COMPUTED_VALUE"""),29.74)</f>
        <v>29.74</v>
      </c>
      <c r="E25" s="12">
        <f ca="1">IFERROR(__xludf.DUMMYFUNCTION("""COMPUTED_VALUE"""),4668)</f>
        <v>4668</v>
      </c>
      <c r="F25" s="14">
        <f ca="1">IFERROR(__xludf.DUMMYFUNCTION("""COMPUTED_VALUE"""),0.281887317909168)</f>
        <v>0.28188731790916799</v>
      </c>
      <c r="G25" s="12">
        <f ca="1">IFERROR(__xludf.DUMMYFUNCTION("""COMPUTED_VALUE"""),3195.15)</f>
        <v>3195.15</v>
      </c>
      <c r="H25" s="14">
        <f ca="1">IFERROR(__xludf.DUMMYFUNCTION("""COMPUTED_VALUE"""),0.0491369732250442)</f>
        <v>4.9136973225044199E-2</v>
      </c>
      <c r="I25" s="12">
        <f ca="1">IFERROR(__xludf.DUMMYFUNCTION("""COMPUTED_VALUE"""),3305.3)</f>
        <v>3305.3</v>
      </c>
      <c r="J25" s="14">
        <f ca="1">IFERROR(__xludf.DUMMYFUNCTION("""COMPUTED_VALUE"""),0.0141742050645932)</f>
        <v>1.4174205064593199E-2</v>
      </c>
      <c r="K25" s="12" t="str">
        <f ca="1">IFERROR(__xludf.DUMMYFUNCTION("""COMPUTED_VALUE"""),"Pharma")</f>
        <v>Pharma</v>
      </c>
      <c r="L25" s="12" t="str">
        <f ca="1">IFERROR(__xludf.DUMMYFUNCTION("""COMPUTED_VALUE"""),"DIVISLAB")</f>
        <v>DIVISLAB</v>
      </c>
      <c r="M25" s="12" t="str">
        <f ca="1">IFERROR(__xludf.DUMMYFUNCTION("""COMPUTED_VALUE"""),"No")</f>
        <v>No</v>
      </c>
      <c r="N25" s="12" t="str">
        <f ca="1">IFERROR(__xludf.DUMMYFUNCTION("""COMPUTED_VALUE"""),"No")</f>
        <v>No</v>
      </c>
      <c r="O25" s="12" t="str">
        <f ca="1">IFERROR(__xludf.DUMMYFUNCTION("""COMPUTED_VALUE"""),"Good Stock")</f>
        <v>Good Stock</v>
      </c>
      <c r="P25" s="12" t="str">
        <f ca="1">IFERROR(__xludf.DUMMYFUNCTION("""COMPUTED_VALUE"""),"Large Cap")</f>
        <v>Large Cap</v>
      </c>
    </row>
    <row r="26" spans="1:16">
      <c r="A26" s="12" t="str">
        <f ca="1">IFERROR(__xludf.DUMMYFUNCTION("""COMPUTED_VALUE"""),"Shree Cement")</f>
        <v>Shree Cement</v>
      </c>
      <c r="B26" s="13">
        <f ca="1">IFERROR(__xludf.DUMMYFUNCTION("""COMPUTED_VALUE"""),87098.03)</f>
        <v>87098.03</v>
      </c>
      <c r="C26" s="12">
        <f ca="1">IFERROR(__xludf.DUMMYFUNCTION("""COMPUTED_VALUE"""),24025)</f>
        <v>24025</v>
      </c>
      <c r="D26" s="12">
        <f ca="1">IFERROR(__xludf.DUMMYFUNCTION("""COMPUTED_VALUE"""),54.11)</f>
        <v>54.11</v>
      </c>
      <c r="E26" s="12">
        <f ca="1">IFERROR(__xludf.DUMMYFUNCTION("""COMPUTED_VALUE"""),27936.75)</f>
        <v>27936.75</v>
      </c>
      <c r="F26" s="14">
        <f ca="1">IFERROR(__xludf.DUMMYFUNCTION("""COMPUTED_VALUE"""),0.140021656062355)</f>
        <v>0.140021656062355</v>
      </c>
      <c r="G26" s="12">
        <f ca="1">IFERROR(__xludf.DUMMYFUNCTION("""COMPUTED_VALUE"""),17865.2)</f>
        <v>17865.2</v>
      </c>
      <c r="H26" s="14">
        <f ca="1">IFERROR(__xludf.DUMMYFUNCTION("""COMPUTED_VALUE"""),0.344793229294942)</f>
        <v>0.34479322929494199</v>
      </c>
      <c r="I26" s="12">
        <f ca="1">IFERROR(__xludf.DUMMYFUNCTION("""COMPUTED_VALUE"""),23854.85)</f>
        <v>23854.85</v>
      </c>
      <c r="J26" s="14">
        <f ca="1">IFERROR(__xludf.DUMMYFUNCTION("""COMPUTED_VALUE"""),0.00713272143819816)</f>
        <v>7.1327214381981599E-3</v>
      </c>
      <c r="K26" s="12" t="str">
        <f ca="1">IFERROR(__xludf.DUMMYFUNCTION("""COMPUTED_VALUE"""),"Cement")</f>
        <v>Cement</v>
      </c>
      <c r="L26" s="12" t="str">
        <f ca="1">IFERROR(__xludf.DUMMYFUNCTION("""COMPUTED_VALUE"""),"SHREECEM")</f>
        <v>SHREECEM</v>
      </c>
      <c r="M26" s="12" t="str">
        <f ca="1">IFERROR(__xludf.DUMMYFUNCTION("""COMPUTED_VALUE"""),"No")</f>
        <v>No</v>
      </c>
      <c r="N26" s="12" t="str">
        <f ca="1">IFERROR(__xludf.DUMMYFUNCTION("""COMPUTED_VALUE"""),"No")</f>
        <v>No</v>
      </c>
      <c r="O26" s="12" t="str">
        <f ca="1">IFERROR(__xludf.DUMMYFUNCTION("""COMPUTED_VALUE"""),"Good Stock")</f>
        <v>Good Stock</v>
      </c>
      <c r="P26" s="12" t="str">
        <f ca="1">IFERROR(__xludf.DUMMYFUNCTION("""COMPUTED_VALUE"""),"Large Cap")</f>
        <v>Large Cap</v>
      </c>
    </row>
    <row r="27" spans="1:16">
      <c r="A27" s="12" t="str">
        <f ca="1">IFERROR(__xludf.DUMMYFUNCTION("""COMPUTED_VALUE"""),"Eicher Motor")</f>
        <v>Eicher Motor</v>
      </c>
      <c r="B27" s="13">
        <f ca="1">IFERROR(__xludf.DUMMYFUNCTION("""COMPUTED_VALUE"""),86543.2296232)</f>
        <v>86543.229623199994</v>
      </c>
      <c r="C27" s="12">
        <f ca="1">IFERROR(__xludf.DUMMYFUNCTION("""COMPUTED_VALUE"""),3164.9)</f>
        <v>3164.9</v>
      </c>
      <c r="D27" s="12">
        <f ca="1">IFERROR(__xludf.DUMMYFUNCTION("""COMPUTED_VALUE"""),37.12)</f>
        <v>37.119999999999997</v>
      </c>
      <c r="E27" s="12">
        <f ca="1">IFERROR(__xludf.DUMMYFUNCTION("""COMPUTED_VALUE"""),3889.65)</f>
        <v>3889.65</v>
      </c>
      <c r="F27" s="14">
        <f ca="1">IFERROR(__xludf.DUMMYFUNCTION("""COMPUTED_VALUE"""),0.18632781869834)</f>
        <v>0.18632781869834</v>
      </c>
      <c r="G27" s="12">
        <f ca="1">IFERROR(__xludf.DUMMYFUNCTION("""COMPUTED_VALUE"""),2159.55)</f>
        <v>2159.5500000000002</v>
      </c>
      <c r="H27" s="14">
        <f ca="1">IFERROR(__xludf.DUMMYFUNCTION("""COMPUTED_VALUE"""),0.465536801648491)</f>
        <v>0.46553680164849098</v>
      </c>
      <c r="I27" s="12">
        <f ca="1">IFERROR(__xludf.DUMMYFUNCTION("""COMPUTED_VALUE"""),3103.25)</f>
        <v>3103.25</v>
      </c>
      <c r="J27" s="14">
        <f ca="1">IFERROR(__xludf.DUMMYFUNCTION("""COMPUTED_VALUE"""),0.0198662692338677)</f>
        <v>1.9866269233867698E-2</v>
      </c>
      <c r="K27" s="12" t="str">
        <f ca="1">IFERROR(__xludf.DUMMYFUNCTION("""COMPUTED_VALUE"""),"Automobile")</f>
        <v>Automobile</v>
      </c>
      <c r="L27" s="12" t="str">
        <f ca="1">IFERROR(__xludf.DUMMYFUNCTION("""COMPUTED_VALUE"""),"EICHERMOT")</f>
        <v>EICHERMOT</v>
      </c>
      <c r="M27" s="12" t="str">
        <f ca="1">IFERROR(__xludf.DUMMYFUNCTION("""COMPUTED_VALUE"""),"No")</f>
        <v>No</v>
      </c>
      <c r="N27" s="12" t="str">
        <f ca="1">IFERROR(__xludf.DUMMYFUNCTION("""COMPUTED_VALUE"""),"No")</f>
        <v>No</v>
      </c>
      <c r="O27" s="12" t="str">
        <f ca="1">IFERROR(__xludf.DUMMYFUNCTION("""COMPUTED_VALUE"""),"Good Stock")</f>
        <v>Good Stock</v>
      </c>
      <c r="P27" s="12" t="str">
        <f ca="1">IFERROR(__xludf.DUMMYFUNCTION("""COMPUTED_VALUE"""),"Large Cap")</f>
        <v>Large Cap</v>
      </c>
    </row>
    <row r="28" spans="1:16">
      <c r="A28" s="12" t="str">
        <f ca="1">IFERROR(__xludf.DUMMYFUNCTION("""COMPUTED_VALUE"""),"Cipla")</f>
        <v>Cipla</v>
      </c>
      <c r="B28" s="13">
        <f ca="1">IFERROR(__xludf.DUMMYFUNCTION("""COMPUTED_VALUE"""),86182.29)</f>
        <v>86182.29</v>
      </c>
      <c r="C28" s="12">
        <f ca="1">IFERROR(__xludf.DUMMYFUNCTION("""COMPUTED_VALUE"""),1068.85)</f>
        <v>1068.8499999999999</v>
      </c>
      <c r="D28" s="12">
        <f ca="1">IFERROR(__xludf.DUMMYFUNCTION("""COMPUTED_VALUE"""),33.64)</f>
        <v>33.64</v>
      </c>
      <c r="E28" s="12">
        <f ca="1">IFERROR(__xludf.DUMMYFUNCTION("""COMPUTED_VALUE"""),1185.25)</f>
        <v>1185.25</v>
      </c>
      <c r="F28" s="14">
        <f ca="1">IFERROR(__xludf.DUMMYFUNCTION("""COMPUTED_VALUE"""),0.0982071292976166)</f>
        <v>9.8207129297616602E-2</v>
      </c>
      <c r="G28" s="12">
        <f ca="1">IFERROR(__xludf.DUMMYFUNCTION("""COMPUTED_VALUE"""),860)</f>
        <v>860</v>
      </c>
      <c r="H28" s="14">
        <f ca="1">IFERROR(__xludf.DUMMYFUNCTION("""COMPUTED_VALUE"""),0.242848837209302)</f>
        <v>0.242848837209302</v>
      </c>
      <c r="I28" s="12">
        <f ca="1">IFERROR(__xludf.DUMMYFUNCTION("""COMPUTED_VALUE"""),1061.15)</f>
        <v>1061.1500000000001</v>
      </c>
      <c r="J28" s="14">
        <f ca="1">IFERROR(__xludf.DUMMYFUNCTION("""COMPUTED_VALUE"""),0.00725627856570684)</f>
        <v>7.2562785657068404E-3</v>
      </c>
      <c r="K28" s="12" t="str">
        <f ca="1">IFERROR(__xludf.DUMMYFUNCTION("""COMPUTED_VALUE"""),"Pharma")</f>
        <v>Pharma</v>
      </c>
      <c r="L28" s="12" t="str">
        <f ca="1">IFERROR(__xludf.DUMMYFUNCTION("""COMPUTED_VALUE"""),"CIPLA")</f>
        <v>CIPLA</v>
      </c>
      <c r="M28" s="12" t="str">
        <f ca="1">IFERROR(__xludf.DUMMYFUNCTION("""COMPUTED_VALUE"""),"No")</f>
        <v>No</v>
      </c>
      <c r="N28" s="12" t="str">
        <f ca="1">IFERROR(__xludf.DUMMYFUNCTION("""COMPUTED_VALUE"""),"No")</f>
        <v>No</v>
      </c>
      <c r="O28" s="12" t="str">
        <f ca="1">IFERROR(__xludf.DUMMYFUNCTION("""COMPUTED_VALUE"""),"Good Stock")</f>
        <v>Good Stock</v>
      </c>
      <c r="P28" s="12" t="str">
        <f ca="1">IFERROR(__xludf.DUMMYFUNCTION("""COMPUTED_VALUE"""),"Large Cap")</f>
        <v>Large Cap</v>
      </c>
    </row>
    <row r="29" spans="1:16">
      <c r="A29" s="12" t="str">
        <f ca="1">IFERROR(__xludf.DUMMYFUNCTION("""COMPUTED_VALUE"""),"SBI Cards")</f>
        <v>SBI Cards</v>
      </c>
      <c r="B29" s="13">
        <f ca="1">IFERROR(__xludf.DUMMYFUNCTION("""COMPUTED_VALUE"""),74336.7630665)</f>
        <v>74336.763066500003</v>
      </c>
      <c r="C29" s="12">
        <f ca="1">IFERROR(__xludf.DUMMYFUNCTION("""COMPUTED_VALUE"""),786.05)</f>
        <v>786.05</v>
      </c>
      <c r="D29" s="12">
        <f ca="1">IFERROR(__xludf.DUMMYFUNCTION("""COMPUTED_VALUE"""),35.28)</f>
        <v>35.28</v>
      </c>
      <c r="E29" s="12">
        <f ca="1">IFERROR(__xludf.DUMMYFUNCTION("""COMPUTED_VALUE"""),1028.65)</f>
        <v>1028.6500000000001</v>
      </c>
      <c r="F29" s="14">
        <f ca="1">IFERROR(__xludf.DUMMYFUNCTION("""COMPUTED_VALUE"""),0.235843095319107)</f>
        <v>0.23584309531910699</v>
      </c>
      <c r="G29" s="12">
        <f ca="1">IFERROR(__xludf.DUMMYFUNCTION("""COMPUTED_VALUE"""),655.7)</f>
        <v>655.7</v>
      </c>
      <c r="H29" s="14">
        <f ca="1">IFERROR(__xludf.DUMMYFUNCTION("""COMPUTED_VALUE"""),0.198795180722891)</f>
        <v>0.19879518072289101</v>
      </c>
      <c r="I29" s="12">
        <f ca="1">IFERROR(__xludf.DUMMYFUNCTION("""COMPUTED_VALUE"""),780.25)</f>
        <v>780.25</v>
      </c>
      <c r="J29" s="14">
        <f ca="1">IFERROR(__xludf.DUMMYFUNCTION("""COMPUTED_VALUE"""),0.00743351489907075)</f>
        <v>7.4335148990707497E-3</v>
      </c>
      <c r="K29" s="12" t="str">
        <f ca="1">IFERROR(__xludf.DUMMYFUNCTION("""COMPUTED_VALUE"""),"Financial Servcies")</f>
        <v>Financial Servcies</v>
      </c>
      <c r="L29" s="12" t="str">
        <f ca="1">IFERROR(__xludf.DUMMYFUNCTION("""COMPUTED_VALUE"""),"SBICARD")</f>
        <v>SBICARD</v>
      </c>
      <c r="M29" s="12" t="str">
        <f ca="1">IFERROR(__xludf.DUMMYFUNCTION("""COMPUTED_VALUE"""),"No")</f>
        <v>No</v>
      </c>
      <c r="N29" s="12" t="str">
        <f ca="1">IFERROR(__xludf.DUMMYFUNCTION("""COMPUTED_VALUE"""),"No")</f>
        <v>No</v>
      </c>
      <c r="O29" s="12" t="str">
        <f ca="1">IFERROR(__xludf.DUMMYFUNCTION("""COMPUTED_VALUE"""),"Good Stock")</f>
        <v>Good Stock</v>
      </c>
      <c r="P29" s="12" t="str">
        <f ca="1">IFERROR(__xludf.DUMMYFUNCTION("""COMPUTED_VALUE"""),"Large Cap")</f>
        <v>Large Cap</v>
      </c>
    </row>
    <row r="30" spans="1:16">
      <c r="A30" s="12" t="str">
        <f ca="1">IFERROR(__xludf.DUMMYFUNCTION("""COMPUTED_VALUE"""),"Varun Beverage")</f>
        <v>Varun Beverage</v>
      </c>
      <c r="B30" s="13">
        <f ca="1">IFERROR(__xludf.DUMMYFUNCTION("""COMPUTED_VALUE"""),73698.477067)</f>
        <v>73698.477067</v>
      </c>
      <c r="C30" s="12">
        <f ca="1">IFERROR(__xludf.DUMMYFUNCTION("""COMPUTED_VALUE"""),1134.8)</f>
        <v>1134.8</v>
      </c>
      <c r="D30" s="12">
        <f ca="1">IFERROR(__xludf.DUMMYFUNCTION("""COMPUTED_VALUE"""),51.22)</f>
        <v>51.22</v>
      </c>
      <c r="E30" s="12">
        <f ca="1">IFERROR(__xludf.DUMMYFUNCTION("""COMPUTED_VALUE"""),1432.05)</f>
        <v>1432.05</v>
      </c>
      <c r="F30" s="14">
        <f ca="1">IFERROR(__xludf.DUMMYFUNCTION("""COMPUTED_VALUE"""),0.207569568101672)</f>
        <v>0.20756956810167199</v>
      </c>
      <c r="G30" s="12">
        <f ca="1">IFERROR(__xludf.DUMMYFUNCTION("""COMPUTED_VALUE"""),557.23)</f>
        <v>557.23</v>
      </c>
      <c r="H30" s="14">
        <f ca="1">IFERROR(__xludf.DUMMYFUNCTION("""COMPUTED_VALUE"""),1.03650198302316)</f>
        <v>1.0365019830231601</v>
      </c>
      <c r="I30" s="12">
        <f ca="1">IFERROR(__xludf.DUMMYFUNCTION("""COMPUTED_VALUE"""),1187.3)</f>
        <v>1187.3</v>
      </c>
      <c r="J30" s="14">
        <f ca="1">IFERROR(__xludf.DUMMYFUNCTION("""COMPUTED_VALUE"""),-0.0442179735534405)</f>
        <v>-4.4217973553440502E-2</v>
      </c>
      <c r="K30" s="12" t="str">
        <f ca="1">IFERROR(__xludf.DUMMYFUNCTION("""COMPUTED_VALUE"""),"Food")</f>
        <v>Food</v>
      </c>
      <c r="L30" s="12" t="str">
        <f ca="1">IFERROR(__xludf.DUMMYFUNCTION("""COMPUTED_VALUE"""),"BOM:540180")</f>
        <v>BOM:540180</v>
      </c>
      <c r="M30" s="12" t="str">
        <f ca="1">IFERROR(__xludf.DUMMYFUNCTION("""COMPUTED_VALUE"""),"No")</f>
        <v>No</v>
      </c>
      <c r="N30" s="12" t="str">
        <f ca="1">IFERROR(__xludf.DUMMYFUNCTION("""COMPUTED_VALUE"""),"No")</f>
        <v>No</v>
      </c>
      <c r="O30" s="12" t="str">
        <f ca="1">IFERROR(__xludf.DUMMYFUNCTION("""COMPUTED_VALUE"""),"Good Stock")</f>
        <v>Good Stock</v>
      </c>
      <c r="P30" s="12" t="str">
        <f ca="1">IFERROR(__xludf.DUMMYFUNCTION("""COMPUTED_VALUE"""),"Large Cap")</f>
        <v>Large Cap</v>
      </c>
    </row>
    <row r="31" spans="1:16">
      <c r="A31" s="12" t="str">
        <f ca="1">IFERROR(__xludf.DUMMYFUNCTION("""COMPUTED_VALUE"""),"Tata Power")</f>
        <v>Tata Power</v>
      </c>
      <c r="B31" s="13">
        <f ca="1">IFERROR(__xludf.DUMMYFUNCTION("""COMPUTED_VALUE"""),66015.7769553)</f>
        <v>66015.776955299996</v>
      </c>
      <c r="C31" s="12">
        <f ca="1">IFERROR(__xludf.DUMMYFUNCTION("""COMPUTED_VALUE"""),206.55)</f>
        <v>206.55</v>
      </c>
      <c r="D31" s="12">
        <f ca="1">IFERROR(__xludf.DUMMYFUNCTION("""COMPUTED_VALUE"""),25.89)</f>
        <v>25.89</v>
      </c>
      <c r="E31" s="12">
        <f ca="1">IFERROR(__xludf.DUMMYFUNCTION("""COMPUTED_VALUE"""),298)</f>
        <v>298</v>
      </c>
      <c r="F31" s="14">
        <f ca="1">IFERROR(__xludf.DUMMYFUNCTION("""COMPUTED_VALUE"""),0.306879194630872)</f>
        <v>0.30687919463087199</v>
      </c>
      <c r="G31" s="12">
        <f ca="1">IFERROR(__xludf.DUMMYFUNCTION("""COMPUTED_VALUE"""),190)</f>
        <v>190</v>
      </c>
      <c r="H31" s="14">
        <f ca="1">IFERROR(__xludf.DUMMYFUNCTION("""COMPUTED_VALUE"""),0.0871052631578948)</f>
        <v>8.7105263157894797E-2</v>
      </c>
      <c r="I31" s="12">
        <f ca="1">IFERROR(__xludf.DUMMYFUNCTION("""COMPUTED_VALUE"""),205.65)</f>
        <v>205.65</v>
      </c>
      <c r="J31" s="14">
        <f ca="1">IFERROR(__xludf.DUMMYFUNCTION("""COMPUTED_VALUE"""),0.00437636761487967)</f>
        <v>4.3763676148796697E-3</v>
      </c>
      <c r="K31" s="12" t="str">
        <f ca="1">IFERROR(__xludf.DUMMYFUNCTION("""COMPUTED_VALUE"""),"Infrastructure")</f>
        <v>Infrastructure</v>
      </c>
      <c r="L31" s="12" t="str">
        <f ca="1">IFERROR(__xludf.DUMMYFUNCTION("""COMPUTED_VALUE"""),"BOM:500400")</f>
        <v>BOM:500400</v>
      </c>
      <c r="M31" s="12" t="str">
        <f ca="1">IFERROR(__xludf.DUMMYFUNCTION("""COMPUTED_VALUE"""),"No")</f>
        <v>No</v>
      </c>
      <c r="N31" s="12" t="str">
        <f ca="1">IFERROR(__xludf.DUMMYFUNCTION("""COMPUTED_VALUE"""),"No")</f>
        <v>No</v>
      </c>
      <c r="O31" s="12" t="str">
        <f ca="1">IFERROR(__xludf.DUMMYFUNCTION("""COMPUTED_VALUE"""),"Good Stock")</f>
        <v>Good Stock</v>
      </c>
      <c r="P31" s="12" t="str">
        <f ca="1">IFERROR(__xludf.DUMMYFUNCTION("""COMPUTED_VALUE"""),"Large Cap")</f>
        <v>Large Cap</v>
      </c>
    </row>
    <row r="32" spans="1:16">
      <c r="A32" s="12" t="str">
        <f ca="1">IFERROR(__xludf.DUMMYFUNCTION("""COMPUTED_VALUE"""),"Marico")</f>
        <v>Marico</v>
      </c>
      <c r="B32" s="13">
        <f ca="1">IFERROR(__xludf.DUMMYFUNCTION("""COMPUTED_VALUE"""),64133.35)</f>
        <v>64133.35</v>
      </c>
      <c r="C32" s="12">
        <f ca="1">IFERROR(__xludf.DUMMYFUNCTION("""COMPUTED_VALUE"""),497.5)</f>
        <v>497.5</v>
      </c>
      <c r="D32" s="12">
        <f ca="1">IFERROR(__xludf.DUMMYFUNCTION("""COMPUTED_VALUE"""),52.21)</f>
        <v>52.21</v>
      </c>
      <c r="E32" s="12">
        <f ca="1">IFERROR(__xludf.DUMMYFUNCTION("""COMPUTED_VALUE"""),554.35)</f>
        <v>554.35</v>
      </c>
      <c r="F32" s="14">
        <f ca="1">IFERROR(__xludf.DUMMYFUNCTION("""COMPUTED_VALUE"""),0.10255253900965)</f>
        <v>0.10255253900965</v>
      </c>
      <c r="G32" s="12">
        <f ca="1">IFERROR(__xludf.DUMMYFUNCTION("""COMPUTED_VALUE"""),455.65)</f>
        <v>455.65</v>
      </c>
      <c r="H32" s="14">
        <f ca="1">IFERROR(__xludf.DUMMYFUNCTION("""COMPUTED_VALUE"""),0.0918468122462417)</f>
        <v>9.1846812246241694E-2</v>
      </c>
      <c r="I32" s="12">
        <f ca="1">IFERROR(__xludf.DUMMYFUNCTION("""COMPUTED_VALUE"""),501.6)</f>
        <v>501.6</v>
      </c>
      <c r="J32" s="14">
        <f ca="1">IFERROR(__xludf.DUMMYFUNCTION("""COMPUTED_VALUE"""),-0.00817384370015953)</f>
        <v>-8.1738437001595294E-3</v>
      </c>
      <c r="K32" s="12" t="str">
        <f ca="1">IFERROR(__xludf.DUMMYFUNCTION("""COMPUTED_VALUE"""),"FMCG")</f>
        <v>FMCG</v>
      </c>
      <c r="L32" s="12" t="str">
        <f ca="1">IFERROR(__xludf.DUMMYFUNCTION("""COMPUTED_VALUE"""),"MARICO")</f>
        <v>MARICO</v>
      </c>
      <c r="M32" s="12" t="str">
        <f ca="1">IFERROR(__xludf.DUMMYFUNCTION("""COMPUTED_VALUE"""),"No")</f>
        <v>No</v>
      </c>
      <c r="N32" s="12" t="str">
        <f ca="1">IFERROR(__xludf.DUMMYFUNCTION("""COMPUTED_VALUE"""),"No")</f>
        <v>No</v>
      </c>
      <c r="O32" s="12" t="str">
        <f ca="1">IFERROR(__xludf.DUMMYFUNCTION("""COMPUTED_VALUE"""),"Good Stock")</f>
        <v>Good Stock</v>
      </c>
      <c r="P32" s="12" t="str">
        <f ca="1">IFERROR(__xludf.DUMMYFUNCTION("""COMPUTED_VALUE"""),"Large Cap")</f>
        <v>Large Cap</v>
      </c>
    </row>
    <row r="33" spans="1:16">
      <c r="A33" s="12" t="str">
        <f ca="1">IFERROR(__xludf.DUMMYFUNCTION("""COMPUTED_VALUE"""),"United Spirits")</f>
        <v>United Spirits</v>
      </c>
      <c r="B33" s="13">
        <f ca="1">IFERROR(__xludf.DUMMYFUNCTION("""COMPUTED_VALUE"""),61484.38668)</f>
        <v>61484.386680000003</v>
      </c>
      <c r="C33" s="12">
        <f ca="1">IFERROR(__xludf.DUMMYFUNCTION("""COMPUTED_VALUE"""),846.75)</f>
        <v>846.75</v>
      </c>
      <c r="D33" s="12">
        <f ca="1">IFERROR(__xludf.DUMMYFUNCTION("""COMPUTED_VALUE"""),46.19)</f>
        <v>46.19</v>
      </c>
      <c r="E33" s="12">
        <f ca="1">IFERROR(__xludf.DUMMYFUNCTION("""COMPUTED_VALUE"""),958)</f>
        <v>958</v>
      </c>
      <c r="F33" s="14">
        <f ca="1">IFERROR(__xludf.DUMMYFUNCTION("""COMPUTED_VALUE"""),0.116127348643006)</f>
        <v>0.116127348643006</v>
      </c>
      <c r="G33" s="12">
        <f ca="1">IFERROR(__xludf.DUMMYFUNCTION("""COMPUTED_VALUE"""),712)</f>
        <v>712</v>
      </c>
      <c r="H33" s="14">
        <f ca="1">IFERROR(__xludf.DUMMYFUNCTION("""COMPUTED_VALUE"""),0.189255617977528)</f>
        <v>0.18925561797752799</v>
      </c>
      <c r="I33" s="12">
        <f ca="1">IFERROR(__xludf.DUMMYFUNCTION("""COMPUTED_VALUE"""),857.75)</f>
        <v>857.75</v>
      </c>
      <c r="J33" s="14">
        <f ca="1">IFERROR(__xludf.DUMMYFUNCTION("""COMPUTED_VALUE"""),-0.0128242494899446)</f>
        <v>-1.28242494899446E-2</v>
      </c>
      <c r="K33" s="12" t="str">
        <f ca="1">IFERROR(__xludf.DUMMYFUNCTION("""COMPUTED_VALUE"""),"Spirits")</f>
        <v>Spirits</v>
      </c>
      <c r="L33" s="12" t="str">
        <f ca="1">IFERROR(__xludf.DUMMYFUNCTION("""COMPUTED_VALUE"""),"MCDOWELL-N")</f>
        <v>MCDOWELL-N</v>
      </c>
      <c r="M33" s="12" t="str">
        <f ca="1">IFERROR(__xludf.DUMMYFUNCTION("""COMPUTED_VALUE"""),"No")</f>
        <v>No</v>
      </c>
      <c r="N33" s="12" t="str">
        <f ca="1">IFERROR(__xludf.DUMMYFUNCTION("""COMPUTED_VALUE"""),"No")</f>
        <v>No</v>
      </c>
      <c r="O33" s="12" t="str">
        <f ca="1">IFERROR(__xludf.DUMMYFUNCTION("""COMPUTED_VALUE"""),"Good Stock")</f>
        <v>Good Stock</v>
      </c>
      <c r="P33" s="12" t="str">
        <f ca="1">IFERROR(__xludf.DUMMYFUNCTION("""COMPUTED_VALUE"""),"Large Cap")</f>
        <v>Large Cap</v>
      </c>
    </row>
    <row r="34" spans="1:16">
      <c r="A34" s="12" t="str">
        <f ca="1">IFERROR(__xludf.DUMMYFUNCTION("""COMPUTED_VALUE"""),"Yesbank")</f>
        <v>Yesbank</v>
      </c>
      <c r="B34" s="13">
        <f ca="1">IFERROR(__xludf.DUMMYFUNCTION("""COMPUTED_VALUE"""),57937.9387031)</f>
        <v>57937.938703100001</v>
      </c>
      <c r="C34" s="12">
        <f ca="1">IFERROR(__xludf.DUMMYFUNCTION("""COMPUTED_VALUE"""),20.15)</f>
        <v>20.149999999999999</v>
      </c>
      <c r="D34" s="12">
        <f ca="1">IFERROR(__xludf.DUMMYFUNCTION("""COMPUTED_VALUE"""),45.52)</f>
        <v>45.52</v>
      </c>
      <c r="E34" s="12">
        <f ca="1">IFERROR(__xludf.DUMMYFUNCTION("""COMPUTED_VALUE"""),24.75)</f>
        <v>24.75</v>
      </c>
      <c r="F34" s="14">
        <f ca="1">IFERROR(__xludf.DUMMYFUNCTION("""COMPUTED_VALUE"""),0.185858585858585)</f>
        <v>0.185858585858585</v>
      </c>
      <c r="G34" s="12">
        <f ca="1">IFERROR(__xludf.DUMMYFUNCTION("""COMPUTED_VALUE"""),12.11)</f>
        <v>12.11</v>
      </c>
      <c r="H34" s="14">
        <f ca="1">IFERROR(__xludf.DUMMYFUNCTION("""COMPUTED_VALUE"""),0.663914120561519)</f>
        <v>0.66391412056151899</v>
      </c>
      <c r="I34" s="12">
        <f ca="1">IFERROR(__xludf.DUMMYFUNCTION("""COMPUTED_VALUE"""),19.9)</f>
        <v>19.899999999999999</v>
      </c>
      <c r="J34" s="14">
        <f ca="1">IFERROR(__xludf.DUMMYFUNCTION("""COMPUTED_VALUE"""),0.0125628140703517)</f>
        <v>1.25628140703517E-2</v>
      </c>
      <c r="K34" s="12" t="str">
        <f ca="1">IFERROR(__xludf.DUMMYFUNCTION("""COMPUTED_VALUE"""),"Bank")</f>
        <v>Bank</v>
      </c>
      <c r="L34" s="12" t="str">
        <f ca="1">IFERROR(__xludf.DUMMYFUNCTION("""COMPUTED_VALUE"""),"BOM:532648")</f>
        <v>BOM:532648</v>
      </c>
      <c r="M34" s="12" t="str">
        <f ca="1">IFERROR(__xludf.DUMMYFUNCTION("""COMPUTED_VALUE"""),"No")</f>
        <v>No</v>
      </c>
      <c r="N34" s="12" t="str">
        <f ca="1">IFERROR(__xludf.DUMMYFUNCTION("""COMPUTED_VALUE"""),"No")</f>
        <v>No</v>
      </c>
      <c r="O34" s="12" t="str">
        <f ca="1">IFERROR(__xludf.DUMMYFUNCTION("""COMPUTED_VALUE"""),"Good Stock")</f>
        <v>Good Stock</v>
      </c>
      <c r="P34" s="12" t="str">
        <f ca="1">IFERROR(__xludf.DUMMYFUNCTION("""COMPUTED_VALUE"""),"Large Cap")</f>
        <v>Large Cap</v>
      </c>
    </row>
    <row r="35" spans="1:16">
      <c r="A35" s="12" t="str">
        <f ca="1">IFERROR(__xludf.DUMMYFUNCTION("""COMPUTED_VALUE"""),"Berger Paint")</f>
        <v>Berger Paint</v>
      </c>
      <c r="B35" s="13">
        <f ca="1">IFERROR(__xludf.DUMMYFUNCTION("""COMPUTED_VALUE"""),54643.2617004)</f>
        <v>54643.261700399999</v>
      </c>
      <c r="C35" s="12">
        <f ca="1">IFERROR(__xludf.DUMMYFUNCTION("""COMPUTED_VALUE"""),564)</f>
        <v>564</v>
      </c>
      <c r="D35" s="12">
        <f ca="1">IFERROR(__xludf.DUMMYFUNCTION("""COMPUTED_VALUE"""),57.95)</f>
        <v>57.95</v>
      </c>
      <c r="E35" s="12">
        <f ca="1">IFERROR(__xludf.DUMMYFUNCTION("""COMPUTED_VALUE"""),793.05)</f>
        <v>793.05</v>
      </c>
      <c r="F35" s="14">
        <f ca="1">IFERROR(__xludf.DUMMYFUNCTION("""COMPUTED_VALUE"""),0.28882163797995)</f>
        <v>0.28882163797994997</v>
      </c>
      <c r="G35" s="12">
        <f ca="1">IFERROR(__xludf.DUMMYFUNCTION("""COMPUTED_VALUE"""),543.6)</f>
        <v>543.6</v>
      </c>
      <c r="H35" s="14">
        <f ca="1">IFERROR(__xludf.DUMMYFUNCTION("""COMPUTED_VALUE"""),0.0375275938189845)</f>
        <v>3.7527593818984503E-2</v>
      </c>
      <c r="I35" s="12">
        <f ca="1">IFERROR(__xludf.DUMMYFUNCTION("""COMPUTED_VALUE"""),561.95)</f>
        <v>561.95000000000005</v>
      </c>
      <c r="J35" s="14">
        <f ca="1">IFERROR(__xludf.DUMMYFUNCTION("""COMPUTED_VALUE"""),0.00364801138891352)</f>
        <v>3.6480113889135199E-3</v>
      </c>
      <c r="K35" s="12" t="str">
        <f ca="1">IFERROR(__xludf.DUMMYFUNCTION("""COMPUTED_VALUE"""),"Paint")</f>
        <v>Paint</v>
      </c>
      <c r="L35" s="12" t="str">
        <f ca="1">IFERROR(__xludf.DUMMYFUNCTION("""COMPUTED_VALUE"""),"BERGEPAINT")</f>
        <v>BERGEPAINT</v>
      </c>
      <c r="M35" s="12" t="str">
        <f ca="1">IFERROR(__xludf.DUMMYFUNCTION("""COMPUTED_VALUE"""),"No")</f>
        <v>No</v>
      </c>
      <c r="N35" s="12" t="str">
        <f ca="1">IFERROR(__xludf.DUMMYFUNCTION("""COMPUTED_VALUE"""),"No")</f>
        <v>No</v>
      </c>
      <c r="O35" s="12" t="str">
        <f ca="1">IFERROR(__xludf.DUMMYFUNCTION("""COMPUTED_VALUE"""),"Good Stock")</f>
        <v>Good Stock</v>
      </c>
      <c r="P35" s="12" t="str">
        <f ca="1">IFERROR(__xludf.DUMMYFUNCTION("""COMPUTED_VALUE"""),"Large Cap")</f>
        <v>Large Cap</v>
      </c>
    </row>
    <row r="36" spans="1:16">
      <c r="A36" s="12" t="str">
        <f ca="1">IFERROR(__xludf.DUMMYFUNCTION("""COMPUTED_VALUE"""),"Hero Motocorp")</f>
        <v>Hero Motocorp</v>
      </c>
      <c r="B36" s="13">
        <f ca="1">IFERROR(__xludf.DUMMYFUNCTION("""COMPUTED_VALUE"""),54522.74)</f>
        <v>54522.74</v>
      </c>
      <c r="C36" s="12">
        <f ca="1">IFERROR(__xludf.DUMMYFUNCTION("""COMPUTED_VALUE"""),2732)</f>
        <v>2732</v>
      </c>
      <c r="D36" s="12">
        <f ca="1">IFERROR(__xludf.DUMMYFUNCTION("""COMPUTED_VALUE"""),21.06)</f>
        <v>21.06</v>
      </c>
      <c r="E36" s="12">
        <f ca="1">IFERROR(__xludf.DUMMYFUNCTION("""COMPUTED_VALUE"""),2938.6)</f>
        <v>2938.6</v>
      </c>
      <c r="F36" s="14">
        <f ca="1">IFERROR(__xludf.DUMMYFUNCTION("""COMPUTED_VALUE"""),0.0703055876948206)</f>
        <v>7.0305587694820607E-2</v>
      </c>
      <c r="G36" s="12">
        <f ca="1">IFERROR(__xludf.DUMMYFUNCTION("""COMPUTED_VALUE"""),2146.85)</f>
        <v>2146.85</v>
      </c>
      <c r="H36" s="14">
        <f ca="1">IFERROR(__xludf.DUMMYFUNCTION("""COMPUTED_VALUE"""),0.272562125905396)</f>
        <v>0.27256212590539602</v>
      </c>
      <c r="I36" s="12">
        <f ca="1">IFERROR(__xludf.DUMMYFUNCTION("""COMPUTED_VALUE"""),2694.25)</f>
        <v>2694.25</v>
      </c>
      <c r="J36" s="14">
        <f ca="1">IFERROR(__xludf.DUMMYFUNCTION("""COMPUTED_VALUE"""),0.0140113204045652)</f>
        <v>1.40113204045652E-2</v>
      </c>
      <c r="K36" s="12" t="str">
        <f ca="1">IFERROR(__xludf.DUMMYFUNCTION("""COMPUTED_VALUE"""),"Automobile")</f>
        <v>Automobile</v>
      </c>
      <c r="L36" s="12" t="str">
        <f ca="1">IFERROR(__xludf.DUMMYFUNCTION("""COMPUTED_VALUE"""),"HEROMOTOCO")</f>
        <v>HEROMOTOCO</v>
      </c>
      <c r="M36" s="12" t="str">
        <f ca="1">IFERROR(__xludf.DUMMYFUNCTION("""COMPUTED_VALUE"""),"No")</f>
        <v>No</v>
      </c>
      <c r="N36" s="12" t="str">
        <f ca="1">IFERROR(__xludf.DUMMYFUNCTION("""COMPUTED_VALUE"""),"No")</f>
        <v>No</v>
      </c>
      <c r="O36" s="12" t="str">
        <f ca="1">IFERROR(__xludf.DUMMYFUNCTION("""COMPUTED_VALUE"""),"Good Stock")</f>
        <v>Good Stock</v>
      </c>
      <c r="P36" s="12" t="str">
        <f ca="1">IFERROR(__xludf.DUMMYFUNCTION("""COMPUTED_VALUE"""),"Large Cap")</f>
        <v>Large Cap</v>
      </c>
    </row>
    <row r="37" spans="1:16">
      <c r="A37" s="12" t="str">
        <f ca="1">IFERROR(__xludf.DUMMYFUNCTION("""COMPUTED_VALUE"""),"UPL")</f>
        <v>UPL</v>
      </c>
      <c r="B37" s="13">
        <f ca="1">IFERROR(__xludf.DUMMYFUNCTION("""COMPUTED_VALUE"""),53833.6605806)</f>
        <v>53833.660580600001</v>
      </c>
      <c r="C37" s="12">
        <f ca="1">IFERROR(__xludf.DUMMYFUNCTION("""COMPUTED_VALUE"""),718.45)</f>
        <v>718.45</v>
      </c>
      <c r="D37" s="12">
        <f ca="1">IFERROR(__xludf.DUMMYFUNCTION("""COMPUTED_VALUE"""),13.58)</f>
        <v>13.58</v>
      </c>
      <c r="E37" s="12">
        <f ca="1">IFERROR(__xludf.DUMMYFUNCTION("""COMPUTED_VALUE"""),848)</f>
        <v>848</v>
      </c>
      <c r="F37" s="14">
        <f ca="1">IFERROR(__xludf.DUMMYFUNCTION("""COMPUTED_VALUE"""),0.152771226415094)</f>
        <v>0.152771226415094</v>
      </c>
      <c r="G37" s="12">
        <f ca="1">IFERROR(__xludf.DUMMYFUNCTION("""COMPUTED_VALUE"""),607.8)</f>
        <v>607.79999999999995</v>
      </c>
      <c r="H37" s="14">
        <f ca="1">IFERROR(__xludf.DUMMYFUNCTION("""COMPUTED_VALUE"""),0.18205001645278)</f>
        <v>0.18205001645277999</v>
      </c>
      <c r="I37" s="12">
        <f ca="1">IFERROR(__xludf.DUMMYFUNCTION("""COMPUTED_VALUE"""),719.05)</f>
        <v>719.05</v>
      </c>
      <c r="J37" s="14">
        <f ca="1">IFERROR(__xludf.DUMMYFUNCTION("""COMPUTED_VALUE"""),-0.000834434323065028)</f>
        <v>-8.3443432306502796E-4</v>
      </c>
      <c r="K37" s="12" t="str">
        <f ca="1">IFERROR(__xludf.DUMMYFUNCTION("""COMPUTED_VALUE"""),"Agrochemical")</f>
        <v>Agrochemical</v>
      </c>
      <c r="L37" s="12" t="str">
        <f ca="1">IFERROR(__xludf.DUMMYFUNCTION("""COMPUTED_VALUE"""),"BOM:512070")</f>
        <v>BOM:512070</v>
      </c>
      <c r="M37" s="12" t="str">
        <f ca="1">IFERROR(__xludf.DUMMYFUNCTION("""COMPUTED_VALUE"""),"No")</f>
        <v>No</v>
      </c>
      <c r="N37" s="12" t="str">
        <f ca="1">IFERROR(__xludf.DUMMYFUNCTION("""COMPUTED_VALUE"""),"No")</f>
        <v>No</v>
      </c>
      <c r="O37" s="12" t="str">
        <f ca="1">IFERROR(__xludf.DUMMYFUNCTION("""COMPUTED_VALUE"""),"Good Stock")</f>
        <v>Good Stock</v>
      </c>
      <c r="P37" s="12" t="str">
        <f ca="1">IFERROR(__xludf.DUMMYFUNCTION("""COMPUTED_VALUE"""),"Large Cap")</f>
        <v>Large Cap</v>
      </c>
    </row>
    <row r="38" spans="1:16">
      <c r="A38" s="12" t="str">
        <f ca="1">IFERROR(__xludf.DUMMYFUNCTION("""COMPUTED_VALUE"""),"IRCTC")</f>
        <v>IRCTC</v>
      </c>
      <c r="B38" s="13">
        <f ca="1">IFERROR(__xludf.DUMMYFUNCTION("""COMPUTED_VALUE"""),51348.0038553)</f>
        <v>51348.003855299998</v>
      </c>
      <c r="C38" s="12">
        <f ca="1">IFERROR(__xludf.DUMMYFUNCTION("""COMPUTED_VALUE"""),641)</f>
        <v>641</v>
      </c>
      <c r="D38" s="12">
        <f ca="1">IFERROR(__xludf.DUMMYFUNCTION("""COMPUTED_VALUE"""),57.32)</f>
        <v>57.32</v>
      </c>
      <c r="E38" s="12">
        <f ca="1">IFERROR(__xludf.DUMMYFUNCTION("""COMPUTED_VALUE"""),918.65)</f>
        <v>918.65</v>
      </c>
      <c r="F38" s="14">
        <f ca="1">IFERROR(__xludf.DUMMYFUNCTION("""COMPUTED_VALUE"""),0.302236978174495)</f>
        <v>0.30223697817449502</v>
      </c>
      <c r="G38" s="12">
        <f ca="1">IFERROR(__xludf.DUMMYFUNCTION("""COMPUTED_VALUE"""),557)</f>
        <v>557</v>
      </c>
      <c r="H38" s="14">
        <f ca="1">IFERROR(__xludf.DUMMYFUNCTION("""COMPUTED_VALUE"""),0.1508078994614)</f>
        <v>0.1508078994614</v>
      </c>
      <c r="I38" s="12">
        <f ca="1">IFERROR(__xludf.DUMMYFUNCTION("""COMPUTED_VALUE"""),640.65)</f>
        <v>640.65</v>
      </c>
      <c r="J38" s="14">
        <f ca="1">IFERROR(__xludf.DUMMYFUNCTION("""COMPUTED_VALUE"""),0.000546320143604187)</f>
        <v>5.4632014360418701E-4</v>
      </c>
      <c r="K38" s="12" t="str">
        <f ca="1">IFERROR(__xludf.DUMMYFUNCTION("""COMPUTED_VALUE"""),"Catering")</f>
        <v>Catering</v>
      </c>
      <c r="L38" s="12" t="str">
        <f ca="1">IFERROR(__xludf.DUMMYFUNCTION("""COMPUTED_VALUE"""),"IRCTC")</f>
        <v>IRCTC</v>
      </c>
      <c r="M38" s="12" t="str">
        <f ca="1">IFERROR(__xludf.DUMMYFUNCTION("""COMPUTED_VALUE"""),"No")</f>
        <v>No</v>
      </c>
      <c r="N38" s="12" t="str">
        <f ca="1">IFERROR(__xludf.DUMMYFUNCTION("""COMPUTED_VALUE"""),"No")</f>
        <v>No</v>
      </c>
      <c r="O38" s="12" t="str">
        <f ca="1">IFERROR(__xludf.DUMMYFUNCTION("""COMPUTED_VALUE"""),"Good Stock")</f>
        <v>Good Stock</v>
      </c>
      <c r="P38" s="12" t="str">
        <f ca="1">IFERROR(__xludf.DUMMYFUNCTION("""COMPUTED_VALUE"""),"Large Cap")</f>
        <v>Large Cap</v>
      </c>
    </row>
    <row r="39" spans="1:16">
      <c r="A39" s="12" t="str">
        <f ca="1">IFERROR(__xludf.DUMMYFUNCTION("""COMPUTED_VALUE"""),"PI industries")</f>
        <v>PI industries</v>
      </c>
      <c r="B39" s="13">
        <f ca="1">IFERROR(__xludf.DUMMYFUNCTION("""COMPUTED_VALUE"""),49475.63474)</f>
        <v>49475.634740000001</v>
      </c>
      <c r="C39" s="12">
        <f ca="1">IFERROR(__xludf.DUMMYFUNCTION("""COMPUTED_VALUE"""),3262)</f>
        <v>3262</v>
      </c>
      <c r="D39" s="12">
        <f ca="1">IFERROR(__xludf.DUMMYFUNCTION("""COMPUTED_VALUE"""),48.33)</f>
        <v>48.33</v>
      </c>
      <c r="E39" s="12">
        <f ca="1">IFERROR(__xludf.DUMMYFUNCTION("""COMPUTED_VALUE"""),3698.45)</f>
        <v>3698.45</v>
      </c>
      <c r="F39" s="14">
        <f ca="1">IFERROR(__xludf.DUMMYFUNCTION("""COMPUTED_VALUE"""),0.118008895618434)</f>
        <v>0.118008895618434</v>
      </c>
      <c r="G39" s="12">
        <f ca="1">IFERROR(__xludf.DUMMYFUNCTION("""COMPUTED_VALUE"""),2333.55)</f>
        <v>2333.5500000000002</v>
      </c>
      <c r="H39" s="14">
        <f ca="1">IFERROR(__xludf.DUMMYFUNCTION("""COMPUTED_VALUE"""),0.39787019776735)</f>
        <v>0.39787019776735</v>
      </c>
      <c r="I39" s="12">
        <f ca="1">IFERROR(__xludf.DUMMYFUNCTION("""COMPUTED_VALUE"""),3292.65)</f>
        <v>3292.65</v>
      </c>
      <c r="J39" s="14">
        <f ca="1">IFERROR(__xludf.DUMMYFUNCTION("""COMPUTED_VALUE"""),-0.00930861160463459)</f>
        <v>-9.3086116046345903E-3</v>
      </c>
      <c r="K39" s="12" t="str">
        <f ca="1">IFERROR(__xludf.DUMMYFUNCTION("""COMPUTED_VALUE"""),"Agrochemical")</f>
        <v>Agrochemical</v>
      </c>
      <c r="L39" s="12" t="str">
        <f ca="1">IFERROR(__xludf.DUMMYFUNCTION("""COMPUTED_VALUE"""),"PIIND")</f>
        <v>PIIND</v>
      </c>
      <c r="M39" s="12" t="str">
        <f ca="1">IFERROR(__xludf.DUMMYFUNCTION("""COMPUTED_VALUE"""),"No")</f>
        <v>No</v>
      </c>
      <c r="N39" s="12" t="str">
        <f ca="1">IFERROR(__xludf.DUMMYFUNCTION("""COMPUTED_VALUE"""),"No")</f>
        <v>No</v>
      </c>
      <c r="O39" s="12" t="str">
        <f ca="1">IFERROR(__xludf.DUMMYFUNCTION("""COMPUTED_VALUE"""),"Good Stock")</f>
        <v>Good Stock</v>
      </c>
      <c r="P39" s="12" t="str">
        <f ca="1">IFERROR(__xludf.DUMMYFUNCTION("""COMPUTED_VALUE"""),"Large Cap")</f>
        <v>Large Cap</v>
      </c>
    </row>
    <row r="40" spans="1:16">
      <c r="A40" s="12" t="str">
        <f ca="1">IFERROR(__xludf.DUMMYFUNCTION("""COMPUTED_VALUE"""),"Infoedge")</f>
        <v>Infoedge</v>
      </c>
      <c r="B40" s="13">
        <f ca="1">IFERROR(__xludf.DUMMYFUNCTION("""COMPUTED_VALUE"""),48135.11)</f>
        <v>48135.11</v>
      </c>
      <c r="C40" s="12">
        <f ca="1">IFERROR(__xludf.DUMMYFUNCTION("""COMPUTED_VALUE"""),3731.8)</f>
        <v>3731.8</v>
      </c>
      <c r="D40" s="12">
        <f ca="1">IFERROR(__xludf.DUMMYFUNCTION("""COMPUTED_VALUE"""),8.76)</f>
        <v>8.76</v>
      </c>
      <c r="E40" s="12">
        <f ca="1">IFERROR(__xludf.DUMMYFUNCTION("""COMPUTED_VALUE"""),5790)</f>
        <v>5790</v>
      </c>
      <c r="F40" s="14">
        <f ca="1">IFERROR(__xludf.DUMMYFUNCTION("""COMPUTED_VALUE"""),0.355474956822107)</f>
        <v>0.355474956822107</v>
      </c>
      <c r="G40" s="12">
        <f ca="1">IFERROR(__xludf.DUMMYFUNCTION("""COMPUTED_VALUE"""),3314)</f>
        <v>3314</v>
      </c>
      <c r="H40" s="14">
        <f ca="1">IFERROR(__xludf.DUMMYFUNCTION("""COMPUTED_VALUE"""),0.126071213035606)</f>
        <v>0.12607121303560601</v>
      </c>
      <c r="I40" s="12">
        <f ca="1">IFERROR(__xludf.DUMMYFUNCTION("""COMPUTED_VALUE"""),3719.3)</f>
        <v>3719.3</v>
      </c>
      <c r="J40" s="14">
        <f ca="1">IFERROR(__xludf.DUMMYFUNCTION("""COMPUTED_VALUE"""),0.00336084747129836)</f>
        <v>3.3608474712983599E-3</v>
      </c>
      <c r="K40" s="12" t="str">
        <f ca="1">IFERROR(__xludf.DUMMYFUNCTION("""COMPUTED_VALUE"""),"Technology")</f>
        <v>Technology</v>
      </c>
      <c r="L40" s="12" t="str">
        <f ca="1">IFERROR(__xludf.DUMMYFUNCTION("""COMPUTED_VALUE"""),"BOM:532777")</f>
        <v>BOM:532777</v>
      </c>
      <c r="M40" s="12" t="str">
        <f ca="1">IFERROR(__xludf.DUMMYFUNCTION("""COMPUTED_VALUE"""),"No")</f>
        <v>No</v>
      </c>
      <c r="N40" s="12" t="str">
        <f ca="1">IFERROR(__xludf.DUMMYFUNCTION("""COMPUTED_VALUE"""),"No")</f>
        <v>No</v>
      </c>
      <c r="O40" s="12" t="str">
        <f ca="1">IFERROR(__xludf.DUMMYFUNCTION("""COMPUTED_VALUE"""),"Good Stock")</f>
        <v>Good Stock</v>
      </c>
      <c r="P40" s="12" t="str">
        <f ca="1">IFERROR(__xludf.DUMMYFUNCTION("""COMPUTED_VALUE"""),"Large Cap")</f>
        <v>Large Cap</v>
      </c>
    </row>
    <row r="41" spans="1:16">
      <c r="A41" s="12" t="str">
        <f ca="1">IFERROR(__xludf.DUMMYFUNCTION("""COMPUTED_VALUE"""),"TVS")</f>
        <v>TVS</v>
      </c>
      <c r="B41" s="13">
        <f ca="1">IFERROR(__xludf.DUMMYFUNCTION("""COMPUTED_VALUE"""),47610.86)</f>
        <v>47610.86</v>
      </c>
      <c r="C41" s="12">
        <f ca="1">IFERROR(__xludf.DUMMYFUNCTION("""COMPUTED_VALUE"""),999.5)</f>
        <v>999.5</v>
      </c>
      <c r="D41" s="12">
        <f ca="1">IFERROR(__xludf.DUMMYFUNCTION("""COMPUTED_VALUE"""),39.03)</f>
        <v>39.03</v>
      </c>
      <c r="E41" s="12">
        <f ca="1">IFERROR(__xludf.DUMMYFUNCTION("""COMPUTED_VALUE"""),1177)</f>
        <v>1177</v>
      </c>
      <c r="F41" s="14">
        <f ca="1">IFERROR(__xludf.DUMMYFUNCTION("""COMPUTED_VALUE"""),0.150807136788445)</f>
        <v>0.15080713678844501</v>
      </c>
      <c r="G41" s="12">
        <f ca="1">IFERROR(__xludf.DUMMYFUNCTION("""COMPUTED_VALUE"""),513)</f>
        <v>513</v>
      </c>
      <c r="H41" s="14">
        <f ca="1">IFERROR(__xludf.DUMMYFUNCTION("""COMPUTED_VALUE"""),0.948343079922027)</f>
        <v>0.94834307992202704</v>
      </c>
      <c r="I41" s="12">
        <f ca="1">IFERROR(__xludf.DUMMYFUNCTION("""COMPUTED_VALUE"""),1005.2)</f>
        <v>1005.2</v>
      </c>
      <c r="J41" s="14">
        <f ca="1">IFERROR(__xludf.DUMMYFUNCTION("""COMPUTED_VALUE"""),-0.0056705133306805)</f>
        <v>-5.6705133306804998E-3</v>
      </c>
      <c r="K41" s="12" t="str">
        <f ca="1">IFERROR(__xludf.DUMMYFUNCTION("""COMPUTED_VALUE"""),"Automobile")</f>
        <v>Automobile</v>
      </c>
      <c r="L41" s="12" t="str">
        <f ca="1">IFERROR(__xludf.DUMMYFUNCTION("""COMPUTED_VALUE"""),"BOM:532343")</f>
        <v>BOM:532343</v>
      </c>
      <c r="M41" s="12" t="str">
        <f ca="1">IFERROR(__xludf.DUMMYFUNCTION("""COMPUTED_VALUE"""),"No")</f>
        <v>No</v>
      </c>
      <c r="N41" s="12" t="str">
        <f ca="1">IFERROR(__xludf.DUMMYFUNCTION("""COMPUTED_VALUE"""),"No")</f>
        <v>No</v>
      </c>
      <c r="O41" s="12" t="str">
        <f ca="1">IFERROR(__xludf.DUMMYFUNCTION("""COMPUTED_VALUE"""),"Good Stock")</f>
        <v>Good Stock</v>
      </c>
      <c r="P41" s="12" t="str">
        <f ca="1">IFERROR(__xludf.DUMMYFUNCTION("""COMPUTED_VALUE"""),"Large Cap")</f>
        <v>Large Cap</v>
      </c>
    </row>
    <row r="42" spans="1:16">
      <c r="A42" s="12" t="str">
        <f ca="1">IFERROR(__xludf.DUMMYFUNCTION("""COMPUTED_VALUE"""),"Abbott India")</f>
        <v>Abbott India</v>
      </c>
      <c r="B42" s="13">
        <f ca="1">IFERROR(__xludf.DUMMYFUNCTION("""COMPUTED_VALUE"""),47348.12)</f>
        <v>47348.12</v>
      </c>
      <c r="C42" s="12">
        <f ca="1">IFERROR(__xludf.DUMMYFUNCTION("""COMPUTED_VALUE"""),22241)</f>
        <v>22241</v>
      </c>
      <c r="D42" s="12">
        <f ca="1">IFERROR(__xludf.DUMMYFUNCTION("""COMPUTED_VALUE"""),53.6)</f>
        <v>53.6</v>
      </c>
      <c r="E42" s="12">
        <f ca="1">IFERROR(__xludf.DUMMYFUNCTION("""COMPUTED_VALUE"""),22499)</f>
        <v>22499</v>
      </c>
      <c r="F42" s="14">
        <f ca="1">IFERROR(__xludf.DUMMYFUNCTION("""COMPUTED_VALUE"""),0.0114671763189475)</f>
        <v>1.1467176318947499E-2</v>
      </c>
      <c r="G42" s="12">
        <f ca="1">IFERROR(__xludf.DUMMYFUNCTION("""COMPUTED_VALUE"""),15514)</f>
        <v>15514</v>
      </c>
      <c r="H42" s="14">
        <f ca="1">IFERROR(__xludf.DUMMYFUNCTION("""COMPUTED_VALUE"""),0.433608353745004)</f>
        <v>0.433608353745004</v>
      </c>
      <c r="I42" s="12">
        <f ca="1">IFERROR(__xludf.DUMMYFUNCTION("""COMPUTED_VALUE"""),22162.55)</f>
        <v>22162.55</v>
      </c>
      <c r="J42" s="14">
        <f ca="1">IFERROR(__xludf.DUMMYFUNCTION("""COMPUTED_VALUE"""),0.00353975512745603)</f>
        <v>3.53975512745603E-3</v>
      </c>
      <c r="K42" s="12" t="str">
        <f ca="1">IFERROR(__xludf.DUMMYFUNCTION("""COMPUTED_VALUE"""),"Pharma")</f>
        <v>Pharma</v>
      </c>
      <c r="L42" s="12" t="str">
        <f ca="1">IFERROR(__xludf.DUMMYFUNCTION("""COMPUTED_VALUE"""),"ABBOTINDIA")</f>
        <v>ABBOTINDIA</v>
      </c>
      <c r="M42" s="12" t="str">
        <f ca="1">IFERROR(__xludf.DUMMYFUNCTION("""COMPUTED_VALUE"""),"No")</f>
        <v>No</v>
      </c>
      <c r="N42" s="12" t="str">
        <f ca="1">IFERROR(__xludf.DUMMYFUNCTION("""COMPUTED_VALUE"""),"No")</f>
        <v>No</v>
      </c>
      <c r="O42" s="12" t="str">
        <f ca="1">IFERROR(__xludf.DUMMYFUNCTION("""COMPUTED_VALUE"""),"Good Stock")</f>
        <v>Good Stock</v>
      </c>
      <c r="P42" s="12" t="str">
        <f ca="1">IFERROR(__xludf.DUMMYFUNCTION("""COMPUTED_VALUE"""),"Large Cap")</f>
        <v>Large Cap</v>
      </c>
    </row>
    <row r="43" spans="1:16">
      <c r="A43" s="12" t="str">
        <f ca="1">IFERROR(__xludf.DUMMYFUNCTION("""COMPUTED_VALUE"""),"HDFC AMC")</f>
        <v>HDFC AMC</v>
      </c>
      <c r="B43" s="13">
        <f ca="1">IFERROR(__xludf.DUMMYFUNCTION("""COMPUTED_VALUE"""),45934.43)</f>
        <v>45934.43</v>
      </c>
      <c r="C43" s="12">
        <f ca="1">IFERROR(__xludf.DUMMYFUNCTION("""COMPUTED_VALUE"""),2148)</f>
        <v>2148</v>
      </c>
      <c r="D43" s="12">
        <f ca="1">IFERROR(__xludf.DUMMYFUNCTION("""COMPUTED_VALUE"""),33.2)</f>
        <v>33.200000000000003</v>
      </c>
      <c r="E43" s="12">
        <f ca="1">IFERROR(__xludf.DUMMYFUNCTION("""COMPUTED_VALUE"""),2507.35)</f>
        <v>2507.35</v>
      </c>
      <c r="F43" s="14">
        <f ca="1">IFERROR(__xludf.DUMMYFUNCTION("""COMPUTED_VALUE"""),0.143318643189024)</f>
        <v>0.14331864318902399</v>
      </c>
      <c r="G43" s="12">
        <f ca="1">IFERROR(__xludf.DUMMYFUNCTION("""COMPUTED_VALUE"""),1690)</f>
        <v>1690</v>
      </c>
      <c r="H43" s="14">
        <f ca="1">IFERROR(__xludf.DUMMYFUNCTION("""COMPUTED_VALUE"""),0.271005917159763)</f>
        <v>0.27100591715976302</v>
      </c>
      <c r="I43" s="12">
        <f ca="1">IFERROR(__xludf.DUMMYFUNCTION("""COMPUTED_VALUE"""),2150.75)</f>
        <v>2150.75</v>
      </c>
      <c r="J43" s="14">
        <f ca="1">IFERROR(__xludf.DUMMYFUNCTION("""COMPUTED_VALUE"""),-0.00127862373590607)</f>
        <v>-1.27862373590607E-3</v>
      </c>
      <c r="K43" s="12" t="str">
        <f ca="1">IFERROR(__xludf.DUMMYFUNCTION("""COMPUTED_VALUE"""),"AMC")</f>
        <v>AMC</v>
      </c>
      <c r="L43" s="12" t="str">
        <f ca="1">IFERROR(__xludf.DUMMYFUNCTION("""COMPUTED_VALUE"""),"HDFCAMC")</f>
        <v>HDFCAMC</v>
      </c>
      <c r="M43" s="12" t="str">
        <f ca="1">IFERROR(__xludf.DUMMYFUNCTION("""COMPUTED_VALUE"""),"No")</f>
        <v>No</v>
      </c>
      <c r="N43" s="12" t="str">
        <f ca="1">IFERROR(__xludf.DUMMYFUNCTION("""COMPUTED_VALUE"""),"No")</f>
        <v>No</v>
      </c>
      <c r="O43" s="12" t="str">
        <f ca="1">IFERROR(__xludf.DUMMYFUNCTION("""COMPUTED_VALUE"""),"Good Stock")</f>
        <v>Good Stock</v>
      </c>
      <c r="P43" s="12" t="str">
        <f ca="1">IFERROR(__xludf.DUMMYFUNCTION("""COMPUTED_VALUE"""),"Large Cap")</f>
        <v>Large Cap</v>
      </c>
    </row>
    <row r="44" spans="1:16">
      <c r="A44" s="12" t="str">
        <f ca="1">IFERROR(__xludf.DUMMYFUNCTION("""COMPUTED_VALUE"""),"Page Industries")</f>
        <v>Page Industries</v>
      </c>
      <c r="B44" s="13">
        <f ca="1">IFERROR(__xludf.DUMMYFUNCTION("""COMPUTED_VALUE"""),44894.62)</f>
        <v>44894.62</v>
      </c>
      <c r="C44" s="12">
        <f ca="1">IFERROR(__xludf.DUMMYFUNCTION("""COMPUTED_VALUE"""),40260)</f>
        <v>40260</v>
      </c>
      <c r="D44" s="12">
        <f ca="1">IFERROR(__xludf.DUMMYFUNCTION("""COMPUTED_VALUE"""),61.16)</f>
        <v>61.16</v>
      </c>
      <c r="E44" s="12">
        <f ca="1">IFERROR(__xludf.DUMMYFUNCTION("""COMPUTED_VALUE"""),54349.1)</f>
        <v>54349.1</v>
      </c>
      <c r="F44" s="14">
        <f ca="1">IFERROR(__xludf.DUMMYFUNCTION("""COMPUTED_VALUE"""),0.259233363569957)</f>
        <v>0.25923336356995702</v>
      </c>
      <c r="G44" s="12">
        <f ca="1">IFERROR(__xludf.DUMMYFUNCTION("""COMPUTED_VALUE"""),37825)</f>
        <v>37825</v>
      </c>
      <c r="H44" s="14">
        <f ca="1">IFERROR(__xludf.DUMMYFUNCTION("""COMPUTED_VALUE"""),0.0643754130865829)</f>
        <v>6.43754130865829E-2</v>
      </c>
      <c r="I44" s="12">
        <f ca="1">IFERROR(__xludf.DUMMYFUNCTION("""COMPUTED_VALUE"""),40639.05)</f>
        <v>40639.050000000003</v>
      </c>
      <c r="J44" s="14">
        <f ca="1">IFERROR(__xludf.DUMMYFUNCTION("""COMPUTED_VALUE"""),-0.0093272357498515)</f>
        <v>-9.3272357498515E-3</v>
      </c>
      <c r="K44" s="12" t="str">
        <f ca="1">IFERROR(__xludf.DUMMYFUNCTION("""COMPUTED_VALUE"""),"Textile")</f>
        <v>Textile</v>
      </c>
      <c r="L44" s="12" t="str">
        <f ca="1">IFERROR(__xludf.DUMMYFUNCTION("""COMPUTED_VALUE"""),"PAGEIND")</f>
        <v>PAGEIND</v>
      </c>
      <c r="M44" s="12" t="str">
        <f ca="1">IFERROR(__xludf.DUMMYFUNCTION("""COMPUTED_VALUE"""),"No")</f>
        <v>No</v>
      </c>
      <c r="N44" s="12" t="str">
        <f ca="1">IFERROR(__xludf.DUMMYFUNCTION("""COMPUTED_VALUE"""),"No")</f>
        <v>No</v>
      </c>
      <c r="O44" s="12" t="str">
        <f ca="1">IFERROR(__xludf.DUMMYFUNCTION("""COMPUTED_VALUE"""),"Good Stock")</f>
        <v>Good Stock</v>
      </c>
      <c r="P44" s="12" t="str">
        <f ca="1">IFERROR(__xludf.DUMMYFUNCTION("""COMPUTED_VALUE"""),"Large Cap")</f>
        <v>Large Cap</v>
      </c>
    </row>
    <row r="45" spans="1:16">
      <c r="A45" s="12" t="str">
        <f ca="1">IFERROR(__xludf.DUMMYFUNCTION("""COMPUTED_VALUE"""),"Balkrishna Industries")</f>
        <v>Balkrishna Industries</v>
      </c>
      <c r="B45" s="13">
        <f ca="1">IFERROR(__xludf.DUMMYFUNCTION("""COMPUTED_VALUE"""),43195.8704177)</f>
        <v>43195.870417700004</v>
      </c>
      <c r="C45" s="12">
        <f ca="1">IFERROR(__xludf.DUMMYFUNCTION("""COMPUTED_VALUE"""),2229)</f>
        <v>2229</v>
      </c>
      <c r="D45" s="12">
        <f ca="1">IFERROR(__xludf.DUMMYFUNCTION("""COMPUTED_VALUE"""),30.72)</f>
        <v>30.72</v>
      </c>
      <c r="E45" s="12">
        <f ca="1">IFERROR(__xludf.DUMMYFUNCTION("""COMPUTED_VALUE"""),2537.45)</f>
        <v>2537.4499999999998</v>
      </c>
      <c r="F45" s="14">
        <f ca="1">IFERROR(__xludf.DUMMYFUNCTION("""COMPUTED_VALUE"""),0.121559045498433)</f>
        <v>0.12155904549843299</v>
      </c>
      <c r="G45" s="12">
        <f ca="1">IFERROR(__xludf.DUMMYFUNCTION("""COMPUTED_VALUE"""),1690.55)</f>
        <v>1690.55</v>
      </c>
      <c r="H45" s="14">
        <f ca="1">IFERROR(__xludf.DUMMYFUNCTION("""COMPUTED_VALUE"""),0.318505811718079)</f>
        <v>0.31850581171807901</v>
      </c>
      <c r="I45" s="12">
        <f ca="1">IFERROR(__xludf.DUMMYFUNCTION("""COMPUTED_VALUE"""),2214.25)</f>
        <v>2214.25</v>
      </c>
      <c r="J45" s="14">
        <f ca="1">IFERROR(__xludf.DUMMYFUNCTION("""COMPUTED_VALUE"""),0.00666139776448007)</f>
        <v>6.6613977644800699E-3</v>
      </c>
      <c r="K45" s="12" t="str">
        <f ca="1">IFERROR(__xludf.DUMMYFUNCTION("""COMPUTED_VALUE"""),"Tyre")</f>
        <v>Tyre</v>
      </c>
      <c r="L45" s="12" t="str">
        <f ca="1">IFERROR(__xludf.DUMMYFUNCTION("""COMPUTED_VALUE"""),"BALKRISIND")</f>
        <v>BALKRISIND</v>
      </c>
      <c r="M45" s="12" t="str">
        <f ca="1">IFERROR(__xludf.DUMMYFUNCTION("""COMPUTED_VALUE"""),"No")</f>
        <v>No</v>
      </c>
      <c r="N45" s="12" t="str">
        <f ca="1">IFERROR(__xludf.DUMMYFUNCTION("""COMPUTED_VALUE"""),"No")</f>
        <v>No</v>
      </c>
      <c r="O45" s="12" t="str">
        <f ca="1">IFERROR(__xludf.DUMMYFUNCTION("""COMPUTED_VALUE"""),"Good Stock")</f>
        <v>Good Stock</v>
      </c>
      <c r="P45" s="12" t="str">
        <f ca="1">IFERROR(__xludf.DUMMYFUNCTION("""COMPUTED_VALUE"""),"Large Cap")</f>
        <v>Large Cap</v>
      </c>
    </row>
    <row r="46" spans="1:16">
      <c r="A46" s="12" t="str">
        <f ca="1">IFERROR(__xludf.DUMMYFUNCTION("""COMPUTED_VALUE"""),"Muthoot Finance")</f>
        <v>Muthoot Finance</v>
      </c>
      <c r="B46" s="13">
        <f ca="1">IFERROR(__xludf.DUMMYFUNCTION("""COMPUTED_VALUE"""),42774.19916)</f>
        <v>42774.199159999996</v>
      </c>
      <c r="C46" s="12">
        <f ca="1">IFERROR(__xludf.DUMMYFUNCTION("""COMPUTED_VALUE"""),1065.5)</f>
        <v>1065.5</v>
      </c>
      <c r="D46" s="12">
        <f ca="1">IFERROR(__xludf.DUMMYFUNCTION("""COMPUTED_VALUE"""),11.41)</f>
        <v>11.41</v>
      </c>
      <c r="E46" s="12">
        <f ca="1">IFERROR(__xludf.DUMMYFUNCTION("""COMPUTED_VALUE"""),1526.4)</f>
        <v>1526.4</v>
      </c>
      <c r="F46" s="14">
        <f ca="1">IFERROR(__xludf.DUMMYFUNCTION("""COMPUTED_VALUE"""),0.301952306079664)</f>
        <v>0.301952306079664</v>
      </c>
      <c r="G46" s="12">
        <f ca="1">IFERROR(__xludf.DUMMYFUNCTION("""COMPUTED_VALUE"""),950.2)</f>
        <v>950.2</v>
      </c>
      <c r="H46" s="14">
        <f ca="1">IFERROR(__xludf.DUMMYFUNCTION("""COMPUTED_VALUE"""),0.121342875184171)</f>
        <v>0.121342875184171</v>
      </c>
      <c r="I46" s="12">
        <f ca="1">IFERROR(__xludf.DUMMYFUNCTION("""COMPUTED_VALUE"""),1063.3)</f>
        <v>1063.3</v>
      </c>
      <c r="J46" s="14">
        <f ca="1">IFERROR(__xludf.DUMMYFUNCTION("""COMPUTED_VALUE"""),0.00206903037712785)</f>
        <v>2.0690303771278501E-3</v>
      </c>
      <c r="K46" s="12" t="str">
        <f ca="1">IFERROR(__xludf.DUMMYFUNCTION("""COMPUTED_VALUE"""),"NBFC")</f>
        <v>NBFC</v>
      </c>
      <c r="L46" s="12" t="str">
        <f ca="1">IFERROR(__xludf.DUMMYFUNCTION("""COMPUTED_VALUE"""),"MUTHOOTFIN")</f>
        <v>MUTHOOTFIN</v>
      </c>
      <c r="M46" s="12" t="str">
        <f ca="1">IFERROR(__xludf.DUMMYFUNCTION("""COMPUTED_VALUE"""),"No")</f>
        <v>No</v>
      </c>
      <c r="N46" s="12" t="str">
        <f ca="1">IFERROR(__xludf.DUMMYFUNCTION("""COMPUTED_VALUE"""),"No")</f>
        <v>No</v>
      </c>
      <c r="O46" s="12" t="str">
        <f ca="1">IFERROR(__xludf.DUMMYFUNCTION("""COMPUTED_VALUE"""),"Good Stock")</f>
        <v>Good Stock</v>
      </c>
      <c r="P46" s="12" t="str">
        <f ca="1">IFERROR(__xludf.DUMMYFUNCTION("""COMPUTED_VALUE"""),"Large Cap")</f>
        <v>Large Cap</v>
      </c>
    </row>
    <row r="47" spans="1:16">
      <c r="A47" s="12" t="str">
        <f ca="1">IFERROR(__xludf.DUMMYFUNCTION("""COMPUTED_VALUE"""),"AU Small Finance")</f>
        <v>AU Small Finance</v>
      </c>
      <c r="B47" s="13">
        <f ca="1">IFERROR(__xludf.DUMMYFUNCTION("""COMPUTED_VALUE"""),41307.1280064)</f>
        <v>41307.128006400002</v>
      </c>
      <c r="C47" s="12">
        <f ca="1">IFERROR(__xludf.DUMMYFUNCTION("""COMPUTED_VALUE"""),619)</f>
        <v>619</v>
      </c>
      <c r="D47" s="12">
        <f ca="1">IFERROR(__xludf.DUMMYFUNCTION("""COMPUTED_VALUE"""),31.44)</f>
        <v>31.44</v>
      </c>
      <c r="E47" s="12">
        <f ca="1">IFERROR(__xludf.DUMMYFUNCTION("""COMPUTED_VALUE"""),732.98)</f>
        <v>732.98</v>
      </c>
      <c r="F47" s="14">
        <f ca="1">IFERROR(__xludf.DUMMYFUNCTION("""COMPUTED_VALUE"""),0.155502196512865)</f>
        <v>0.15550219651286501</v>
      </c>
      <c r="G47" s="12">
        <f ca="1">IFERROR(__xludf.DUMMYFUNCTION("""COMPUTED_VALUE"""),525)</f>
        <v>525</v>
      </c>
      <c r="H47" s="14">
        <f ca="1">IFERROR(__xludf.DUMMYFUNCTION("""COMPUTED_VALUE"""),0.179047619047619)</f>
        <v>0.17904761904761901</v>
      </c>
      <c r="I47" s="12">
        <f ca="1">IFERROR(__xludf.DUMMYFUNCTION("""COMPUTED_VALUE"""),628.15)</f>
        <v>628.15</v>
      </c>
      <c r="J47" s="14">
        <f ca="1">IFERROR(__xludf.DUMMYFUNCTION("""COMPUTED_VALUE"""),-0.0145665844145506)</f>
        <v>-1.4566584414550599E-2</v>
      </c>
      <c r="K47" s="12" t="str">
        <f ca="1">IFERROR(__xludf.DUMMYFUNCTION("""COMPUTED_VALUE"""),"Small Finance")</f>
        <v>Small Finance</v>
      </c>
      <c r="L47" s="12" t="str">
        <f ca="1">IFERROR(__xludf.DUMMYFUNCTION("""COMPUTED_VALUE"""),"AUBANK")</f>
        <v>AUBANK</v>
      </c>
      <c r="M47" s="12" t="str">
        <f ca="1">IFERROR(__xludf.DUMMYFUNCTION("""COMPUTED_VALUE"""),"No")</f>
        <v>No</v>
      </c>
      <c r="N47" s="12" t="str">
        <f ca="1">IFERROR(__xludf.DUMMYFUNCTION("""COMPUTED_VALUE"""),"No")</f>
        <v>No</v>
      </c>
      <c r="O47" s="12" t="str">
        <f ca="1">IFERROR(__xludf.DUMMYFUNCTION("""COMPUTED_VALUE"""),"Good Stock")</f>
        <v>Good Stock</v>
      </c>
      <c r="P47" s="12" t="str">
        <f ca="1">IFERROR(__xludf.DUMMYFUNCTION("""COMPUTED_VALUE"""),"Large Cap")</f>
        <v>Large Cap</v>
      </c>
    </row>
    <row r="48" spans="1:16">
      <c r="A48" s="12" t="str">
        <f ca="1">IFERROR(__xludf.DUMMYFUNCTION("""COMPUTED_VALUE"""),"Polycab")</f>
        <v>Polycab</v>
      </c>
      <c r="B48" s="13">
        <f ca="1">IFERROR(__xludf.DUMMYFUNCTION("""COMPUTED_VALUE"""),39945.4022299)</f>
        <v>39945.402229899999</v>
      </c>
      <c r="C48" s="12">
        <f ca="1">IFERROR(__xludf.DUMMYFUNCTION("""COMPUTED_VALUE"""),2662)</f>
        <v>2662</v>
      </c>
      <c r="D48" s="12">
        <f ca="1">IFERROR(__xludf.DUMMYFUNCTION("""COMPUTED_VALUE"""),35.5)</f>
        <v>35.5</v>
      </c>
      <c r="E48" s="12">
        <f ca="1">IFERROR(__xludf.DUMMYFUNCTION("""COMPUTED_VALUE"""),3025)</f>
        <v>3025</v>
      </c>
      <c r="F48" s="14">
        <f ca="1">IFERROR(__xludf.DUMMYFUNCTION("""COMPUTED_VALUE"""),0.12)</f>
        <v>0.12</v>
      </c>
      <c r="G48" s="12">
        <f ca="1">IFERROR(__xludf.DUMMYFUNCTION("""COMPUTED_VALUE"""),2043.85)</f>
        <v>2043.85</v>
      </c>
      <c r="H48" s="14">
        <f ca="1">IFERROR(__xludf.DUMMYFUNCTION("""COMPUTED_VALUE"""),0.302443917117205)</f>
        <v>0.30244391711720497</v>
      </c>
      <c r="I48" s="12">
        <f ca="1">IFERROR(__xludf.DUMMYFUNCTION("""COMPUTED_VALUE"""),2677.05)</f>
        <v>2677.05</v>
      </c>
      <c r="J48" s="14">
        <f ca="1">IFERROR(__xludf.DUMMYFUNCTION("""COMPUTED_VALUE"""),-0.00562185988308032)</f>
        <v>-5.6218598830803197E-3</v>
      </c>
      <c r="K48" s="12" t="str">
        <f ca="1">IFERROR(__xludf.DUMMYFUNCTION("""COMPUTED_VALUE"""),"Consumer Electrical")</f>
        <v>Consumer Electrical</v>
      </c>
      <c r="L48" s="12" t="str">
        <f ca="1">IFERROR(__xludf.DUMMYFUNCTION("""COMPUTED_VALUE"""),"POLYCAB")</f>
        <v>POLYCAB</v>
      </c>
      <c r="M48" s="12" t="str">
        <f ca="1">IFERROR(__xludf.DUMMYFUNCTION("""COMPUTED_VALUE"""),"No")</f>
        <v>No</v>
      </c>
      <c r="N48" s="12" t="str">
        <f ca="1">IFERROR(__xludf.DUMMYFUNCTION("""COMPUTED_VALUE"""),"No")</f>
        <v>No</v>
      </c>
      <c r="O48" s="12" t="str">
        <f ca="1">IFERROR(__xludf.DUMMYFUNCTION("""COMPUTED_VALUE"""),"Good Stock")</f>
        <v>Good Stock</v>
      </c>
      <c r="P48" s="12" t="str">
        <f ca="1">IFERROR(__xludf.DUMMYFUNCTION("""COMPUTED_VALUE"""),"Large Cap")</f>
        <v>Large Cap</v>
      </c>
    </row>
    <row r="49" spans="1:16">
      <c r="A49" s="12" t="str">
        <f ca="1">IFERROR(__xludf.DUMMYFUNCTION("""COMPUTED_VALUE"""),"Solar Industries")</f>
        <v>Solar Industries</v>
      </c>
      <c r="B49" s="13">
        <f ca="1">IFERROR(__xludf.DUMMYFUNCTION("""COMPUTED_VALUE"""),38859.14)</f>
        <v>38859.14</v>
      </c>
      <c r="C49" s="12">
        <f ca="1">IFERROR(__xludf.DUMMYFUNCTION("""COMPUTED_VALUE"""),4338)</f>
        <v>4338</v>
      </c>
      <c r="D49" s="12">
        <f ca="1">IFERROR(__xludf.DUMMYFUNCTION("""COMPUTED_VALUE"""),63.66)</f>
        <v>63.66</v>
      </c>
      <c r="E49" s="12">
        <f ca="1">IFERROR(__xludf.DUMMYFUNCTION("""COMPUTED_VALUE"""),4535.95)</f>
        <v>4535.95</v>
      </c>
      <c r="F49" s="14">
        <f ca="1">IFERROR(__xludf.DUMMYFUNCTION("""COMPUTED_VALUE"""),0.0436402517664435)</f>
        <v>4.3640251766443497E-2</v>
      </c>
      <c r="G49" s="12">
        <f ca="1">IFERROR(__xludf.DUMMYFUNCTION("""COMPUTED_VALUE"""),2160.05)</f>
        <v>2160.0500000000002</v>
      </c>
      <c r="H49" s="14">
        <f ca="1">IFERROR(__xludf.DUMMYFUNCTION("""COMPUTED_VALUE"""),1.00828684521191)</f>
        <v>1.00828684521191</v>
      </c>
      <c r="I49" s="12">
        <f ca="1">IFERROR(__xludf.DUMMYFUNCTION("""COMPUTED_VALUE"""),4340.15)</f>
        <v>4340.1499999999996</v>
      </c>
      <c r="J49" s="14">
        <f ca="1">IFERROR(__xludf.DUMMYFUNCTION("""COMPUTED_VALUE"""),-0.000495374583827664)</f>
        <v>-4.9537458382766398E-4</v>
      </c>
      <c r="K49" s="12" t="str">
        <f ca="1">IFERROR(__xludf.DUMMYFUNCTION("""COMPUTED_VALUE"""),"Defence")</f>
        <v>Defence</v>
      </c>
      <c r="L49" s="12" t="str">
        <f ca="1">IFERROR(__xludf.DUMMYFUNCTION("""COMPUTED_VALUE"""),"BOM:532725")</f>
        <v>BOM:532725</v>
      </c>
      <c r="M49" s="12" t="str">
        <f ca="1">IFERROR(__xludf.DUMMYFUNCTION("""COMPUTED_VALUE"""),"No")</f>
        <v>No</v>
      </c>
      <c r="N49" s="12" t="str">
        <f ca="1">IFERROR(__xludf.DUMMYFUNCTION("""COMPUTED_VALUE"""),"No")</f>
        <v>No</v>
      </c>
      <c r="O49" s="12" t="str">
        <f ca="1">IFERROR(__xludf.DUMMYFUNCTION("""COMPUTED_VALUE"""),"Good Stock")</f>
        <v>Good Stock</v>
      </c>
      <c r="P49" s="12" t="str">
        <f ca="1">IFERROR(__xludf.DUMMYFUNCTION("""COMPUTED_VALUE"""),"Large Cap")</f>
        <v>Large Cap</v>
      </c>
    </row>
    <row r="50" spans="1:16">
      <c r="A50" s="12" t="str">
        <f ca="1">IFERROR(__xludf.DUMMYFUNCTION("""COMPUTED_VALUE"""),"Tata Elxsi")</f>
        <v>Tata Elxsi</v>
      </c>
      <c r="B50" s="13">
        <f ca="1">IFERROR(__xludf.DUMMYFUNCTION("""COMPUTED_VALUE"""),38754.622389)</f>
        <v>38754.622388999996</v>
      </c>
      <c r="C50" s="12">
        <f ca="1">IFERROR(__xludf.DUMMYFUNCTION("""COMPUTED_VALUE"""),6223)</f>
        <v>6223</v>
      </c>
      <c r="D50" s="12">
        <f ca="1">IFERROR(__xludf.DUMMYFUNCTION("""COMPUTED_VALUE"""),57.85)</f>
        <v>57.85</v>
      </c>
      <c r="E50" s="12">
        <f ca="1">IFERROR(__xludf.DUMMYFUNCTION("""COMPUTED_VALUE"""),10760)</f>
        <v>10760</v>
      </c>
      <c r="F50" s="14">
        <f ca="1">IFERROR(__xludf.DUMMYFUNCTION("""COMPUTED_VALUE"""),0.421654275092936)</f>
        <v>0.42165427509293602</v>
      </c>
      <c r="G50" s="12">
        <f ca="1">IFERROR(__xludf.DUMMYFUNCTION("""COMPUTED_VALUE"""),5709.05)</f>
        <v>5709.05</v>
      </c>
      <c r="H50" s="14">
        <f ca="1">IFERROR(__xludf.DUMMYFUNCTION("""COMPUTED_VALUE"""),0.0900237342465033)</f>
        <v>9.0023734246503298E-2</v>
      </c>
      <c r="I50" s="12">
        <f ca="1">IFERROR(__xludf.DUMMYFUNCTION("""COMPUTED_VALUE"""),6196.65)</f>
        <v>6196.65</v>
      </c>
      <c r="J50" s="14">
        <f ca="1">IFERROR(__xludf.DUMMYFUNCTION("""COMPUTED_VALUE"""),0.00425229761241967)</f>
        <v>4.25229761241967E-3</v>
      </c>
      <c r="K50" s="12" t="str">
        <f ca="1">IFERROR(__xludf.DUMMYFUNCTION("""COMPUTED_VALUE"""),"IT-Software")</f>
        <v>IT-Software</v>
      </c>
      <c r="L50" s="12" t="str">
        <f ca="1">IFERROR(__xludf.DUMMYFUNCTION("""COMPUTED_VALUE"""),"TATAELXSI")</f>
        <v>TATAELXSI</v>
      </c>
      <c r="M50" s="12" t="str">
        <f ca="1">IFERROR(__xludf.DUMMYFUNCTION("""COMPUTED_VALUE"""),"No")</f>
        <v>No</v>
      </c>
      <c r="N50" s="12" t="str">
        <f ca="1">IFERROR(__xludf.DUMMYFUNCTION("""COMPUTED_VALUE"""),"No")</f>
        <v>No</v>
      </c>
      <c r="O50" s="12" t="str">
        <f ca="1">IFERROR(__xludf.DUMMYFUNCTION("""COMPUTED_VALUE"""),"Good Stock")</f>
        <v>Good Stock</v>
      </c>
      <c r="P50" s="12" t="str">
        <f ca="1">IFERROR(__xludf.DUMMYFUNCTION("""COMPUTED_VALUE"""),"Large Cap")</f>
        <v>Large Cap</v>
      </c>
    </row>
    <row r="51" spans="1:16">
      <c r="A51" s="12" t="str">
        <f ca="1">IFERROR(__xludf.DUMMYFUNCTION("""COMPUTED_VALUE"""),"Mphasis")</f>
        <v>Mphasis</v>
      </c>
      <c r="B51" s="13">
        <f ca="1">IFERROR(__xludf.DUMMYFUNCTION("""COMPUTED_VALUE"""),38348.8672779)</f>
        <v>38348.867277899997</v>
      </c>
      <c r="C51" s="12">
        <f ca="1">IFERROR(__xludf.DUMMYFUNCTION("""COMPUTED_VALUE"""),2035.55)</f>
        <v>2035.55</v>
      </c>
      <c r="D51" s="12">
        <f ca="1">IFERROR(__xludf.DUMMYFUNCTION("""COMPUTED_VALUE"""),24.59)</f>
        <v>24.59</v>
      </c>
      <c r="E51" s="12">
        <f ca="1">IFERROR(__xludf.DUMMYFUNCTION("""COMPUTED_VALUE"""),3466.4)</f>
        <v>3466.4</v>
      </c>
      <c r="F51" s="14">
        <f ca="1">IFERROR(__xludf.DUMMYFUNCTION("""COMPUTED_VALUE"""),0.412776944380336)</f>
        <v>0.41277694438033602</v>
      </c>
      <c r="G51" s="12">
        <f ca="1">IFERROR(__xludf.DUMMYFUNCTION("""COMPUTED_VALUE"""),1897.35)</f>
        <v>1897.35</v>
      </c>
      <c r="H51" s="14">
        <f ca="1">IFERROR(__xludf.DUMMYFUNCTION("""COMPUTED_VALUE"""),0.0728384325506627)</f>
        <v>7.2838432550662705E-2</v>
      </c>
      <c r="I51" s="12">
        <f ca="1">IFERROR(__xludf.DUMMYFUNCTION("""COMPUTED_VALUE"""),2013.55)</f>
        <v>2013.55</v>
      </c>
      <c r="J51" s="14">
        <f ca="1">IFERROR(__xludf.DUMMYFUNCTION("""COMPUTED_VALUE"""),0.0109259765091505)</f>
        <v>1.09259765091505E-2</v>
      </c>
      <c r="K51" s="12" t="str">
        <f ca="1">IFERROR(__xludf.DUMMYFUNCTION("""COMPUTED_VALUE"""),"IT")</f>
        <v>IT</v>
      </c>
      <c r="L51" s="12" t="str">
        <f ca="1">IFERROR(__xludf.DUMMYFUNCTION("""COMPUTED_VALUE"""),"BOM:526299")</f>
        <v>BOM:526299</v>
      </c>
      <c r="M51" s="12" t="str">
        <f ca="1">IFERROR(__xludf.DUMMYFUNCTION("""COMPUTED_VALUE"""),"No")</f>
        <v>No</v>
      </c>
      <c r="N51" s="12" t="str">
        <f ca="1">IFERROR(__xludf.DUMMYFUNCTION("""COMPUTED_VALUE"""),"No")</f>
        <v>No</v>
      </c>
      <c r="O51" s="12" t="str">
        <f ca="1">IFERROR(__xludf.DUMMYFUNCTION("""COMPUTED_VALUE"""),"Good Stock")</f>
        <v>Good Stock</v>
      </c>
      <c r="P51" s="12" t="str">
        <f ca="1">IFERROR(__xludf.DUMMYFUNCTION("""COMPUTED_VALUE"""),"Large Cap")</f>
        <v>Large Cap</v>
      </c>
    </row>
    <row r="52" spans="1:16">
      <c r="A52" s="12" t="str">
        <f ca="1">IFERROR(__xludf.DUMMYFUNCTION("""COMPUTED_VALUE"""),"Bandhan Bank")</f>
        <v>Bandhan Bank</v>
      </c>
      <c r="B52" s="13">
        <f ca="1">IFERROR(__xludf.DUMMYFUNCTION("""COMPUTED_VALUE"""),38329.8286)</f>
        <v>38329.828600000001</v>
      </c>
      <c r="C52" s="12">
        <f ca="1">IFERROR(__xludf.DUMMYFUNCTION("""COMPUTED_VALUE"""),237.75)</f>
        <v>237.75</v>
      </c>
      <c r="D52" s="12">
        <f ca="1">IFERROR(__xludf.DUMMYFUNCTION("""COMPUTED_VALUE"""),9.94)</f>
        <v>9.94</v>
      </c>
      <c r="E52" s="12">
        <f ca="1">IFERROR(__xludf.DUMMYFUNCTION("""COMPUTED_VALUE"""),349.55)</f>
        <v>349.55</v>
      </c>
      <c r="F52" s="14">
        <f ca="1">IFERROR(__xludf.DUMMYFUNCTION("""COMPUTED_VALUE"""),0.319839794020884)</f>
        <v>0.31983979402088403</v>
      </c>
      <c r="G52" s="12">
        <f ca="1">IFERROR(__xludf.DUMMYFUNCTION("""COMPUTED_VALUE"""),209.55)</f>
        <v>209.55</v>
      </c>
      <c r="H52" s="14">
        <f ca="1">IFERROR(__xludf.DUMMYFUNCTION("""COMPUTED_VALUE"""),0.134574087329992)</f>
        <v>0.13457408732999199</v>
      </c>
      <c r="I52" s="12">
        <f ca="1">IFERROR(__xludf.DUMMYFUNCTION("""COMPUTED_VALUE"""),239.25)</f>
        <v>239.25</v>
      </c>
      <c r="J52" s="14">
        <f ca="1">IFERROR(__xludf.DUMMYFUNCTION("""COMPUTED_VALUE"""),-0.00626959247648902)</f>
        <v>-6.2695924764890202E-3</v>
      </c>
      <c r="K52" s="12" t="str">
        <f ca="1">IFERROR(__xludf.DUMMYFUNCTION("""COMPUTED_VALUE"""),"Bank")</f>
        <v>Bank</v>
      </c>
      <c r="L52" s="12" t="str">
        <f ca="1">IFERROR(__xludf.DUMMYFUNCTION("""COMPUTED_VALUE"""),"BANDHANBNK")</f>
        <v>BANDHANBNK</v>
      </c>
      <c r="M52" s="12" t="str">
        <f ca="1">IFERROR(__xludf.DUMMYFUNCTION("""COMPUTED_VALUE"""),"No")</f>
        <v>No</v>
      </c>
      <c r="N52" s="12" t="str">
        <f ca="1">IFERROR(__xludf.DUMMYFUNCTION("""COMPUTED_VALUE"""),"No")</f>
        <v>No</v>
      </c>
      <c r="O52" s="12" t="str">
        <f ca="1">IFERROR(__xludf.DUMMYFUNCTION("""COMPUTED_VALUE"""),"Good Stock")</f>
        <v>Good Stock</v>
      </c>
      <c r="P52" s="12" t="str">
        <f ca="1">IFERROR(__xludf.DUMMYFUNCTION("""COMPUTED_VALUE"""),"Large Cap")</f>
        <v>Large Cap</v>
      </c>
    </row>
    <row r="53" spans="1:16">
      <c r="A53" s="12" t="str">
        <f ca="1">IFERROR(__xludf.DUMMYFUNCTION("""COMPUTED_VALUE"""),"L&amp;T Technology")</f>
        <v>L&amp;T Technology</v>
      </c>
      <c r="B53" s="13">
        <f ca="1">IFERROR(__xludf.DUMMYFUNCTION("""COMPUTED_VALUE"""),36421.231513)</f>
        <v>36421.231512999999</v>
      </c>
      <c r="C53" s="12">
        <f ca="1">IFERROR(__xludf.DUMMYFUNCTION("""COMPUTED_VALUE"""),3446.95)</f>
        <v>3446.95</v>
      </c>
      <c r="D53" s="12">
        <f ca="1">IFERROR(__xludf.DUMMYFUNCTION("""COMPUTED_VALUE"""),34.13)</f>
        <v>34.130000000000003</v>
      </c>
      <c r="E53" s="12">
        <f ca="1">IFERROR(__xludf.DUMMYFUNCTION("""COMPUTED_VALUE"""),5714)</f>
        <v>5714</v>
      </c>
      <c r="F53" s="14">
        <f ca="1">IFERROR(__xludf.DUMMYFUNCTION("""COMPUTED_VALUE"""),0.396753587679384)</f>
        <v>0.39675358767938401</v>
      </c>
      <c r="G53" s="12">
        <f ca="1">IFERROR(__xludf.DUMMYFUNCTION("""COMPUTED_VALUE"""),2923.35)</f>
        <v>2923.35</v>
      </c>
      <c r="H53" s="14">
        <f ca="1">IFERROR(__xludf.DUMMYFUNCTION("""COMPUTED_VALUE"""),0.179109583183676)</f>
        <v>0.17910958318367601</v>
      </c>
      <c r="I53" s="12">
        <f ca="1">IFERROR(__xludf.DUMMYFUNCTION("""COMPUTED_VALUE"""),3640.5)</f>
        <v>3640.5</v>
      </c>
      <c r="J53" s="14">
        <f ca="1">IFERROR(__xludf.DUMMYFUNCTION("""COMPUTED_VALUE"""),-0.0531657739321522)</f>
        <v>-5.3165773932152202E-2</v>
      </c>
      <c r="K53" s="12" t="str">
        <f ca="1">IFERROR(__xludf.DUMMYFUNCTION("""COMPUTED_VALUE"""),"Technology")</f>
        <v>Technology</v>
      </c>
      <c r="L53" s="12" t="str">
        <f ca="1">IFERROR(__xludf.DUMMYFUNCTION("""COMPUTED_VALUE"""),"BOM:540115")</f>
        <v>BOM:540115</v>
      </c>
      <c r="M53" s="12" t="str">
        <f ca="1">IFERROR(__xludf.DUMMYFUNCTION("""COMPUTED_VALUE"""),"No")</f>
        <v>No</v>
      </c>
      <c r="N53" s="12" t="str">
        <f ca="1">IFERROR(__xludf.DUMMYFUNCTION("""COMPUTED_VALUE"""),"No")</f>
        <v>No</v>
      </c>
      <c r="O53" s="12" t="str">
        <f ca="1">IFERROR(__xludf.DUMMYFUNCTION("""COMPUTED_VALUE"""),"Good Stock")</f>
        <v>Good Stock</v>
      </c>
      <c r="P53" s="12" t="str">
        <f ca="1">IFERROR(__xludf.DUMMYFUNCTION("""COMPUTED_VALUE"""),"Large Cap")</f>
        <v>Large Cap</v>
      </c>
    </row>
    <row r="54" spans="1:16">
      <c r="A54" s="12" t="str">
        <f ca="1">IFERROR(__xludf.DUMMYFUNCTION("""COMPUTED_VALUE"""),"APL Apollo")</f>
        <v>APL Apollo</v>
      </c>
      <c r="B54" s="13">
        <f ca="1">IFERROR(__xludf.DUMMYFUNCTION("""COMPUTED_VALUE"""),31477.05)</f>
        <v>31477.05</v>
      </c>
      <c r="C54" s="12">
        <f ca="1">IFERROR(__xludf.DUMMYFUNCTION("""COMPUTED_VALUE"""),1136)</f>
        <v>1136</v>
      </c>
      <c r="D54" s="12">
        <f ca="1">IFERROR(__xludf.DUMMYFUNCTION("""COMPUTED_VALUE"""),54.9)</f>
        <v>54.9</v>
      </c>
      <c r="E54" s="12">
        <f ca="1">IFERROR(__xludf.DUMMYFUNCTION("""COMPUTED_VALUE"""),1193.85)</f>
        <v>1193.8499999999999</v>
      </c>
      <c r="F54" s="14">
        <f ca="1">IFERROR(__xludf.DUMMYFUNCTION("""COMPUTED_VALUE"""),0.048456673786489)</f>
        <v>4.8456673786488998E-2</v>
      </c>
      <c r="G54" s="12">
        <f ca="1">IFERROR(__xludf.DUMMYFUNCTION("""COMPUTED_VALUE"""),771)</f>
        <v>771</v>
      </c>
      <c r="H54" s="14">
        <f ca="1">IFERROR(__xludf.DUMMYFUNCTION("""COMPUTED_VALUE"""),0.473411154345006)</f>
        <v>0.47341115434500602</v>
      </c>
      <c r="I54" s="12">
        <f ca="1">IFERROR(__xludf.DUMMYFUNCTION("""COMPUTED_VALUE"""),1127.95)</f>
        <v>1127.95</v>
      </c>
      <c r="J54" s="14">
        <f ca="1">IFERROR(__xludf.DUMMYFUNCTION("""COMPUTED_VALUE"""),0.00713684117203772)</f>
        <v>7.1368411720377197E-3</v>
      </c>
      <c r="K54" s="12" t="str">
        <f ca="1">IFERROR(__xludf.DUMMYFUNCTION("""COMPUTED_VALUE"""),"Steel")</f>
        <v>Steel</v>
      </c>
      <c r="L54" s="12" t="str">
        <f ca="1">IFERROR(__xludf.DUMMYFUNCTION("""COMPUTED_VALUE"""),"BOM:533758")</f>
        <v>BOM:533758</v>
      </c>
      <c r="M54" s="12" t="str">
        <f ca="1">IFERROR(__xludf.DUMMYFUNCTION("""COMPUTED_VALUE"""),"No")</f>
        <v>No</v>
      </c>
      <c r="N54" s="12" t="str">
        <f ca="1">IFERROR(__xludf.DUMMYFUNCTION("""COMPUTED_VALUE"""),"No")</f>
        <v>No</v>
      </c>
      <c r="O54" s="12" t="str">
        <f ca="1">IFERROR(__xludf.DUMMYFUNCTION("""COMPUTED_VALUE"""),"Good Stock")</f>
        <v>Good Stock</v>
      </c>
      <c r="P54" s="12" t="str">
        <f ca="1">IFERROR(__xludf.DUMMYFUNCTION("""COMPUTED_VALUE"""),"Large Cap")</f>
        <v>Large Cap</v>
      </c>
    </row>
    <row r="55" spans="1:16">
      <c r="A55" s="12" t="str">
        <f ca="1">IFERROR(__xludf.DUMMYFUNCTION("""COMPUTED_VALUE"""),"Supreme Industries")</f>
        <v>Supreme Industries</v>
      </c>
      <c r="B55" s="13">
        <f ca="1">IFERROR(__xludf.DUMMYFUNCTION("""COMPUTED_VALUE"""),31369.92)</f>
        <v>31369.919999999998</v>
      </c>
      <c r="C55" s="12">
        <f ca="1">IFERROR(__xludf.DUMMYFUNCTION("""COMPUTED_VALUE"""),2461)</f>
        <v>2461</v>
      </c>
      <c r="D55" s="12">
        <f ca="1">IFERROR(__xludf.DUMMYFUNCTION("""COMPUTED_VALUE"""),36.12)</f>
        <v>36.119999999999997</v>
      </c>
      <c r="E55" s="12">
        <f ca="1">IFERROR(__xludf.DUMMYFUNCTION("""COMPUTED_VALUE"""),2607.65)</f>
        <v>2607.65</v>
      </c>
      <c r="F55" s="14">
        <f ca="1">IFERROR(__xludf.DUMMYFUNCTION("""COMPUTED_VALUE"""),0.0562383755488658)</f>
        <v>5.62383755488658E-2</v>
      </c>
      <c r="G55" s="12">
        <f ca="1">IFERROR(__xludf.DUMMYFUNCTION("""COMPUTED_VALUE"""),1666.25)</f>
        <v>1666.25</v>
      </c>
      <c r="H55" s="14">
        <f ca="1">IFERROR(__xludf.DUMMYFUNCTION("""COMPUTED_VALUE"""),0.476969242310577)</f>
        <v>0.47696924231057702</v>
      </c>
      <c r="I55" s="12">
        <f ca="1">IFERROR(__xludf.DUMMYFUNCTION("""COMPUTED_VALUE"""),2452.7)</f>
        <v>2452.6999999999998</v>
      </c>
      <c r="J55" s="14">
        <f ca="1">IFERROR(__xludf.DUMMYFUNCTION("""COMPUTED_VALUE"""),0.00338402576752158)</f>
        <v>3.3840257675215799E-3</v>
      </c>
      <c r="K55" s="12" t="str">
        <f ca="1">IFERROR(__xludf.DUMMYFUNCTION("""COMPUTED_VALUE"""),"Plastic")</f>
        <v>Plastic</v>
      </c>
      <c r="L55" s="12" t="str">
        <f ca="1">IFERROR(__xludf.DUMMYFUNCTION("""COMPUTED_VALUE"""),"SUPREMEIND")</f>
        <v>SUPREMEIND</v>
      </c>
      <c r="M55" s="12" t="str">
        <f ca="1">IFERROR(__xludf.DUMMYFUNCTION("""COMPUTED_VALUE"""),"No")</f>
        <v>No</v>
      </c>
      <c r="N55" s="12" t="str">
        <f ca="1">IFERROR(__xludf.DUMMYFUNCTION("""COMPUTED_VALUE"""),"No")</f>
        <v>No</v>
      </c>
      <c r="O55" s="12" t="str">
        <f ca="1">IFERROR(__xludf.DUMMYFUNCTION("""COMPUTED_VALUE"""),"Good Stock")</f>
        <v>Good Stock</v>
      </c>
      <c r="P55" s="12" t="str">
        <f ca="1">IFERROR(__xludf.DUMMYFUNCTION("""COMPUTED_VALUE"""),"Large Cap")</f>
        <v>Large Cap</v>
      </c>
    </row>
    <row r="56" spans="1:16">
      <c r="A56" s="12" t="str">
        <f ca="1">IFERROR(__xludf.DUMMYFUNCTION("""COMPUTED_VALUE"""),"Gujarat Gas")</f>
        <v>Gujarat Gas</v>
      </c>
      <c r="B56" s="13">
        <f ca="1">IFERROR(__xludf.DUMMYFUNCTION("""COMPUTED_VALUE"""),31008.5328948)</f>
        <v>31008.532894799999</v>
      </c>
      <c r="C56" s="12">
        <f ca="1">IFERROR(__xludf.DUMMYFUNCTION("""COMPUTED_VALUE"""),450.2)</f>
        <v>450.2</v>
      </c>
      <c r="D56" s="12">
        <f ca="1">IFERROR(__xludf.DUMMYFUNCTION("""COMPUTED_VALUE"""),22.9)</f>
        <v>22.9</v>
      </c>
      <c r="E56" s="12">
        <f ca="1">IFERROR(__xludf.DUMMYFUNCTION("""COMPUTED_VALUE"""),721.8)</f>
        <v>721.8</v>
      </c>
      <c r="F56" s="14">
        <f ca="1">IFERROR(__xludf.DUMMYFUNCTION("""COMPUTED_VALUE"""),0.376281518426156)</f>
        <v>0.37628151842615598</v>
      </c>
      <c r="G56" s="12">
        <f ca="1">IFERROR(__xludf.DUMMYFUNCTION("""COMPUTED_VALUE"""),403.55)</f>
        <v>403.55</v>
      </c>
      <c r="H56" s="14">
        <f ca="1">IFERROR(__xludf.DUMMYFUNCTION("""COMPUTED_VALUE"""),0.11559905835708)</f>
        <v>0.11559905835708</v>
      </c>
      <c r="I56" s="12">
        <f ca="1">IFERROR(__xludf.DUMMYFUNCTION("""COMPUTED_VALUE"""),466.8)</f>
        <v>466.8</v>
      </c>
      <c r="J56" s="14">
        <f ca="1">IFERROR(__xludf.DUMMYFUNCTION("""COMPUTED_VALUE"""),-0.0355612682090831)</f>
        <v>-3.5561268209083098E-2</v>
      </c>
      <c r="K56" s="12" t="str">
        <f ca="1">IFERROR(__xludf.DUMMYFUNCTION("""COMPUTED_VALUE"""),"Utility")</f>
        <v>Utility</v>
      </c>
      <c r="L56" s="12" t="str">
        <f ca="1">IFERROR(__xludf.DUMMYFUNCTION("""COMPUTED_VALUE"""),"GUJGASLTD")</f>
        <v>GUJGASLTD</v>
      </c>
      <c r="M56" s="12" t="str">
        <f ca="1">IFERROR(__xludf.DUMMYFUNCTION("""COMPUTED_VALUE"""),"No")</f>
        <v>No</v>
      </c>
      <c r="N56" s="12" t="str">
        <f ca="1">IFERROR(__xludf.DUMMYFUNCTION("""COMPUTED_VALUE"""),"No")</f>
        <v>No</v>
      </c>
      <c r="O56" s="12" t="str">
        <f ca="1">IFERROR(__xludf.DUMMYFUNCTION("""COMPUTED_VALUE"""),"Good Stock")</f>
        <v>Good Stock</v>
      </c>
      <c r="P56" s="12" t="str">
        <f ca="1">IFERROR(__xludf.DUMMYFUNCTION("""COMPUTED_VALUE"""),"Large Cap")</f>
        <v>Large Cap</v>
      </c>
    </row>
    <row r="57" spans="1:16">
      <c r="A57" s="12" t="str">
        <f ca="1">IFERROR(__xludf.DUMMYFUNCTION("""COMPUTED_VALUE"""),"Gujarat Florochemical")</f>
        <v>Gujarat Florochemical</v>
      </c>
      <c r="B57" s="13">
        <f ca="1">IFERROR(__xludf.DUMMYFUNCTION("""COMPUTED_VALUE"""),30664.6275)</f>
        <v>30664.627499999999</v>
      </c>
      <c r="C57" s="12">
        <f ca="1">IFERROR(__xludf.DUMMYFUNCTION("""COMPUTED_VALUE"""),2793.5)</f>
        <v>2793.5</v>
      </c>
      <c r="D57" s="12">
        <f ca="1">IFERROR(__xludf.DUMMYFUNCTION("""COMPUTED_VALUE"""),28.23)</f>
        <v>28.23</v>
      </c>
      <c r="E57" s="12">
        <f ca="1">IFERROR(__xludf.DUMMYFUNCTION("""COMPUTED_VALUE"""),4172.95)</f>
        <v>4172.95</v>
      </c>
      <c r="F57" s="14">
        <f ca="1">IFERROR(__xludf.DUMMYFUNCTION("""COMPUTED_VALUE"""),0.330569501192202)</f>
        <v>0.33056950119220202</v>
      </c>
      <c r="G57" s="12">
        <f ca="1">IFERROR(__xludf.DUMMYFUNCTION("""COMPUTED_VALUE"""),2105.15)</f>
        <v>2105.15</v>
      </c>
      <c r="H57" s="14">
        <f ca="1">IFERROR(__xludf.DUMMYFUNCTION("""COMPUTED_VALUE"""),0.326983825380614)</f>
        <v>0.32698382538061399</v>
      </c>
      <c r="I57" s="12">
        <f ca="1">IFERROR(__xludf.DUMMYFUNCTION("""COMPUTED_VALUE"""),2841.6)</f>
        <v>2841.6</v>
      </c>
      <c r="J57" s="14">
        <f ca="1">IFERROR(__xludf.DUMMYFUNCTION("""COMPUTED_VALUE"""),-0.0169270833333333)</f>
        <v>-1.6927083333333301E-2</v>
      </c>
      <c r="K57" s="12" t="str">
        <f ca="1">IFERROR(__xludf.DUMMYFUNCTION("""COMPUTED_VALUE"""),"chemical")</f>
        <v>chemical</v>
      </c>
      <c r="L57" s="12" t="str">
        <f ca="1">IFERROR(__xludf.DUMMYFUNCTION("""COMPUTED_VALUE"""),"BOM:542812")</f>
        <v>BOM:542812</v>
      </c>
      <c r="M57" s="12" t="str">
        <f ca="1">IFERROR(__xludf.DUMMYFUNCTION("""COMPUTED_VALUE"""),"No")</f>
        <v>No</v>
      </c>
      <c r="N57" s="12" t="str">
        <f ca="1">IFERROR(__xludf.DUMMYFUNCTION("""COMPUTED_VALUE"""),"No")</f>
        <v>No</v>
      </c>
      <c r="O57" s="12" t="str">
        <f ca="1">IFERROR(__xludf.DUMMYFUNCTION("""COMPUTED_VALUE"""),"Good Stock")</f>
        <v>Good Stock</v>
      </c>
      <c r="P57" s="12" t="str">
        <f ca="1">IFERROR(__xludf.DUMMYFUNCTION("""COMPUTED_VALUE"""),"Large Cap")</f>
        <v>Large Cap</v>
      </c>
    </row>
    <row r="58" spans="1:16">
      <c r="A58" s="12" t="str">
        <f ca="1">IFERROR(__xludf.DUMMYFUNCTION("""COMPUTED_VALUE"""),"Persistent System")</f>
        <v>Persistent System</v>
      </c>
      <c r="B58" s="13">
        <f ca="1">IFERROR(__xludf.DUMMYFUNCTION("""COMPUTED_VALUE"""),30617.09)</f>
        <v>30617.09</v>
      </c>
      <c r="C58" s="12">
        <f ca="1">IFERROR(__xludf.DUMMYFUNCTION("""COMPUTED_VALUE"""),4009)</f>
        <v>4009</v>
      </c>
      <c r="D58" s="12">
        <f ca="1">IFERROR(__xludf.DUMMYFUNCTION("""COMPUTED_VALUE"""),37.59)</f>
        <v>37.590000000000003</v>
      </c>
      <c r="E58" s="12">
        <f ca="1">IFERROR(__xludf.DUMMYFUNCTION("""COMPUTED_VALUE"""),4954)</f>
        <v>4954</v>
      </c>
      <c r="F58" s="14">
        <f ca="1">IFERROR(__xludf.DUMMYFUNCTION("""COMPUTED_VALUE"""),0.190754945498587)</f>
        <v>0.19075494549858699</v>
      </c>
      <c r="G58" s="12">
        <f ca="1">IFERROR(__xludf.DUMMYFUNCTION("""COMPUTED_VALUE"""),3092.05)</f>
        <v>3092.05</v>
      </c>
      <c r="H58" s="14">
        <f ca="1">IFERROR(__xludf.DUMMYFUNCTION("""COMPUTED_VALUE"""),0.296550831972316)</f>
        <v>0.29655083197231602</v>
      </c>
      <c r="I58" s="12">
        <f ca="1">IFERROR(__xludf.DUMMYFUNCTION("""COMPUTED_VALUE"""),3978.2)</f>
        <v>3978.2</v>
      </c>
      <c r="J58" s="14">
        <f ca="1">IFERROR(__xludf.DUMMYFUNCTION("""COMPUTED_VALUE"""),0.00774219496254592)</f>
        <v>7.7421949625459197E-3</v>
      </c>
      <c r="K58" s="12" t="str">
        <f ca="1">IFERROR(__xludf.DUMMYFUNCTION("""COMPUTED_VALUE"""),"IT")</f>
        <v>IT</v>
      </c>
      <c r="L58" s="12" t="str">
        <f ca="1">IFERROR(__xludf.DUMMYFUNCTION("""COMPUTED_VALUE"""),"PERSISTENT")</f>
        <v>PERSISTENT</v>
      </c>
      <c r="M58" s="12" t="str">
        <f ca="1">IFERROR(__xludf.DUMMYFUNCTION("""COMPUTED_VALUE"""),"No")</f>
        <v>No</v>
      </c>
      <c r="N58" s="12" t="str">
        <f ca="1">IFERROR(__xludf.DUMMYFUNCTION("""COMPUTED_VALUE"""),"No")</f>
        <v>No</v>
      </c>
      <c r="O58" s="12" t="str">
        <f ca="1">IFERROR(__xludf.DUMMYFUNCTION("""COMPUTED_VALUE"""),"Good Stock")</f>
        <v>Good Stock</v>
      </c>
      <c r="P58" s="12" t="str">
        <f ca="1">IFERROR(__xludf.DUMMYFUNCTION("""COMPUTED_VALUE"""),"Large Cap")</f>
        <v>Large Cap</v>
      </c>
    </row>
    <row r="59" spans="1:16">
      <c r="A59" s="12" t="str">
        <f ca="1">IFERROR(__xludf.DUMMYFUNCTION("""COMPUTED_VALUE"""),"Federal Bank")</f>
        <v>Federal Bank</v>
      </c>
      <c r="B59" s="13">
        <f ca="1">IFERROR(__xludf.DUMMYFUNCTION("""COMPUTED_VALUE"""),29278.4915846)</f>
        <v>29278.4915846</v>
      </c>
      <c r="C59" s="12">
        <f ca="1">IFERROR(__xludf.DUMMYFUNCTION("""COMPUTED_VALUE"""),138.45)</f>
        <v>138.44999999999999</v>
      </c>
      <c r="D59" s="12">
        <f ca="1">IFERROR(__xludf.DUMMYFUNCTION("""COMPUTED_VALUE"""),11.78)</f>
        <v>11.78</v>
      </c>
      <c r="E59" s="12">
        <f ca="1">IFERROR(__xludf.DUMMYFUNCTION("""COMPUTED_VALUE"""),142.25)</f>
        <v>142.25</v>
      </c>
      <c r="F59" s="14">
        <f ca="1">IFERROR(__xludf.DUMMYFUNCTION("""COMPUTED_VALUE"""),0.0267135325131811)</f>
        <v>2.67135325131811E-2</v>
      </c>
      <c r="G59" s="12">
        <f ca="1">IFERROR(__xludf.DUMMYFUNCTION("""COMPUTED_VALUE"""),82.5)</f>
        <v>82.5</v>
      </c>
      <c r="H59" s="14">
        <f ca="1">IFERROR(__xludf.DUMMYFUNCTION("""COMPUTED_VALUE"""),0.678181818181818)</f>
        <v>0.678181818181818</v>
      </c>
      <c r="I59" s="12">
        <f ca="1">IFERROR(__xludf.DUMMYFUNCTION("""COMPUTED_VALUE"""),135.05)</f>
        <v>135.05000000000001</v>
      </c>
      <c r="J59" s="14">
        <f ca="1">IFERROR(__xludf.DUMMYFUNCTION("""COMPUTED_VALUE"""),0.0251758607922989)</f>
        <v>2.5175860792298901E-2</v>
      </c>
      <c r="K59" s="12" t="str">
        <f ca="1">IFERROR(__xludf.DUMMYFUNCTION("""COMPUTED_VALUE"""),"Bank")</f>
        <v>Bank</v>
      </c>
      <c r="L59" s="12" t="str">
        <f ca="1">IFERROR(__xludf.DUMMYFUNCTION("""COMPUTED_VALUE"""),"BOM:500469")</f>
        <v>BOM:500469</v>
      </c>
      <c r="M59" s="12" t="str">
        <f ca="1">IFERROR(__xludf.DUMMYFUNCTION("""COMPUTED_VALUE"""),"No")</f>
        <v>No</v>
      </c>
      <c r="N59" s="12" t="str">
        <f ca="1">IFERROR(__xludf.DUMMYFUNCTION("""COMPUTED_VALUE"""),"No")</f>
        <v>No</v>
      </c>
      <c r="O59" s="12" t="str">
        <f ca="1">IFERROR(__xludf.DUMMYFUNCTION("""COMPUTED_VALUE"""),"Good Stock")</f>
        <v>Good Stock</v>
      </c>
      <c r="P59" s="12" t="str">
        <f ca="1">IFERROR(__xludf.DUMMYFUNCTION("""COMPUTED_VALUE"""),"Large Cap")</f>
        <v>Large Cap</v>
      </c>
    </row>
    <row r="60" spans="1:16">
      <c r="A60" s="12" t="str">
        <f ca="1">IFERROR(__xludf.DUMMYFUNCTION("""COMPUTED_VALUE"""),"Indraprastha Gas")</f>
        <v>Indraprastha Gas</v>
      </c>
      <c r="B60" s="13">
        <f ca="1">IFERROR(__xludf.DUMMYFUNCTION("""COMPUTED_VALUE"""),29162.03)</f>
        <v>29162.03</v>
      </c>
      <c r="C60" s="12">
        <f ca="1">IFERROR(__xludf.DUMMYFUNCTION("""COMPUTED_VALUE"""),416.85)</f>
        <v>416.85</v>
      </c>
      <c r="D60" s="12">
        <f ca="1">IFERROR(__xludf.DUMMYFUNCTION("""COMPUTED_VALUE"""),17.03)</f>
        <v>17.03</v>
      </c>
      <c r="E60" s="12">
        <f ca="1">IFERROR(__xludf.DUMMYFUNCTION("""COMPUTED_VALUE"""),466.65)</f>
        <v>466.65</v>
      </c>
      <c r="F60" s="14">
        <f ca="1">IFERROR(__xludf.DUMMYFUNCTION("""COMPUTED_VALUE"""),0.106718097074895)</f>
        <v>0.106718097074895</v>
      </c>
      <c r="G60" s="12">
        <f ca="1">IFERROR(__xludf.DUMMYFUNCTION("""COMPUTED_VALUE"""),322.1)</f>
        <v>322.10000000000002</v>
      </c>
      <c r="H60" s="14">
        <f ca="1">IFERROR(__xludf.DUMMYFUNCTION("""COMPUTED_VALUE"""),0.294163303321949)</f>
        <v>0.29416330332194901</v>
      </c>
      <c r="I60" s="12">
        <f ca="1">IFERROR(__xludf.DUMMYFUNCTION("""COMPUTED_VALUE"""),418.6)</f>
        <v>418.6</v>
      </c>
      <c r="J60" s="14">
        <f ca="1">IFERROR(__xludf.DUMMYFUNCTION("""COMPUTED_VALUE"""),-0.00418060200668896)</f>
        <v>-4.1806020066889604E-3</v>
      </c>
      <c r="K60" s="12" t="str">
        <f ca="1">IFERROR(__xludf.DUMMYFUNCTION("""COMPUTED_VALUE"""),"Utility")</f>
        <v>Utility</v>
      </c>
      <c r="L60" s="12" t="str">
        <f ca="1">IFERROR(__xludf.DUMMYFUNCTION("""COMPUTED_VALUE"""),"BOM:532514")</f>
        <v>BOM:532514</v>
      </c>
      <c r="M60" s="12" t="str">
        <f ca="1">IFERROR(__xludf.DUMMYFUNCTION("""COMPUTED_VALUE"""),"No")</f>
        <v>No</v>
      </c>
      <c r="N60" s="12" t="str">
        <f ca="1">IFERROR(__xludf.DUMMYFUNCTION("""COMPUTED_VALUE"""),"No")</f>
        <v>No</v>
      </c>
      <c r="O60" s="12" t="str">
        <f ca="1">IFERROR(__xludf.DUMMYFUNCTION("""COMPUTED_VALUE"""),"Good Stock")</f>
        <v>Good Stock</v>
      </c>
      <c r="P60" s="12" t="str">
        <f ca="1">IFERROR(__xludf.DUMMYFUNCTION("""COMPUTED_VALUE"""),"Large Cap")</f>
        <v>Large Cap</v>
      </c>
    </row>
    <row r="61" spans="1:16">
      <c r="A61" s="12" t="str">
        <f ca="1">IFERROR(__xludf.DUMMYFUNCTION("""COMPUTED_VALUE"""),"Deepak Nitrite")</f>
        <v>Deepak Nitrite</v>
      </c>
      <c r="B61" s="13">
        <f ca="1">IFERROR(__xludf.DUMMYFUNCTION("""COMPUTED_VALUE"""),26525.721745)</f>
        <v>26525.721744999999</v>
      </c>
      <c r="C61" s="12">
        <f ca="1">IFERROR(__xludf.DUMMYFUNCTION("""COMPUTED_VALUE"""),1944.05)</f>
        <v>1944.05</v>
      </c>
      <c r="D61" s="12">
        <f ca="1">IFERROR(__xludf.DUMMYFUNCTION("""COMPUTED_VALUE"""),28.86)</f>
        <v>28.86</v>
      </c>
      <c r="E61" s="12">
        <f ca="1">IFERROR(__xludf.DUMMYFUNCTION("""COMPUTED_VALUE"""),2690.05)</f>
        <v>2690.05</v>
      </c>
      <c r="F61" s="14">
        <f ca="1">IFERROR(__xludf.DUMMYFUNCTION("""COMPUTED_VALUE"""),0.277318265459749)</f>
        <v>0.27731826545974902</v>
      </c>
      <c r="G61" s="12">
        <f ca="1">IFERROR(__xludf.DUMMYFUNCTION("""COMPUTED_VALUE"""),1681.15)</f>
        <v>1681.15</v>
      </c>
      <c r="H61" s="14">
        <f ca="1">IFERROR(__xludf.DUMMYFUNCTION("""COMPUTED_VALUE"""),0.15638104868691)</f>
        <v>0.15638104868691</v>
      </c>
      <c r="I61" s="12">
        <f ca="1">IFERROR(__xludf.DUMMYFUNCTION("""COMPUTED_VALUE"""),1941.8)</f>
        <v>1941.8</v>
      </c>
      <c r="J61" s="14">
        <f ca="1">IFERROR(__xludf.DUMMYFUNCTION("""COMPUTED_VALUE"""),0.0011587187145947)</f>
        <v>1.1587187145947E-3</v>
      </c>
      <c r="K61" s="12" t="str">
        <f ca="1">IFERROR(__xludf.DUMMYFUNCTION("""COMPUTED_VALUE"""),"Chemical")</f>
        <v>Chemical</v>
      </c>
      <c r="L61" s="12" t="str">
        <f ca="1">IFERROR(__xludf.DUMMYFUNCTION("""COMPUTED_VALUE"""),"DEEPAKNTR")</f>
        <v>DEEPAKNTR</v>
      </c>
      <c r="M61" s="12" t="str">
        <f ca="1">IFERROR(__xludf.DUMMYFUNCTION("""COMPUTED_VALUE"""),"No")</f>
        <v>No</v>
      </c>
      <c r="N61" s="12" t="str">
        <f ca="1">IFERROR(__xludf.DUMMYFUNCTION("""COMPUTED_VALUE"""),"No")</f>
        <v>No</v>
      </c>
      <c r="O61" s="12" t="str">
        <f ca="1">IFERROR(__xludf.DUMMYFUNCTION("""COMPUTED_VALUE"""),"Good Stock")</f>
        <v>Good Stock</v>
      </c>
      <c r="P61" s="12" t="str">
        <f ca="1">IFERROR(__xludf.DUMMYFUNCTION("""COMPUTED_VALUE"""),"Medium Cap")</f>
        <v>Medium Cap</v>
      </c>
    </row>
    <row r="62" spans="1:16">
      <c r="A62" s="12" t="str">
        <f ca="1">IFERROR(__xludf.DUMMYFUNCTION("""COMPUTED_VALUE"""),"Coromandel International")</f>
        <v>Coromandel International</v>
      </c>
      <c r="B62" s="13">
        <f ca="1">IFERROR(__xludf.DUMMYFUNCTION("""COMPUTED_VALUE"""),25664.11)</f>
        <v>25664.11</v>
      </c>
      <c r="C62" s="12">
        <f ca="1">IFERROR(__xludf.DUMMYFUNCTION("""COMPUTED_VALUE"""),872)</f>
        <v>872</v>
      </c>
      <c r="D62" s="12">
        <f ca="1">IFERROR(__xludf.DUMMYFUNCTION("""COMPUTED_VALUE"""),13.43)</f>
        <v>13.43</v>
      </c>
      <c r="E62" s="12">
        <f ca="1">IFERROR(__xludf.DUMMYFUNCTION("""COMPUTED_VALUE"""),1094)</f>
        <v>1094</v>
      </c>
      <c r="F62" s="14">
        <f ca="1">IFERROR(__xludf.DUMMYFUNCTION("""COMPUTED_VALUE"""),0.202925045703839)</f>
        <v>0.20292504570383901</v>
      </c>
      <c r="G62" s="12">
        <f ca="1">IFERROR(__xludf.DUMMYFUNCTION("""COMPUTED_VALUE"""),729.55)</f>
        <v>729.55</v>
      </c>
      <c r="H62" s="14">
        <f ca="1">IFERROR(__xludf.DUMMYFUNCTION("""COMPUTED_VALUE"""),0.195257350421492)</f>
        <v>0.195257350421492</v>
      </c>
      <c r="I62" s="12">
        <f ca="1">IFERROR(__xludf.DUMMYFUNCTION("""COMPUTED_VALUE"""),881.85)</f>
        <v>881.85</v>
      </c>
      <c r="J62" s="14">
        <f ca="1">IFERROR(__xludf.DUMMYFUNCTION("""COMPUTED_VALUE"""),-0.0111697000623689)</f>
        <v>-1.1169700062368899E-2</v>
      </c>
      <c r="K62" s="12" t="str">
        <f ca="1">IFERROR(__xludf.DUMMYFUNCTION("""COMPUTED_VALUE"""),"Agrochemical")</f>
        <v>Agrochemical</v>
      </c>
      <c r="L62" s="12" t="str">
        <f ca="1">IFERROR(__xludf.DUMMYFUNCTION("""COMPUTED_VALUE"""),"COROMANDEL")</f>
        <v>COROMANDEL</v>
      </c>
      <c r="M62" s="12" t="str">
        <f ca="1">IFERROR(__xludf.DUMMYFUNCTION("""COMPUTED_VALUE"""),"No")</f>
        <v>No</v>
      </c>
      <c r="N62" s="12" t="str">
        <f ca="1">IFERROR(__xludf.DUMMYFUNCTION("""COMPUTED_VALUE"""),"No")</f>
        <v>No</v>
      </c>
      <c r="O62" s="12" t="str">
        <f ca="1">IFERROR(__xludf.DUMMYFUNCTION("""COMPUTED_VALUE"""),"Good Stock")</f>
        <v>Good Stock</v>
      </c>
      <c r="P62" s="12" t="str">
        <f ca="1">IFERROR(__xludf.DUMMYFUNCTION("""COMPUTED_VALUE"""),"Medium Cap")</f>
        <v>Medium Cap</v>
      </c>
    </row>
    <row r="63" spans="1:16">
      <c r="A63" s="12" t="str">
        <f ca="1">IFERROR(__xludf.DUMMYFUNCTION("""COMPUTED_VALUE"""),"Aurobindo Pharma")</f>
        <v>Aurobindo Pharma</v>
      </c>
      <c r="B63" s="13">
        <f ca="1">IFERROR(__xludf.DUMMYFUNCTION("""COMPUTED_VALUE"""),25505.6859247)</f>
        <v>25505.685924699999</v>
      </c>
      <c r="C63" s="12">
        <f ca="1">IFERROR(__xludf.DUMMYFUNCTION("""COMPUTED_VALUE"""),435.3)</f>
        <v>435.3</v>
      </c>
      <c r="D63" s="12">
        <f ca="1">IFERROR(__xludf.DUMMYFUNCTION("""COMPUTED_VALUE"""),12.08)</f>
        <v>12.08</v>
      </c>
      <c r="E63" s="12">
        <f ca="1">IFERROR(__xludf.DUMMYFUNCTION("""COMPUTED_VALUE"""),727.95)</f>
        <v>727.95</v>
      </c>
      <c r="F63" s="14">
        <f ca="1">IFERROR(__xludf.DUMMYFUNCTION("""COMPUTED_VALUE"""),0.402019369462188)</f>
        <v>0.40201936946218803</v>
      </c>
      <c r="G63" s="12">
        <f ca="1">IFERROR(__xludf.DUMMYFUNCTION("""COMPUTED_VALUE"""),429.2)</f>
        <v>429.2</v>
      </c>
      <c r="H63" s="14">
        <f ca="1">IFERROR(__xludf.DUMMYFUNCTION("""COMPUTED_VALUE"""),0.0142124883504194)</f>
        <v>1.4212488350419401E-2</v>
      </c>
      <c r="I63" s="12">
        <f ca="1">IFERROR(__xludf.DUMMYFUNCTION("""COMPUTED_VALUE"""),446.35)</f>
        <v>446.35</v>
      </c>
      <c r="J63" s="14">
        <f ca="1">IFERROR(__xludf.DUMMYFUNCTION("""COMPUTED_VALUE"""),-0.0247563571188529)</f>
        <v>-2.4756357118852899E-2</v>
      </c>
      <c r="K63" s="12" t="str">
        <f ca="1">IFERROR(__xludf.DUMMYFUNCTION("""COMPUTED_VALUE"""),"Pharma")</f>
        <v>Pharma</v>
      </c>
      <c r="L63" s="12" t="str">
        <f ca="1">IFERROR(__xludf.DUMMYFUNCTION("""COMPUTED_VALUE"""),"AUROPHARMA")</f>
        <v>AUROPHARMA</v>
      </c>
      <c r="M63" s="12" t="str">
        <f ca="1">IFERROR(__xludf.DUMMYFUNCTION("""COMPUTED_VALUE"""),"No")</f>
        <v>No</v>
      </c>
      <c r="N63" s="12" t="str">
        <f ca="1">IFERROR(__xludf.DUMMYFUNCTION("""COMPUTED_VALUE"""),"No")</f>
        <v>No</v>
      </c>
      <c r="O63" s="12" t="str">
        <f ca="1">IFERROR(__xludf.DUMMYFUNCTION("""COMPUTED_VALUE"""),"Good Stock")</f>
        <v>Good Stock</v>
      </c>
      <c r="P63" s="12" t="str">
        <f ca="1">IFERROR(__xludf.DUMMYFUNCTION("""COMPUTED_VALUE"""),"Medium Cap")</f>
        <v>Medium Cap</v>
      </c>
    </row>
    <row r="64" spans="1:16">
      <c r="A64" s="12" t="str">
        <f ca="1">IFERROR(__xludf.DUMMYFUNCTION("""COMPUTED_VALUE"""),"Tata Chemical")</f>
        <v>Tata Chemical</v>
      </c>
      <c r="B64" s="13">
        <f ca="1">IFERROR(__xludf.DUMMYFUNCTION("""COMPUTED_VALUE"""),24851.46731)</f>
        <v>24851.46731</v>
      </c>
      <c r="C64" s="12">
        <f ca="1">IFERROR(__xludf.DUMMYFUNCTION("""COMPUTED_VALUE"""),975.8)</f>
        <v>975.8</v>
      </c>
      <c r="D64" s="12">
        <f ca="1">IFERROR(__xludf.DUMMYFUNCTION("""COMPUTED_VALUE"""),12.65)</f>
        <v>12.65</v>
      </c>
      <c r="E64" s="12">
        <f ca="1">IFERROR(__xludf.DUMMYFUNCTION("""COMPUTED_VALUE"""),1214.65)</f>
        <v>1214.6500000000001</v>
      </c>
      <c r="F64" s="14">
        <f ca="1">IFERROR(__xludf.DUMMYFUNCTION("""COMPUTED_VALUE"""),0.19664100769769)</f>
        <v>0.19664100769769</v>
      </c>
      <c r="G64" s="12">
        <f ca="1">IFERROR(__xludf.DUMMYFUNCTION("""COMPUTED_VALUE"""),773.9)</f>
        <v>773.9</v>
      </c>
      <c r="H64" s="14">
        <f ca="1">IFERROR(__xludf.DUMMYFUNCTION("""COMPUTED_VALUE"""),0.260886419434035)</f>
        <v>0.26088641943403501</v>
      </c>
      <c r="I64" s="12">
        <f ca="1">IFERROR(__xludf.DUMMYFUNCTION("""COMPUTED_VALUE"""),972.55)</f>
        <v>972.55</v>
      </c>
      <c r="J64" s="14">
        <f ca="1">IFERROR(__xludf.DUMMYFUNCTION("""COMPUTED_VALUE"""),0.0033417305022878)</f>
        <v>3.3417305022878001E-3</v>
      </c>
      <c r="K64" s="12" t="str">
        <f ca="1">IFERROR(__xludf.DUMMYFUNCTION("""COMPUTED_VALUE"""),"Chemical")</f>
        <v>Chemical</v>
      </c>
      <c r="L64" s="12" t="str">
        <f ca="1">IFERROR(__xludf.DUMMYFUNCTION("""COMPUTED_VALUE"""),"BOM:500770")</f>
        <v>BOM:500770</v>
      </c>
      <c r="M64" s="12" t="str">
        <f ca="1">IFERROR(__xludf.DUMMYFUNCTION("""COMPUTED_VALUE"""),"No")</f>
        <v>No</v>
      </c>
      <c r="N64" s="12" t="str">
        <f ca="1">IFERROR(__xludf.DUMMYFUNCTION("""COMPUTED_VALUE"""),"No")</f>
        <v>No</v>
      </c>
      <c r="O64" s="12" t="str">
        <f ca="1">IFERROR(__xludf.DUMMYFUNCTION("""COMPUTED_VALUE"""),"Good Stock")</f>
        <v>Good Stock</v>
      </c>
      <c r="P64" s="12" t="str">
        <f ca="1">IFERROR(__xludf.DUMMYFUNCTION("""COMPUTED_VALUE"""),"Medium Cap")</f>
        <v>Medium Cap</v>
      </c>
    </row>
    <row r="65" spans="1:16">
      <c r="A65" s="12" t="str">
        <f ca="1">IFERROR(__xludf.DUMMYFUNCTION("""COMPUTED_VALUE"""),"Sumitomo Chemicals")</f>
        <v>Sumitomo Chemicals</v>
      </c>
      <c r="B65" s="13">
        <f ca="1">IFERROR(__xludf.DUMMYFUNCTION("""COMPUTED_VALUE"""),24637.83)</f>
        <v>24637.83</v>
      </c>
      <c r="C65" s="12">
        <f ca="1">IFERROR(__xludf.DUMMYFUNCTION("""COMPUTED_VALUE"""),493.2)</f>
        <v>493.2</v>
      </c>
      <c r="D65" s="12">
        <f ca="1">IFERROR(__xludf.DUMMYFUNCTION("""COMPUTED_VALUE"""),48.9)</f>
        <v>48.9</v>
      </c>
      <c r="E65" s="12">
        <f ca="1">IFERROR(__xludf.DUMMYFUNCTION("""COMPUTED_VALUE"""),540.8)</f>
        <v>540.79999999999995</v>
      </c>
      <c r="F65" s="14">
        <f ca="1">IFERROR(__xludf.DUMMYFUNCTION("""COMPUTED_VALUE"""),0.0880177514792898)</f>
        <v>8.8017751479289794E-2</v>
      </c>
      <c r="G65" s="12">
        <f ca="1">IFERROR(__xludf.DUMMYFUNCTION("""COMPUTED_VALUE"""),351.5)</f>
        <v>351.5</v>
      </c>
      <c r="H65" s="14">
        <f ca="1">IFERROR(__xludf.DUMMYFUNCTION("""COMPUTED_VALUE"""),0.403129445234708)</f>
        <v>0.40312944523470801</v>
      </c>
      <c r="I65" s="12">
        <f ca="1">IFERROR(__xludf.DUMMYFUNCTION("""COMPUTED_VALUE"""),487.95)</f>
        <v>487.95</v>
      </c>
      <c r="J65" s="14">
        <f ca="1">IFERROR(__xludf.DUMMYFUNCTION("""COMPUTED_VALUE"""),0.0107592991085152)</f>
        <v>1.07592991085152E-2</v>
      </c>
      <c r="K65" s="12" t="str">
        <f ca="1">IFERROR(__xludf.DUMMYFUNCTION("""COMPUTED_VALUE"""),"Agrochemical")</f>
        <v>Agrochemical</v>
      </c>
      <c r="L65" s="12" t="str">
        <f ca="1">IFERROR(__xludf.DUMMYFUNCTION("""COMPUTED_VALUE"""),"SUMICHEM")</f>
        <v>SUMICHEM</v>
      </c>
      <c r="M65" s="12" t="str">
        <f ca="1">IFERROR(__xludf.DUMMYFUNCTION("""COMPUTED_VALUE"""),"No")</f>
        <v>No</v>
      </c>
      <c r="N65" s="12" t="str">
        <f ca="1">IFERROR(__xludf.DUMMYFUNCTION("""COMPUTED_VALUE"""),"No")</f>
        <v>No</v>
      </c>
      <c r="O65" s="12" t="str">
        <f ca="1">IFERROR(__xludf.DUMMYFUNCTION("""COMPUTED_VALUE"""),"Good Stock")</f>
        <v>Good Stock</v>
      </c>
      <c r="P65" s="12" t="str">
        <f ca="1">IFERROR(__xludf.DUMMYFUNCTION("""COMPUTED_VALUE"""),"Medium Cap")</f>
        <v>Medium Cap</v>
      </c>
    </row>
    <row r="66" spans="1:16">
      <c r="A66" s="12" t="str">
        <f ca="1">IFERROR(__xludf.DUMMYFUNCTION("""COMPUTED_VALUE"""),"Gland Pharma")</f>
        <v>Gland Pharma</v>
      </c>
      <c r="B66" s="13">
        <f ca="1">IFERROR(__xludf.DUMMYFUNCTION("""COMPUTED_VALUE"""),23948.9713712)</f>
        <v>23948.971371200001</v>
      </c>
      <c r="C66" s="12">
        <f ca="1">IFERROR(__xludf.DUMMYFUNCTION("""COMPUTED_VALUE"""),1453.65)</f>
        <v>1453.65</v>
      </c>
      <c r="D66" s="12">
        <f ca="1">IFERROR(__xludf.DUMMYFUNCTION("""COMPUTED_VALUE"""),23.28)</f>
        <v>23.28</v>
      </c>
      <c r="E66" s="12">
        <f ca="1">IFERROR(__xludf.DUMMYFUNCTION("""COMPUTED_VALUE"""),3773.95)</f>
        <v>3773.95</v>
      </c>
      <c r="F66" s="14">
        <f ca="1">IFERROR(__xludf.DUMMYFUNCTION("""COMPUTED_VALUE"""),0.614820016163436)</f>
        <v>0.61482001616343596</v>
      </c>
      <c r="G66" s="12">
        <f ca="1">IFERROR(__xludf.DUMMYFUNCTION("""COMPUTED_VALUE"""),1450)</f>
        <v>1450</v>
      </c>
      <c r="H66" s="14">
        <f ca="1">IFERROR(__xludf.DUMMYFUNCTION("""COMPUTED_VALUE"""),0.0025172413793104)</f>
        <v>2.5172413793103999E-3</v>
      </c>
      <c r="I66" s="12">
        <f ca="1">IFERROR(__xludf.DUMMYFUNCTION("""COMPUTED_VALUE"""),1497.85)</f>
        <v>1497.85</v>
      </c>
      <c r="J66" s="14">
        <f ca="1">IFERROR(__xludf.DUMMYFUNCTION("""COMPUTED_VALUE"""),-0.0295089628467468)</f>
        <v>-2.9508962846746801E-2</v>
      </c>
      <c r="K66" s="12" t="str">
        <f ca="1">IFERROR(__xludf.DUMMYFUNCTION("""COMPUTED_VALUE"""),"Pharma")</f>
        <v>Pharma</v>
      </c>
      <c r="L66" s="12" t="str">
        <f ca="1">IFERROR(__xludf.DUMMYFUNCTION("""COMPUTED_VALUE"""),"BOM:543245")</f>
        <v>BOM:543245</v>
      </c>
      <c r="M66" s="12" t="str">
        <f ca="1">IFERROR(__xludf.DUMMYFUNCTION("""COMPUTED_VALUE"""),"No")</f>
        <v>No</v>
      </c>
      <c r="N66" s="12" t="str">
        <f ca="1">IFERROR(__xludf.DUMMYFUNCTION("""COMPUTED_VALUE"""),"No")</f>
        <v>No</v>
      </c>
      <c r="O66" s="12" t="str">
        <f ca="1">IFERROR(__xludf.DUMMYFUNCTION("""COMPUTED_VALUE"""),"Good Stock")</f>
        <v>Good Stock</v>
      </c>
      <c r="P66" s="12" t="str">
        <f ca="1">IFERROR(__xludf.DUMMYFUNCTION("""COMPUTED_VALUE"""),"Medium Cap")</f>
        <v>Medium Cap</v>
      </c>
    </row>
    <row r="67" spans="1:16">
      <c r="A67" s="12" t="str">
        <f ca="1">IFERROR(__xludf.DUMMYFUNCTION("""COMPUTED_VALUE"""),"Coforge")</f>
        <v>Coforge</v>
      </c>
      <c r="B67" s="13">
        <f ca="1">IFERROR(__xludf.DUMMYFUNCTION("""COMPUTED_VALUE"""),23631.8479052)</f>
        <v>23631.8479052</v>
      </c>
      <c r="C67" s="12">
        <f ca="1">IFERROR(__xludf.DUMMYFUNCTION("""COMPUTED_VALUE"""),3868.05)</f>
        <v>3868.05</v>
      </c>
      <c r="D67" s="12">
        <f ca="1">IFERROR(__xludf.DUMMYFUNCTION("""COMPUTED_VALUE"""),32.39)</f>
        <v>32.39</v>
      </c>
      <c r="E67" s="12">
        <f ca="1">IFERROR(__xludf.DUMMYFUNCTION("""COMPUTED_VALUE"""),5862.1)</f>
        <v>5862.1</v>
      </c>
      <c r="F67" s="14">
        <f ca="1">IFERROR(__xludf.DUMMYFUNCTION("""COMPUTED_VALUE"""),0.340159669742924)</f>
        <v>0.340159669742924</v>
      </c>
      <c r="G67" s="12">
        <f ca="1">IFERROR(__xludf.DUMMYFUNCTION("""COMPUTED_VALUE"""),3210)</f>
        <v>3210</v>
      </c>
      <c r="H67" s="14">
        <f ca="1">IFERROR(__xludf.DUMMYFUNCTION("""COMPUTED_VALUE"""),0.205)</f>
        <v>0.20499999999999999</v>
      </c>
      <c r="I67" s="12">
        <f ca="1">IFERROR(__xludf.DUMMYFUNCTION("""COMPUTED_VALUE"""),3902.65)</f>
        <v>3902.65</v>
      </c>
      <c r="J67" s="14">
        <f ca="1">IFERROR(__xludf.DUMMYFUNCTION("""COMPUTED_VALUE"""),-0.00886577069427181)</f>
        <v>-8.8657706942718104E-3</v>
      </c>
      <c r="K67" s="12" t="str">
        <f ca="1">IFERROR(__xludf.DUMMYFUNCTION("""COMPUTED_VALUE"""),"Technology")</f>
        <v>Technology</v>
      </c>
      <c r="L67" s="12" t="str">
        <f ca="1">IFERROR(__xludf.DUMMYFUNCTION("""COMPUTED_VALUE"""),"BOM:532541")</f>
        <v>BOM:532541</v>
      </c>
      <c r="M67" s="12" t="str">
        <f ca="1">IFERROR(__xludf.DUMMYFUNCTION("""COMPUTED_VALUE"""),"No")</f>
        <v>No</v>
      </c>
      <c r="N67" s="12" t="str">
        <f ca="1">IFERROR(__xludf.DUMMYFUNCTION("""COMPUTED_VALUE"""),"No")</f>
        <v>No</v>
      </c>
      <c r="O67" s="12" t="str">
        <f ca="1">IFERROR(__xludf.DUMMYFUNCTION("""COMPUTED_VALUE"""),"Good Stock")</f>
        <v>Good Stock</v>
      </c>
      <c r="P67" s="12" t="str">
        <f ca="1">IFERROR(__xludf.DUMMYFUNCTION("""COMPUTED_VALUE"""),"Medium Cap")</f>
        <v>Medium Cap</v>
      </c>
    </row>
    <row r="68" spans="1:16">
      <c r="A68" s="12" t="str">
        <f ca="1">IFERROR(__xludf.DUMMYFUNCTION("""COMPUTED_VALUE"""),"Atul Ltd")</f>
        <v>Atul Ltd</v>
      </c>
      <c r="B68" s="13">
        <f ca="1">IFERROR(__xludf.DUMMYFUNCTION("""COMPUTED_VALUE"""),22715.5217056)</f>
        <v>22715.5217056</v>
      </c>
      <c r="C68" s="12">
        <f ca="1">IFERROR(__xludf.DUMMYFUNCTION("""COMPUTED_VALUE"""),7701.2)</f>
        <v>7701.2</v>
      </c>
      <c r="D68" s="12">
        <f ca="1">IFERROR(__xludf.DUMMYFUNCTION("""COMPUTED_VALUE"""),37.5)</f>
        <v>37.5</v>
      </c>
      <c r="E68" s="12">
        <f ca="1">IFERROR(__xludf.DUMMYFUNCTION("""COMPUTED_VALUE"""),10859)</f>
        <v>10859</v>
      </c>
      <c r="F68" s="14">
        <f ca="1">IFERROR(__xludf.DUMMYFUNCTION("""COMPUTED_VALUE"""),0.29080025785063)</f>
        <v>0.29080025785063002</v>
      </c>
      <c r="G68" s="12">
        <f ca="1">IFERROR(__xludf.DUMMYFUNCTION("""COMPUTED_VALUE"""),7602.15)</f>
        <v>7602.15</v>
      </c>
      <c r="H68" s="14">
        <f ca="1">IFERROR(__xludf.DUMMYFUNCTION("""COMPUTED_VALUE"""),0.0130292088422354)</f>
        <v>1.30292088422354E-2</v>
      </c>
      <c r="I68" s="12">
        <f ca="1">IFERROR(__xludf.DUMMYFUNCTION("""COMPUTED_VALUE"""),7679.85)</f>
        <v>7679.85</v>
      </c>
      <c r="J68" s="14">
        <f ca="1">IFERROR(__xludf.DUMMYFUNCTION("""COMPUTED_VALUE"""),0.00278000221358482)</f>
        <v>2.7800022135848201E-3</v>
      </c>
      <c r="K68" s="12" t="str">
        <f ca="1">IFERROR(__xludf.DUMMYFUNCTION("""COMPUTED_VALUE"""),"Chemical")</f>
        <v>Chemical</v>
      </c>
      <c r="L68" s="12" t="str">
        <f ca="1">IFERROR(__xludf.DUMMYFUNCTION("""COMPUTED_VALUE"""),"BOM:500027")</f>
        <v>BOM:500027</v>
      </c>
      <c r="M68" s="12" t="str">
        <f ca="1">IFERROR(__xludf.DUMMYFUNCTION("""COMPUTED_VALUE"""),"No")</f>
        <v>No</v>
      </c>
      <c r="N68" s="12" t="str">
        <f ca="1">IFERROR(__xludf.DUMMYFUNCTION("""COMPUTED_VALUE"""),"No")</f>
        <v>No</v>
      </c>
      <c r="O68" s="12" t="str">
        <f ca="1">IFERROR(__xludf.DUMMYFUNCTION("""COMPUTED_VALUE"""),"Good Stock")</f>
        <v>Good Stock</v>
      </c>
      <c r="P68" s="12" t="str">
        <f ca="1">IFERROR(__xludf.DUMMYFUNCTION("""COMPUTED_VALUE"""),"Medium Cap")</f>
        <v>Medium Cap</v>
      </c>
    </row>
    <row r="69" spans="1:16">
      <c r="A69" s="12" t="str">
        <f ca="1">IFERROR(__xludf.DUMMYFUNCTION("""COMPUTED_VALUE"""),"J K Cement")</f>
        <v>J K Cement</v>
      </c>
      <c r="B69" s="13">
        <f ca="1">IFERROR(__xludf.DUMMYFUNCTION("""COMPUTED_VALUE"""),22430.59)</f>
        <v>22430.59</v>
      </c>
      <c r="C69" s="12">
        <f ca="1">IFERROR(__xludf.DUMMYFUNCTION("""COMPUTED_VALUE"""),2900.45)</f>
        <v>2900.45</v>
      </c>
      <c r="D69" s="12">
        <f ca="1">IFERROR(__xludf.DUMMYFUNCTION("""COMPUTED_VALUE"""),36.07)</f>
        <v>36.07</v>
      </c>
      <c r="E69" s="12">
        <f ca="1">IFERROR(__xludf.DUMMYFUNCTION("""COMPUTED_VALUE"""),3646.25)</f>
        <v>3646.25</v>
      </c>
      <c r="F69" s="14">
        <f ca="1">IFERROR(__xludf.DUMMYFUNCTION("""COMPUTED_VALUE"""),0.204538909838875)</f>
        <v>0.20453890983887499</v>
      </c>
      <c r="G69" s="12">
        <f ca="1">IFERROR(__xludf.DUMMYFUNCTION("""COMPUTED_VALUE"""),2005)</f>
        <v>2005</v>
      </c>
      <c r="H69" s="14">
        <f ca="1">IFERROR(__xludf.DUMMYFUNCTION("""COMPUTED_VALUE"""),0.446608478802992)</f>
        <v>0.44660847880299198</v>
      </c>
      <c r="I69" s="12">
        <f ca="1">IFERROR(__xludf.DUMMYFUNCTION("""COMPUTED_VALUE"""),2905.9)</f>
        <v>2905.9</v>
      </c>
      <c r="J69" s="14">
        <f ca="1">IFERROR(__xludf.DUMMYFUNCTION("""COMPUTED_VALUE"""),-0.00187549468323076)</f>
        <v>-1.8754946832307601E-3</v>
      </c>
      <c r="K69" s="12" t="str">
        <f ca="1">IFERROR(__xludf.DUMMYFUNCTION("""COMPUTED_VALUE"""),"Cement")</f>
        <v>Cement</v>
      </c>
      <c r="L69" s="12" t="str">
        <f ca="1">IFERROR(__xludf.DUMMYFUNCTION("""COMPUTED_VALUE"""),"BOM:532644")</f>
        <v>BOM:532644</v>
      </c>
      <c r="M69" s="12" t="str">
        <f ca="1">IFERROR(__xludf.DUMMYFUNCTION("""COMPUTED_VALUE"""),"No")</f>
        <v>No</v>
      </c>
      <c r="N69" s="12" t="str">
        <f ca="1">IFERROR(__xludf.DUMMYFUNCTION("""COMPUTED_VALUE"""),"No")</f>
        <v>No</v>
      </c>
      <c r="O69" s="12" t="str">
        <f ca="1">IFERROR(__xludf.DUMMYFUNCTION("""COMPUTED_VALUE"""),"Good Stock")</f>
        <v>Good Stock</v>
      </c>
      <c r="P69" s="12" t="str">
        <f ca="1">IFERROR(__xludf.DUMMYFUNCTION("""COMPUTED_VALUE"""),"Medium Cap")</f>
        <v>Medium Cap</v>
      </c>
    </row>
    <row r="70" spans="1:16">
      <c r="A70" s="12" t="str">
        <f ca="1">IFERROR(__xludf.DUMMYFUNCTION("""COMPUTED_VALUE"""),"Kansai Nerolac")</f>
        <v>Kansai Nerolac</v>
      </c>
      <c r="B70" s="13">
        <f ca="1">IFERROR(__xludf.DUMMYFUNCTION("""COMPUTED_VALUE"""),22276.241535)</f>
        <v>22276.241535000001</v>
      </c>
      <c r="C70" s="12">
        <f ca="1">IFERROR(__xludf.DUMMYFUNCTION("""COMPUTED_VALUE"""),415)</f>
        <v>415</v>
      </c>
      <c r="D70" s="12">
        <f ca="1">IFERROR(__xludf.DUMMYFUNCTION("""COMPUTED_VALUE"""),52.87)</f>
        <v>52.87</v>
      </c>
      <c r="E70" s="12">
        <f ca="1">IFERROR(__xludf.DUMMYFUNCTION("""COMPUTED_VALUE"""),624)</f>
        <v>624</v>
      </c>
      <c r="F70" s="14">
        <f ca="1">IFERROR(__xludf.DUMMYFUNCTION("""COMPUTED_VALUE"""),0.334935897435897)</f>
        <v>0.33493589743589702</v>
      </c>
      <c r="G70" s="12">
        <f ca="1">IFERROR(__xludf.DUMMYFUNCTION("""COMPUTED_VALUE"""),358.15)</f>
        <v>358.15</v>
      </c>
      <c r="H70" s="14">
        <f ca="1">IFERROR(__xludf.DUMMYFUNCTION("""COMPUTED_VALUE"""),0.158732374703336)</f>
        <v>0.15873237470333601</v>
      </c>
      <c r="I70" s="12">
        <f ca="1">IFERROR(__xludf.DUMMYFUNCTION("""COMPUTED_VALUE"""),413.05)</f>
        <v>413.05</v>
      </c>
      <c r="J70" s="14">
        <f ca="1">IFERROR(__xludf.DUMMYFUNCTION("""COMPUTED_VALUE"""),0.0047209780898196)</f>
        <v>4.7209780898196003E-3</v>
      </c>
      <c r="K70" s="12" t="str">
        <f ca="1">IFERROR(__xludf.DUMMYFUNCTION("""COMPUTED_VALUE"""),"Paint")</f>
        <v>Paint</v>
      </c>
      <c r="L70" s="12" t="str">
        <f ca="1">IFERROR(__xludf.DUMMYFUNCTION("""COMPUTED_VALUE"""),"KANSAINER")</f>
        <v>KANSAINER</v>
      </c>
      <c r="M70" s="12" t="str">
        <f ca="1">IFERROR(__xludf.DUMMYFUNCTION("""COMPUTED_VALUE"""),"No")</f>
        <v>No</v>
      </c>
      <c r="N70" s="12" t="str">
        <f ca="1">IFERROR(__xludf.DUMMYFUNCTION("""COMPUTED_VALUE"""),"No")</f>
        <v>No</v>
      </c>
      <c r="O70" s="12" t="str">
        <f ca="1">IFERROR(__xludf.DUMMYFUNCTION("""COMPUTED_VALUE"""),"Good Stock")</f>
        <v>Good Stock</v>
      </c>
      <c r="P70" s="12" t="str">
        <f ca="1">IFERROR(__xludf.DUMMYFUNCTION("""COMPUTED_VALUE"""),"Medium Cap")</f>
        <v>Medium Cap</v>
      </c>
    </row>
    <row r="71" spans="1:16">
      <c r="A71" s="12" t="str">
        <f ca="1">IFERROR(__xludf.DUMMYFUNCTION("""COMPUTED_VALUE"""),"Crisil")</f>
        <v>Crisil</v>
      </c>
      <c r="B71" s="13">
        <f ca="1">IFERROR(__xludf.DUMMYFUNCTION("""COMPUTED_VALUE"""),22166.9)</f>
        <v>22166.9</v>
      </c>
      <c r="C71" s="12">
        <f ca="1">IFERROR(__xludf.DUMMYFUNCTION("""COMPUTED_VALUE"""),3020)</f>
        <v>3020</v>
      </c>
      <c r="D71" s="12">
        <f ca="1">IFERROR(__xludf.DUMMYFUNCTION("""COMPUTED_VALUE"""),38.36)</f>
        <v>38.36</v>
      </c>
      <c r="E71" s="12">
        <f ca="1">IFERROR(__xludf.DUMMYFUNCTION("""COMPUTED_VALUE"""),3863.55)</f>
        <v>3863.55</v>
      </c>
      <c r="F71" s="14">
        <f ca="1">IFERROR(__xludf.DUMMYFUNCTION("""COMPUTED_VALUE"""),0.218335468675182)</f>
        <v>0.218335468675182</v>
      </c>
      <c r="G71" s="12">
        <f ca="1">IFERROR(__xludf.DUMMYFUNCTION("""COMPUTED_VALUE"""),2540)</f>
        <v>2540</v>
      </c>
      <c r="H71" s="14">
        <f ca="1">IFERROR(__xludf.DUMMYFUNCTION("""COMPUTED_VALUE"""),0.188976377952755)</f>
        <v>0.18897637795275499</v>
      </c>
      <c r="I71" s="12">
        <f ca="1">IFERROR(__xludf.DUMMYFUNCTION("""COMPUTED_VALUE"""),3044.5)</f>
        <v>3044.5</v>
      </c>
      <c r="J71" s="14">
        <f ca="1">IFERROR(__xludf.DUMMYFUNCTION("""COMPUTED_VALUE"""),-0.00804729840696337)</f>
        <v>-8.0472984069633706E-3</v>
      </c>
      <c r="K71" s="12" t="str">
        <f ca="1">IFERROR(__xludf.DUMMYFUNCTION("""COMPUTED_VALUE"""),"Reserach")</f>
        <v>Reserach</v>
      </c>
      <c r="L71" s="12" t="str">
        <f ca="1">IFERROR(__xludf.DUMMYFUNCTION("""COMPUTED_VALUE"""),"CRISIL")</f>
        <v>CRISIL</v>
      </c>
      <c r="M71" s="12" t="str">
        <f ca="1">IFERROR(__xludf.DUMMYFUNCTION("""COMPUTED_VALUE"""),"No")</f>
        <v>No</v>
      </c>
      <c r="N71" s="12" t="str">
        <f ca="1">IFERROR(__xludf.DUMMYFUNCTION("""COMPUTED_VALUE"""),"No")</f>
        <v>No</v>
      </c>
      <c r="O71" s="12" t="str">
        <f ca="1">IFERROR(__xludf.DUMMYFUNCTION("""COMPUTED_VALUE"""),"Good Stock")</f>
        <v>Good Stock</v>
      </c>
      <c r="P71" s="12" t="str">
        <f ca="1">IFERROR(__xludf.DUMMYFUNCTION("""COMPUTED_VALUE"""),"Medium Cap")</f>
        <v>Medium Cap</v>
      </c>
    </row>
    <row r="72" spans="1:16">
      <c r="A72" s="12" t="str">
        <f ca="1">IFERROR(__xludf.DUMMYFUNCTION("""COMPUTED_VALUE"""),"LIC Housing Finance")</f>
        <v>LIC Housing Finance</v>
      </c>
      <c r="B72" s="13">
        <f ca="1">IFERROR(__xludf.DUMMYFUNCTION("""COMPUTED_VALUE"""),22159.2659823)</f>
        <v>22159.265982299999</v>
      </c>
      <c r="C72" s="12">
        <f ca="1">IFERROR(__xludf.DUMMYFUNCTION("""COMPUTED_VALUE"""),402.9)</f>
        <v>402.9</v>
      </c>
      <c r="D72" s="12">
        <f ca="1">IFERROR(__xludf.DUMMYFUNCTION("""COMPUTED_VALUE"""),6.85)</f>
        <v>6.85</v>
      </c>
      <c r="E72" s="12">
        <f ca="1">IFERROR(__xludf.DUMMYFUNCTION("""COMPUTED_VALUE"""),443.5)</f>
        <v>443.5</v>
      </c>
      <c r="F72" s="14">
        <f ca="1">IFERROR(__xludf.DUMMYFUNCTION("""COMPUTED_VALUE"""),0.0915445321307779)</f>
        <v>9.15445321307779E-2</v>
      </c>
      <c r="G72" s="12">
        <f ca="1">IFERROR(__xludf.DUMMYFUNCTION("""COMPUTED_VALUE"""),291.75)</f>
        <v>291.75</v>
      </c>
      <c r="H72" s="14">
        <f ca="1">IFERROR(__xludf.DUMMYFUNCTION("""COMPUTED_VALUE"""),0.380976863753213)</f>
        <v>0.38097686375321299</v>
      </c>
      <c r="I72" s="12">
        <f ca="1">IFERROR(__xludf.DUMMYFUNCTION("""COMPUTED_VALUE"""),400.2)</f>
        <v>400.2</v>
      </c>
      <c r="J72" s="14">
        <f ca="1">IFERROR(__xludf.DUMMYFUNCTION("""COMPUTED_VALUE"""),0.00674662668665664)</f>
        <v>6.7466266866566399E-3</v>
      </c>
      <c r="K72" s="12" t="str">
        <f ca="1">IFERROR(__xludf.DUMMYFUNCTION("""COMPUTED_VALUE"""),"NBFC")</f>
        <v>NBFC</v>
      </c>
      <c r="L72" s="12" t="str">
        <f ca="1">IFERROR(__xludf.DUMMYFUNCTION("""COMPUTED_VALUE"""),"BOM:500253")</f>
        <v>BOM:500253</v>
      </c>
      <c r="M72" s="12" t="str">
        <f ca="1">IFERROR(__xludf.DUMMYFUNCTION("""COMPUTED_VALUE"""),"No")</f>
        <v>No</v>
      </c>
      <c r="N72" s="12" t="str">
        <f ca="1">IFERROR(__xludf.DUMMYFUNCTION("""COMPUTED_VALUE"""),"No")</f>
        <v>No</v>
      </c>
      <c r="O72" s="12" t="str">
        <f ca="1">IFERROR(__xludf.DUMMYFUNCTION("""COMPUTED_VALUE"""),"Good Stock")</f>
        <v>Good Stock</v>
      </c>
      <c r="P72" s="12" t="str">
        <f ca="1">IFERROR(__xludf.DUMMYFUNCTION("""COMPUTED_VALUE"""),"Medium Cap")</f>
        <v>Medium Cap</v>
      </c>
    </row>
    <row r="73" spans="1:16">
      <c r="A73" s="12" t="str">
        <f ca="1">IFERROR(__xludf.DUMMYFUNCTION("""COMPUTED_VALUE"""),"IPCA Lab")</f>
        <v>IPCA Lab</v>
      </c>
      <c r="B73" s="13">
        <f ca="1">IFERROR(__xludf.DUMMYFUNCTION("""COMPUTED_VALUE"""),22090.03)</f>
        <v>22090.03</v>
      </c>
      <c r="C73" s="12">
        <f ca="1">IFERROR(__xludf.DUMMYFUNCTION("""COMPUTED_VALUE"""),872.85)</f>
        <v>872.85</v>
      </c>
      <c r="D73" s="12">
        <f ca="1">IFERROR(__xludf.DUMMYFUNCTION("""COMPUTED_VALUE"""),42.96)</f>
        <v>42.96</v>
      </c>
      <c r="E73" s="12">
        <f ca="1">IFERROR(__xludf.DUMMYFUNCTION("""COMPUTED_VALUE"""),1095)</f>
        <v>1095</v>
      </c>
      <c r="F73" s="14">
        <f ca="1">IFERROR(__xludf.DUMMYFUNCTION("""COMPUTED_VALUE"""),0.202876712328767)</f>
        <v>0.202876712328767</v>
      </c>
      <c r="G73" s="12">
        <f ca="1">IFERROR(__xludf.DUMMYFUNCTION("""COMPUTED_VALUE"""),830)</f>
        <v>830</v>
      </c>
      <c r="H73" s="14">
        <f ca="1">IFERROR(__xludf.DUMMYFUNCTION("""COMPUTED_VALUE"""),0.0516265060240964)</f>
        <v>5.1626506024096401E-2</v>
      </c>
      <c r="I73" s="12">
        <f ca="1">IFERROR(__xludf.DUMMYFUNCTION("""COMPUTED_VALUE"""),868.6)</f>
        <v>868.6</v>
      </c>
      <c r="J73" s="14">
        <f ca="1">IFERROR(__xludf.DUMMYFUNCTION("""COMPUTED_VALUE"""),0.00489293115358047)</f>
        <v>4.8929311535804701E-3</v>
      </c>
      <c r="K73" s="12" t="str">
        <f ca="1">IFERROR(__xludf.DUMMYFUNCTION("""COMPUTED_VALUE"""),"Pharma")</f>
        <v>Pharma</v>
      </c>
      <c r="L73" s="12" t="str">
        <f ca="1">IFERROR(__xludf.DUMMYFUNCTION("""COMPUTED_VALUE"""),"IPCALAB")</f>
        <v>IPCALAB</v>
      </c>
      <c r="M73" s="12" t="str">
        <f ca="1">IFERROR(__xludf.DUMMYFUNCTION("""COMPUTED_VALUE"""),"No")</f>
        <v>No</v>
      </c>
      <c r="N73" s="12" t="str">
        <f ca="1">IFERROR(__xludf.DUMMYFUNCTION("""COMPUTED_VALUE"""),"No")</f>
        <v>No</v>
      </c>
      <c r="O73" s="12" t="str">
        <f ca="1">IFERROR(__xludf.DUMMYFUNCTION("""COMPUTED_VALUE"""),"Good Stock")</f>
        <v>Good Stock</v>
      </c>
      <c r="P73" s="12" t="str">
        <f ca="1">IFERROR(__xludf.DUMMYFUNCTION("""COMPUTED_VALUE"""),"Medium Cap")</f>
        <v>Medium Cap</v>
      </c>
    </row>
    <row r="74" spans="1:16">
      <c r="A74" s="12" t="str">
        <f ca="1">IFERROR(__xludf.DUMMYFUNCTION("""COMPUTED_VALUE"""),"Crompton Greves")</f>
        <v>Crompton Greves</v>
      </c>
      <c r="B74" s="13">
        <f ca="1">IFERROR(__xludf.DUMMYFUNCTION("""COMPUTED_VALUE"""),21451.6044776)</f>
        <v>21451.604477600002</v>
      </c>
      <c r="C74" s="12">
        <f ca="1">IFERROR(__xludf.DUMMYFUNCTION("""COMPUTED_VALUE"""),337.35)</f>
        <v>337.35</v>
      </c>
      <c r="D74" s="12">
        <f ca="1">IFERROR(__xludf.DUMMYFUNCTION("""COMPUTED_VALUE"""),36.77)</f>
        <v>36.770000000000003</v>
      </c>
      <c r="E74" s="12">
        <f ca="1">IFERROR(__xludf.DUMMYFUNCTION("""COMPUTED_VALUE"""),451.95)</f>
        <v>451.95</v>
      </c>
      <c r="F74" s="14">
        <f ca="1">IFERROR(__xludf.DUMMYFUNCTION("""COMPUTED_VALUE"""),0.253567872552273)</f>
        <v>0.25356787255227298</v>
      </c>
      <c r="G74" s="12">
        <f ca="1">IFERROR(__xludf.DUMMYFUNCTION("""COMPUTED_VALUE"""),312)</f>
        <v>312</v>
      </c>
      <c r="H74" s="14">
        <f ca="1">IFERROR(__xludf.DUMMYFUNCTION("""COMPUTED_VALUE"""),0.08125)</f>
        <v>8.1250000000000003E-2</v>
      </c>
      <c r="I74" s="12">
        <f ca="1">IFERROR(__xludf.DUMMYFUNCTION("""COMPUTED_VALUE"""),338)</f>
        <v>338</v>
      </c>
      <c r="J74" s="14">
        <f ca="1">IFERROR(__xludf.DUMMYFUNCTION("""COMPUTED_VALUE"""),-0.00192307692307685)</f>
        <v>-1.9230769230768499E-3</v>
      </c>
      <c r="K74" s="12" t="str">
        <f ca="1">IFERROR(__xludf.DUMMYFUNCTION("""COMPUTED_VALUE"""),"Consumer Electrical")</f>
        <v>Consumer Electrical</v>
      </c>
      <c r="L74" s="12" t="str">
        <f ca="1">IFERROR(__xludf.DUMMYFUNCTION("""COMPUTED_VALUE"""),"CROMPTON")</f>
        <v>CROMPTON</v>
      </c>
      <c r="M74" s="12" t="str">
        <f ca="1">IFERROR(__xludf.DUMMYFUNCTION("""COMPUTED_VALUE"""),"No")</f>
        <v>No</v>
      </c>
      <c r="N74" s="12" t="str">
        <f ca="1">IFERROR(__xludf.DUMMYFUNCTION("""COMPUTED_VALUE"""),"No")</f>
        <v>No</v>
      </c>
      <c r="O74" s="12" t="str">
        <f ca="1">IFERROR(__xludf.DUMMYFUNCTION("""COMPUTED_VALUE"""),"Good Stock")</f>
        <v>Good Stock</v>
      </c>
      <c r="P74" s="12" t="str">
        <f ca="1">IFERROR(__xludf.DUMMYFUNCTION("""COMPUTED_VALUE"""),"Medium Cap")</f>
        <v>Medium Cap</v>
      </c>
    </row>
    <row r="75" spans="1:16">
      <c r="A75" s="12" t="str">
        <f ca="1">IFERROR(__xludf.DUMMYFUNCTION("""COMPUTED_VALUE"""),"Aarti Industries")</f>
        <v>Aarti Industries</v>
      </c>
      <c r="B75" s="13">
        <f ca="1">IFERROR(__xludf.DUMMYFUNCTION("""COMPUTED_VALUE"""),21081.42)</f>
        <v>21081.42</v>
      </c>
      <c r="C75" s="12">
        <f ca="1">IFERROR(__xludf.DUMMYFUNCTION("""COMPUTED_VALUE"""),581.8)</f>
        <v>581.79999999999995</v>
      </c>
      <c r="D75" s="12">
        <f ca="1">IFERROR(__xludf.DUMMYFUNCTION("""COMPUTED_VALUE"""),17.2)</f>
        <v>17.2</v>
      </c>
      <c r="E75" s="12">
        <f ca="1">IFERROR(__xludf.DUMMYFUNCTION("""COMPUTED_VALUE"""),1118)</f>
        <v>1118</v>
      </c>
      <c r="F75" s="14">
        <f ca="1">IFERROR(__xludf.DUMMYFUNCTION("""COMPUTED_VALUE"""),0.479606440071556)</f>
        <v>0.47960644007155601</v>
      </c>
      <c r="G75" s="12">
        <f ca="1">IFERROR(__xludf.DUMMYFUNCTION("""COMPUTED_VALUE"""),579)</f>
        <v>579</v>
      </c>
      <c r="H75" s="14">
        <f ca="1">IFERROR(__xludf.DUMMYFUNCTION("""COMPUTED_VALUE"""),0.00483592400690838)</f>
        <v>4.8359240069083802E-3</v>
      </c>
      <c r="I75" s="12">
        <f ca="1">IFERROR(__xludf.DUMMYFUNCTION("""COMPUTED_VALUE"""),592.4)</f>
        <v>592.4</v>
      </c>
      <c r="J75" s="14">
        <f ca="1">IFERROR(__xludf.DUMMYFUNCTION("""COMPUTED_VALUE"""),-0.0178933153274814)</f>
        <v>-1.78933153274814E-2</v>
      </c>
      <c r="K75" s="12" t="str">
        <f ca="1">IFERROR(__xludf.DUMMYFUNCTION("""COMPUTED_VALUE"""),"Chemical")</f>
        <v>Chemical</v>
      </c>
      <c r="L75" s="12" t="str">
        <f ca="1">IFERROR(__xludf.DUMMYFUNCTION("""COMPUTED_VALUE"""),"AARTIIND")</f>
        <v>AARTIIND</v>
      </c>
      <c r="M75" s="12" t="str">
        <f ca="1">IFERROR(__xludf.DUMMYFUNCTION("""COMPUTED_VALUE"""),"No")</f>
        <v>No</v>
      </c>
      <c r="N75" s="12" t="str">
        <f ca="1">IFERROR(__xludf.DUMMYFUNCTION("""COMPUTED_VALUE"""),"No")</f>
        <v>No</v>
      </c>
      <c r="O75" s="12" t="str">
        <f ca="1">IFERROR(__xludf.DUMMYFUNCTION("""COMPUTED_VALUE"""),"Good Stock")</f>
        <v>Good Stock</v>
      </c>
      <c r="P75" s="12" t="str">
        <f ca="1">IFERROR(__xludf.DUMMYFUNCTION("""COMPUTED_VALUE"""),"Medium Cap")</f>
        <v>Medium Cap</v>
      </c>
    </row>
    <row r="76" spans="1:16">
      <c r="A76" s="12" t="str">
        <f ca="1">IFERROR(__xludf.DUMMYFUNCTION("""COMPUTED_VALUE"""),"Bayer Cropscience")</f>
        <v>Bayer Cropscience</v>
      </c>
      <c r="B76" s="13">
        <f ca="1">IFERROR(__xludf.DUMMYFUNCTION("""COMPUTED_VALUE"""),21050.0222911)</f>
        <v>21050.022291099998</v>
      </c>
      <c r="C76" s="12">
        <f ca="1">IFERROR(__xludf.DUMMYFUNCTION("""COMPUTED_VALUE"""),4669.05)</f>
        <v>4669.05</v>
      </c>
      <c r="D76" s="12">
        <f ca="1">IFERROR(__xludf.DUMMYFUNCTION("""COMPUTED_VALUE"""),29.86)</f>
        <v>29.86</v>
      </c>
      <c r="E76" s="12">
        <f ca="1">IFERROR(__xludf.DUMMYFUNCTION("""COMPUTED_VALUE"""),5667.75)</f>
        <v>5667.75</v>
      </c>
      <c r="F76" s="14">
        <f ca="1">IFERROR(__xludf.DUMMYFUNCTION("""COMPUTED_VALUE"""),0.176207489744607)</f>
        <v>0.17620748974460701</v>
      </c>
      <c r="G76" s="12">
        <f ca="1">IFERROR(__xludf.DUMMYFUNCTION("""COMPUTED_VALUE"""),4218.05)</f>
        <v>4218.05</v>
      </c>
      <c r="H76" s="14">
        <f ca="1">IFERROR(__xludf.DUMMYFUNCTION("""COMPUTED_VALUE"""),0.106921444743424)</f>
        <v>0.10692144474342399</v>
      </c>
      <c r="I76" s="12">
        <f ca="1">IFERROR(__xludf.DUMMYFUNCTION("""COMPUTED_VALUE"""),4647.55)</f>
        <v>4647.55</v>
      </c>
      <c r="J76" s="14">
        <f ca="1">IFERROR(__xludf.DUMMYFUNCTION("""COMPUTED_VALUE"""),0.00462609331798474)</f>
        <v>4.6260933179847396E-3</v>
      </c>
      <c r="K76" s="12" t="str">
        <f ca="1">IFERROR(__xludf.DUMMYFUNCTION("""COMPUTED_VALUE"""),"Agrochemical")</f>
        <v>Agrochemical</v>
      </c>
      <c r="L76" s="12" t="str">
        <f ca="1">IFERROR(__xludf.DUMMYFUNCTION("""COMPUTED_VALUE"""),"BAYERCROP")</f>
        <v>BAYERCROP</v>
      </c>
      <c r="M76" s="12" t="str">
        <f ca="1">IFERROR(__xludf.DUMMYFUNCTION("""COMPUTED_VALUE"""),"No")</f>
        <v>No</v>
      </c>
      <c r="N76" s="12" t="str">
        <f ca="1">IFERROR(__xludf.DUMMYFUNCTION("""COMPUTED_VALUE"""),"No")</f>
        <v>No</v>
      </c>
      <c r="O76" s="12" t="str">
        <f ca="1">IFERROR(__xludf.DUMMYFUNCTION("""COMPUTED_VALUE"""),"Good Stock")</f>
        <v>Good Stock</v>
      </c>
      <c r="P76" s="12" t="str">
        <f ca="1">IFERROR(__xludf.DUMMYFUNCTION("""COMPUTED_VALUE"""),"Medium Cap")</f>
        <v>Medium Cap</v>
      </c>
    </row>
    <row r="77" spans="1:16">
      <c r="A77" s="12" t="str">
        <f ca="1">IFERROR(__xludf.DUMMYFUNCTION("""COMPUTED_VALUE"""),"Vinita Organics")</f>
        <v>Vinita Organics</v>
      </c>
      <c r="B77" s="13">
        <f ca="1">IFERROR(__xludf.DUMMYFUNCTION("""COMPUTED_VALUE"""),20604.2)</f>
        <v>20604.2</v>
      </c>
      <c r="C77" s="12">
        <f ca="1">IFERROR(__xludf.DUMMYFUNCTION("""COMPUTED_VALUE"""),2000)</f>
        <v>2000</v>
      </c>
      <c r="D77" s="12">
        <f ca="1">IFERROR(__xludf.DUMMYFUNCTION("""COMPUTED_VALUE"""),51.19)</f>
        <v>51.19</v>
      </c>
      <c r="E77" s="12">
        <f ca="1">IFERROR(__xludf.DUMMYFUNCTION("""COMPUTED_VALUE"""),2377)</f>
        <v>2377</v>
      </c>
      <c r="F77" s="14">
        <f ca="1">IFERROR(__xludf.DUMMYFUNCTION("""COMPUTED_VALUE"""),0.158603281447202)</f>
        <v>0.15860328144720201</v>
      </c>
      <c r="G77" s="12">
        <f ca="1">IFERROR(__xludf.DUMMYFUNCTION("""COMPUTED_VALUE"""),1674.2)</f>
        <v>1674.2</v>
      </c>
      <c r="H77" s="14">
        <f ca="1">IFERROR(__xludf.DUMMYFUNCTION("""COMPUTED_VALUE"""),0.194600406164138)</f>
        <v>0.19460040616413801</v>
      </c>
      <c r="I77" s="12">
        <f ca="1">IFERROR(__xludf.DUMMYFUNCTION("""COMPUTED_VALUE"""),2014.85)</f>
        <v>2014.85</v>
      </c>
      <c r="J77" s="14">
        <f ca="1">IFERROR(__xludf.DUMMYFUNCTION("""COMPUTED_VALUE"""),-0.00737027570290587)</f>
        <v>-7.3702757029058697E-3</v>
      </c>
      <c r="K77" s="12" t="str">
        <f ca="1">IFERROR(__xludf.DUMMYFUNCTION("""COMPUTED_VALUE"""),"Chemical")</f>
        <v>Chemical</v>
      </c>
      <c r="L77" s="12" t="str">
        <f ca="1">IFERROR(__xludf.DUMMYFUNCTION("""COMPUTED_VALUE"""),"VINATIORGA")</f>
        <v>VINATIORGA</v>
      </c>
      <c r="M77" s="12" t="str">
        <f ca="1">IFERROR(__xludf.DUMMYFUNCTION("""COMPUTED_VALUE"""),"No")</f>
        <v>No</v>
      </c>
      <c r="N77" s="12" t="str">
        <f ca="1">IFERROR(__xludf.DUMMYFUNCTION("""COMPUTED_VALUE"""),"No")</f>
        <v>No</v>
      </c>
      <c r="O77" s="12" t="str">
        <f ca="1">IFERROR(__xludf.DUMMYFUNCTION("""COMPUTED_VALUE"""),"Good Stock")</f>
        <v>Good Stock</v>
      </c>
      <c r="P77" s="12" t="str">
        <f ca="1">IFERROR(__xludf.DUMMYFUNCTION("""COMPUTED_VALUE"""),"Medium Cap")</f>
        <v>Medium Cap</v>
      </c>
    </row>
    <row r="78" spans="1:16">
      <c r="A78" s="12" t="str">
        <f ca="1">IFERROR(__xludf.DUMMYFUNCTION("""COMPUTED_VALUE"""),"Endurance Technology")</f>
        <v>Endurance Technology</v>
      </c>
      <c r="B78" s="13">
        <f ca="1">IFERROR(__xludf.DUMMYFUNCTION("""COMPUTED_VALUE"""),19679.44)</f>
        <v>19679.439999999999</v>
      </c>
      <c r="C78" s="12">
        <f ca="1">IFERROR(__xludf.DUMMYFUNCTION("""COMPUTED_VALUE"""),1398.5)</f>
        <v>1398.5</v>
      </c>
      <c r="D78" s="12">
        <f ca="1">IFERROR(__xludf.DUMMYFUNCTION("""COMPUTED_VALUE"""),42.23)</f>
        <v>42.23</v>
      </c>
      <c r="E78" s="12">
        <f ca="1">IFERROR(__xludf.DUMMYFUNCTION("""COMPUTED_VALUE"""),1736.15)</f>
        <v>1736.15</v>
      </c>
      <c r="F78" s="14">
        <f ca="1">IFERROR(__xludf.DUMMYFUNCTION("""COMPUTED_VALUE"""),0.194482043602223)</f>
        <v>0.19448204360222299</v>
      </c>
      <c r="G78" s="12">
        <f ca="1">IFERROR(__xludf.DUMMYFUNCTION("""COMPUTED_VALUE"""),1047.2)</f>
        <v>1047.2</v>
      </c>
      <c r="H78" s="14">
        <f ca="1">IFERROR(__xludf.DUMMYFUNCTION("""COMPUTED_VALUE"""),0.335466004583651)</f>
        <v>0.335466004583651</v>
      </c>
      <c r="I78" s="12">
        <f ca="1">IFERROR(__xludf.DUMMYFUNCTION("""COMPUTED_VALUE"""),1401.15)</f>
        <v>1401.15</v>
      </c>
      <c r="J78" s="14">
        <f ca="1">IFERROR(__xludf.DUMMYFUNCTION("""COMPUTED_VALUE"""),-0.00189130357206586)</f>
        <v>-1.89130357206586E-3</v>
      </c>
      <c r="K78" s="12" t="str">
        <f ca="1">IFERROR(__xludf.DUMMYFUNCTION("""COMPUTED_VALUE"""),"Automobile Ancilliary")</f>
        <v>Automobile Ancilliary</v>
      </c>
      <c r="L78" s="12" t="str">
        <f ca="1">IFERROR(__xludf.DUMMYFUNCTION("""COMPUTED_VALUE"""),"ENDURANCE")</f>
        <v>ENDURANCE</v>
      </c>
      <c r="M78" s="12" t="str">
        <f ca="1">IFERROR(__xludf.DUMMYFUNCTION("""COMPUTED_VALUE"""),"No")</f>
        <v>No</v>
      </c>
      <c r="N78" s="12" t="str">
        <f ca="1">IFERROR(__xludf.DUMMYFUNCTION("""COMPUTED_VALUE"""),"No")</f>
        <v>No</v>
      </c>
      <c r="O78" s="12" t="str">
        <f ca="1">IFERROR(__xludf.DUMMYFUNCTION("""COMPUTED_VALUE"""),"Good Stock")</f>
        <v>Good Stock</v>
      </c>
      <c r="P78" s="12" t="str">
        <f ca="1">IFERROR(__xludf.DUMMYFUNCTION("""COMPUTED_VALUE"""),"Medium Cap")</f>
        <v>Medium Cap</v>
      </c>
    </row>
    <row r="79" spans="1:16">
      <c r="A79" s="12" t="str">
        <f ca="1">IFERROR(__xludf.DUMMYFUNCTION("""COMPUTED_VALUE"""),"Pfizer")</f>
        <v>Pfizer</v>
      </c>
      <c r="B79" s="13">
        <f ca="1">IFERROR(__xludf.DUMMYFUNCTION("""COMPUTED_VALUE"""),19278.55)</f>
        <v>19278.55</v>
      </c>
      <c r="C79" s="12">
        <f ca="1">IFERROR(__xludf.DUMMYFUNCTION("""COMPUTED_VALUE"""),4224.9)</f>
        <v>4224.8999999999996</v>
      </c>
      <c r="D79" s="12">
        <f ca="1">IFERROR(__xludf.DUMMYFUNCTION("""COMPUTED_VALUE"""),31.52)</f>
        <v>31.52</v>
      </c>
      <c r="E79" s="12">
        <f ca="1">IFERROR(__xludf.DUMMYFUNCTION("""COMPUTED_VALUE"""),4946.1)</f>
        <v>4946.1000000000004</v>
      </c>
      <c r="F79" s="14">
        <f ca="1">IFERROR(__xludf.DUMMYFUNCTION("""COMPUTED_VALUE"""),0.145811851761994)</f>
        <v>0.14581185176199399</v>
      </c>
      <c r="G79" s="12">
        <f ca="1">IFERROR(__xludf.DUMMYFUNCTION("""COMPUTED_VALUE"""),4056)</f>
        <v>4056</v>
      </c>
      <c r="H79" s="14">
        <f ca="1">IFERROR(__xludf.DUMMYFUNCTION("""COMPUTED_VALUE"""),0.0416420118343194)</f>
        <v>4.1642011834319398E-2</v>
      </c>
      <c r="I79" s="12">
        <f ca="1">IFERROR(__xludf.DUMMYFUNCTION("""COMPUTED_VALUE"""),4254)</f>
        <v>4254</v>
      </c>
      <c r="J79" s="14">
        <f ca="1">IFERROR(__xludf.DUMMYFUNCTION("""COMPUTED_VALUE"""),-0.00684062059238372)</f>
        <v>-6.8406205923837197E-3</v>
      </c>
      <c r="K79" s="12" t="str">
        <f ca="1">IFERROR(__xludf.DUMMYFUNCTION("""COMPUTED_VALUE"""),"Pharma")</f>
        <v>Pharma</v>
      </c>
      <c r="L79" s="12" t="str">
        <f ca="1">IFERROR(__xludf.DUMMYFUNCTION("""COMPUTED_VALUE"""),"BOM:500680")</f>
        <v>BOM:500680</v>
      </c>
      <c r="M79" s="12" t="str">
        <f ca="1">IFERROR(__xludf.DUMMYFUNCTION("""COMPUTED_VALUE"""),"No")</f>
        <v>No</v>
      </c>
      <c r="N79" s="12" t="str">
        <f ca="1">IFERROR(__xludf.DUMMYFUNCTION("""COMPUTED_VALUE"""),"No")</f>
        <v>No</v>
      </c>
      <c r="O79" s="12" t="str">
        <f ca="1">IFERROR(__xludf.DUMMYFUNCTION("""COMPUTED_VALUE"""),"Good Stock")</f>
        <v>Good Stock</v>
      </c>
      <c r="P79" s="12" t="str">
        <f ca="1">IFERROR(__xludf.DUMMYFUNCTION("""COMPUTED_VALUE"""),"Medium Cap")</f>
        <v>Medium Cap</v>
      </c>
    </row>
    <row r="80" spans="1:16">
      <c r="A80" s="12" t="str">
        <f ca="1">IFERROR(__xludf.DUMMYFUNCTION("""COMPUTED_VALUE"""),"Lauras Lab")</f>
        <v>Lauras Lab</v>
      </c>
      <c r="B80" s="13">
        <f ca="1">IFERROR(__xludf.DUMMYFUNCTION("""COMPUTED_VALUE"""),19213.8702946)</f>
        <v>19213.870294600001</v>
      </c>
      <c r="C80" s="12">
        <f ca="1">IFERROR(__xludf.DUMMYFUNCTION("""COMPUTED_VALUE"""),357.4)</f>
        <v>357.4</v>
      </c>
      <c r="D80" s="12">
        <f ca="1">IFERROR(__xludf.DUMMYFUNCTION("""COMPUTED_VALUE"""),22.19)</f>
        <v>22.19</v>
      </c>
      <c r="E80" s="12">
        <f ca="1">IFERROR(__xludf.DUMMYFUNCTION("""COMPUTED_VALUE"""),626.3)</f>
        <v>626.29999999999995</v>
      </c>
      <c r="F80" s="14">
        <f ca="1">IFERROR(__xludf.DUMMYFUNCTION("""COMPUTED_VALUE"""),0.42934695832668)</f>
        <v>0.42934695832668002</v>
      </c>
      <c r="G80" s="12">
        <f ca="1">IFERROR(__xludf.DUMMYFUNCTION("""COMPUTED_VALUE"""),354)</f>
        <v>354</v>
      </c>
      <c r="H80" s="14">
        <f ca="1">IFERROR(__xludf.DUMMYFUNCTION("""COMPUTED_VALUE"""),0.00960451977401123)</f>
        <v>9.6045197740112307E-3</v>
      </c>
      <c r="I80" s="12">
        <f ca="1">IFERROR(__xludf.DUMMYFUNCTION("""COMPUTED_VALUE"""),360.4)</f>
        <v>360.4</v>
      </c>
      <c r="J80" s="14">
        <f ca="1">IFERROR(__xludf.DUMMYFUNCTION("""COMPUTED_VALUE"""),-0.00832408435072142)</f>
        <v>-8.3240843507214196E-3</v>
      </c>
      <c r="K80" s="12" t="str">
        <f ca="1">IFERROR(__xludf.DUMMYFUNCTION("""COMPUTED_VALUE"""),"Pharma")</f>
        <v>Pharma</v>
      </c>
      <c r="L80" s="12" t="str">
        <f ca="1">IFERROR(__xludf.DUMMYFUNCTION("""COMPUTED_VALUE"""),"LAURUSLABS")</f>
        <v>LAURUSLABS</v>
      </c>
      <c r="M80" s="12" t="str">
        <f ca="1">IFERROR(__xludf.DUMMYFUNCTION("""COMPUTED_VALUE"""),"No")</f>
        <v>No</v>
      </c>
      <c r="N80" s="12" t="str">
        <f ca="1">IFERROR(__xludf.DUMMYFUNCTION("""COMPUTED_VALUE"""),"No")</f>
        <v>No</v>
      </c>
      <c r="O80" s="12" t="str">
        <f ca="1">IFERROR(__xludf.DUMMYFUNCTION("""COMPUTED_VALUE"""),"Good Stock")</f>
        <v>Good Stock</v>
      </c>
      <c r="P80" s="12" t="str">
        <f ca="1">IFERROR(__xludf.DUMMYFUNCTION("""COMPUTED_VALUE"""),"Medium Cap")</f>
        <v>Medium Cap</v>
      </c>
    </row>
    <row r="81" spans="1:16">
      <c r="A81" s="12" t="str">
        <f ca="1">IFERROR(__xludf.DUMMYFUNCTION("""COMPUTED_VALUE"""),"KPIT")</f>
        <v>KPIT</v>
      </c>
      <c r="B81" s="13">
        <f ca="1">IFERROR(__xludf.DUMMYFUNCTION("""COMPUTED_VALUE"""),18827.9516699)</f>
        <v>18827.951669900001</v>
      </c>
      <c r="C81" s="12">
        <f ca="1">IFERROR(__xludf.DUMMYFUNCTION("""COMPUTED_VALUE"""),696.3)</f>
        <v>696.3</v>
      </c>
      <c r="D81" s="12">
        <f ca="1">IFERROR(__xludf.DUMMYFUNCTION("""COMPUTED_VALUE"""),59.82)</f>
        <v>59.82</v>
      </c>
      <c r="E81" s="12">
        <f ca="1">IFERROR(__xludf.DUMMYFUNCTION("""COMPUTED_VALUE"""),764.25)</f>
        <v>764.25</v>
      </c>
      <c r="F81" s="14">
        <f ca="1">IFERROR(__xludf.DUMMYFUNCTION("""COMPUTED_VALUE"""),0.0889106967615309)</f>
        <v>8.8910696761530905E-2</v>
      </c>
      <c r="G81" s="12">
        <f ca="1">IFERROR(__xludf.DUMMYFUNCTION("""COMPUTED_VALUE"""),440)</f>
        <v>440</v>
      </c>
      <c r="H81" s="14">
        <f ca="1">IFERROR(__xludf.DUMMYFUNCTION("""COMPUTED_VALUE"""),0.582499999999999)</f>
        <v>0.58249999999999902</v>
      </c>
      <c r="I81" s="12">
        <f ca="1">IFERROR(__xludf.DUMMYFUNCTION("""COMPUTED_VALUE"""),692.45)</f>
        <v>692.45</v>
      </c>
      <c r="J81" s="14">
        <f ca="1">IFERROR(__xludf.DUMMYFUNCTION("""COMPUTED_VALUE"""),0.00555996822875284)</f>
        <v>5.5599682287528398E-3</v>
      </c>
      <c r="K81" s="12" t="str">
        <f ca="1">IFERROR(__xludf.DUMMYFUNCTION("""COMPUTED_VALUE"""),"IT")</f>
        <v>IT</v>
      </c>
      <c r="L81" s="12" t="str">
        <f ca="1">IFERROR(__xludf.DUMMYFUNCTION("""COMPUTED_VALUE"""),"BOM:542651")</f>
        <v>BOM:542651</v>
      </c>
      <c r="M81" s="12" t="str">
        <f ca="1">IFERROR(__xludf.DUMMYFUNCTION("""COMPUTED_VALUE"""),"No")</f>
        <v>No</v>
      </c>
      <c r="N81" s="12" t="str">
        <f ca="1">IFERROR(__xludf.DUMMYFUNCTION("""COMPUTED_VALUE"""),"No")</f>
        <v>No</v>
      </c>
      <c r="O81" s="12" t="str">
        <f ca="1">IFERROR(__xludf.DUMMYFUNCTION("""COMPUTED_VALUE"""),"Good Stock")</f>
        <v>Good Stock</v>
      </c>
      <c r="P81" s="12" t="str">
        <f ca="1">IFERROR(__xludf.DUMMYFUNCTION("""COMPUTED_VALUE"""),"Medium Cap")</f>
        <v>Medium Cap</v>
      </c>
    </row>
    <row r="82" spans="1:16">
      <c r="A82" s="12" t="str">
        <f ca="1">IFERROR(__xludf.DUMMYFUNCTION("""COMPUTED_VALUE"""),"Kajaria Ceramic")</f>
        <v>Kajaria Ceramic</v>
      </c>
      <c r="B82" s="13">
        <f ca="1">IFERROR(__xludf.DUMMYFUNCTION("""COMPUTED_VALUE"""),17802.1935)</f>
        <v>17802.193500000001</v>
      </c>
      <c r="C82" s="12">
        <f ca="1">IFERROR(__xludf.DUMMYFUNCTION("""COMPUTED_VALUE"""),1118)</f>
        <v>1118</v>
      </c>
      <c r="D82" s="12">
        <f ca="1">IFERROR(__xludf.DUMMYFUNCTION("""COMPUTED_VALUE"""),46.87)</f>
        <v>46.87</v>
      </c>
      <c r="E82" s="12">
        <f ca="1">IFERROR(__xludf.DUMMYFUNCTION("""COMPUTED_VALUE"""),1374.55)</f>
        <v>1374.55</v>
      </c>
      <c r="F82" s="14">
        <f ca="1">IFERROR(__xludf.DUMMYFUNCTION("""COMPUTED_VALUE"""),0.186642901313157)</f>
        <v>0.186642901313157</v>
      </c>
      <c r="G82" s="12">
        <f ca="1">IFERROR(__xludf.DUMMYFUNCTION("""COMPUTED_VALUE"""),885.3)</f>
        <v>885.3</v>
      </c>
      <c r="H82" s="14">
        <f ca="1">IFERROR(__xludf.DUMMYFUNCTION("""COMPUTED_VALUE"""),0.262848751835536)</f>
        <v>0.26284875183553602</v>
      </c>
      <c r="I82" s="12">
        <f ca="1">IFERROR(__xludf.DUMMYFUNCTION("""COMPUTED_VALUE"""),1112.5)</f>
        <v>1112.5</v>
      </c>
      <c r="J82" s="14">
        <f ca="1">IFERROR(__xludf.DUMMYFUNCTION("""COMPUTED_VALUE"""),0.0049438202247191)</f>
        <v>4.9438202247190999E-3</v>
      </c>
      <c r="K82" s="12" t="str">
        <f ca="1">IFERROR(__xludf.DUMMYFUNCTION("""COMPUTED_VALUE"""),"Ceramic")</f>
        <v>Ceramic</v>
      </c>
      <c r="L82" s="12" t="str">
        <f ca="1">IFERROR(__xludf.DUMMYFUNCTION("""COMPUTED_VALUE"""),"KAJARIACER")</f>
        <v>KAJARIACER</v>
      </c>
      <c r="M82" s="12" t="str">
        <f ca="1">IFERROR(__xludf.DUMMYFUNCTION("""COMPUTED_VALUE"""),"No")</f>
        <v>No</v>
      </c>
      <c r="N82" s="12" t="str">
        <f ca="1">IFERROR(__xludf.DUMMYFUNCTION("""COMPUTED_VALUE"""),"No")</f>
        <v>No</v>
      </c>
      <c r="O82" s="12" t="str">
        <f ca="1">IFERROR(__xludf.DUMMYFUNCTION("""COMPUTED_VALUE"""),"Good Stock")</f>
        <v>Good Stock</v>
      </c>
      <c r="P82" s="12" t="str">
        <f ca="1">IFERROR(__xludf.DUMMYFUNCTION("""COMPUTED_VALUE"""),"Medium Cap")</f>
        <v>Medium Cap</v>
      </c>
    </row>
    <row r="83" spans="1:16">
      <c r="A83" s="12" t="str">
        <f ca="1">IFERROR(__xludf.DUMMYFUNCTION("""COMPUTED_VALUE"""),"Fine Organics")</f>
        <v>Fine Organics</v>
      </c>
      <c r="B83" s="13">
        <f ca="1">IFERROR(__xludf.DUMMYFUNCTION("""COMPUTED_VALUE"""),17277.2)</f>
        <v>17277.2</v>
      </c>
      <c r="C83" s="12">
        <f ca="1">IFERROR(__xludf.DUMMYFUNCTION("""COMPUTED_VALUE"""),5630)</f>
        <v>5630</v>
      </c>
      <c r="D83" s="12">
        <f ca="1">IFERROR(__xludf.DUMMYFUNCTION("""COMPUTED_VALUE"""),32.19)</f>
        <v>32.19</v>
      </c>
      <c r="E83" s="12">
        <f ca="1">IFERROR(__xludf.DUMMYFUNCTION("""COMPUTED_VALUE"""),7328.75)</f>
        <v>7328.75</v>
      </c>
      <c r="F83" s="14">
        <f ca="1">IFERROR(__xludf.DUMMYFUNCTION("""COMPUTED_VALUE"""),0.231792597646256)</f>
        <v>0.23179259764625601</v>
      </c>
      <c r="G83" s="12">
        <f ca="1">IFERROR(__xludf.DUMMYFUNCTION("""COMPUTED_VALUE"""),3457.1)</f>
        <v>3457.1</v>
      </c>
      <c r="H83" s="14">
        <f ca="1">IFERROR(__xludf.DUMMYFUNCTION("""COMPUTED_VALUE"""),0.628532585114691)</f>
        <v>0.62853258511469101</v>
      </c>
      <c r="I83" s="12">
        <f ca="1">IFERROR(__xludf.DUMMYFUNCTION("""COMPUTED_VALUE"""),5672.25)</f>
        <v>5672.25</v>
      </c>
      <c r="J83" s="14">
        <f ca="1">IFERROR(__xludf.DUMMYFUNCTION("""COMPUTED_VALUE"""),-0.00744854334699634)</f>
        <v>-7.4485433469963398E-3</v>
      </c>
      <c r="K83" s="12" t="str">
        <f ca="1">IFERROR(__xludf.DUMMYFUNCTION("""COMPUTED_VALUE"""),"Chemical")</f>
        <v>Chemical</v>
      </c>
      <c r="L83" s="12" t="str">
        <f ca="1">IFERROR(__xludf.DUMMYFUNCTION("""COMPUTED_VALUE"""),"FINEORG")</f>
        <v>FINEORG</v>
      </c>
      <c r="M83" s="12" t="str">
        <f ca="1">IFERROR(__xludf.DUMMYFUNCTION("""COMPUTED_VALUE"""),"No")</f>
        <v>No</v>
      </c>
      <c r="N83" s="12" t="str">
        <f ca="1">IFERROR(__xludf.DUMMYFUNCTION("""COMPUTED_VALUE"""),"No")</f>
        <v>No</v>
      </c>
      <c r="O83" s="12" t="str">
        <f ca="1">IFERROR(__xludf.DUMMYFUNCTION("""COMPUTED_VALUE"""),"Good Stock")</f>
        <v>Good Stock</v>
      </c>
      <c r="P83" s="12" t="str">
        <f ca="1">IFERROR(__xludf.DUMMYFUNCTION("""COMPUTED_VALUE"""),"Medium Cap")</f>
        <v>Medium Cap</v>
      </c>
    </row>
    <row r="84" spans="1:16">
      <c r="A84" s="12" t="str">
        <f ca="1">IFERROR(__xludf.DUMMYFUNCTION("""COMPUTED_VALUE"""),"Trident")</f>
        <v>Trident</v>
      </c>
      <c r="B84" s="13">
        <f ca="1">IFERROR(__xludf.DUMMYFUNCTION("""COMPUTED_VALUE"""),16896.24225)</f>
        <v>16896.242249999999</v>
      </c>
      <c r="C84" s="12">
        <f ca="1">IFERROR(__xludf.DUMMYFUNCTION("""COMPUTED_VALUE"""),33.75)</f>
        <v>33.75</v>
      </c>
      <c r="D84" s="12">
        <f ca="1">IFERROR(__xludf.DUMMYFUNCTION("""COMPUTED_VALUE"""),30.44)</f>
        <v>30.44</v>
      </c>
      <c r="E84" s="12">
        <f ca="1">IFERROR(__xludf.DUMMYFUNCTION("""COMPUTED_VALUE"""),70.9)</f>
        <v>70.900000000000006</v>
      </c>
      <c r="F84" s="14">
        <f ca="1">IFERROR(__xludf.DUMMYFUNCTION("""COMPUTED_VALUE"""),0.523977433004231)</f>
        <v>0.52397743300423105</v>
      </c>
      <c r="G84" s="12">
        <f ca="1">IFERROR(__xludf.DUMMYFUNCTION("""COMPUTED_VALUE"""),30.45)</f>
        <v>30.45</v>
      </c>
      <c r="H84" s="14">
        <f ca="1">IFERROR(__xludf.DUMMYFUNCTION("""COMPUTED_VALUE"""),0.108374384236453)</f>
        <v>0.108374384236453</v>
      </c>
      <c r="I84" s="12">
        <f ca="1">IFERROR(__xludf.DUMMYFUNCTION("""COMPUTED_VALUE"""),33.65)</f>
        <v>33.65</v>
      </c>
      <c r="J84" s="14">
        <f ca="1">IFERROR(__xludf.DUMMYFUNCTION("""COMPUTED_VALUE"""),0.00297176820208028)</f>
        <v>2.9717682020802801E-3</v>
      </c>
      <c r="K84" s="12" t="str">
        <f ca="1">IFERROR(__xludf.DUMMYFUNCTION("""COMPUTED_VALUE"""),"Textile")</f>
        <v>Textile</v>
      </c>
      <c r="L84" s="12" t="str">
        <f ca="1">IFERROR(__xludf.DUMMYFUNCTION("""COMPUTED_VALUE"""),"BOM:521064")</f>
        <v>BOM:521064</v>
      </c>
      <c r="M84" s="12" t="str">
        <f ca="1">IFERROR(__xludf.DUMMYFUNCTION("""COMPUTED_VALUE"""),"No")</f>
        <v>No</v>
      </c>
      <c r="N84" s="12" t="str">
        <f ca="1">IFERROR(__xludf.DUMMYFUNCTION("""COMPUTED_VALUE"""),"No")</f>
        <v>No</v>
      </c>
      <c r="O84" s="12" t="str">
        <f ca="1">IFERROR(__xludf.DUMMYFUNCTION("""COMPUTED_VALUE"""),"Good Stock")</f>
        <v>Good Stock</v>
      </c>
      <c r="P84" s="12" t="str">
        <f ca="1">IFERROR(__xludf.DUMMYFUNCTION("""COMPUTED_VALUE"""),"Medium Cap")</f>
        <v>Medium Cap</v>
      </c>
    </row>
    <row r="85" spans="1:16">
      <c r="A85" s="12" t="str">
        <f ca="1">IFERROR(__xludf.DUMMYFUNCTION("""COMPUTED_VALUE"""),"Nippon AMC")</f>
        <v>Nippon AMC</v>
      </c>
      <c r="B85" s="13">
        <f ca="1">IFERROR(__xludf.DUMMYFUNCTION("""COMPUTED_VALUE"""),15766.33509)</f>
        <v>15766.33509</v>
      </c>
      <c r="C85" s="12">
        <f ca="1">IFERROR(__xludf.DUMMYFUNCTION("""COMPUTED_VALUE"""),252.6)</f>
        <v>252.6</v>
      </c>
      <c r="D85" s="12">
        <f ca="1">IFERROR(__xludf.DUMMYFUNCTION("""COMPUTED_VALUE"""),23.69)</f>
        <v>23.69</v>
      </c>
      <c r="E85" s="12">
        <f ca="1">IFERROR(__xludf.DUMMYFUNCTION("""COMPUTED_VALUE"""),375.2)</f>
        <v>375.2</v>
      </c>
      <c r="F85" s="14">
        <f ca="1">IFERROR(__xludf.DUMMYFUNCTION("""COMPUTED_VALUE"""),0.326759061833688)</f>
        <v>0.32675906183368802</v>
      </c>
      <c r="G85" s="12">
        <f ca="1">IFERROR(__xludf.DUMMYFUNCTION("""COMPUTED_VALUE"""),241.05)</f>
        <v>241.05</v>
      </c>
      <c r="H85" s="14">
        <f ca="1">IFERROR(__xludf.DUMMYFUNCTION("""COMPUTED_VALUE"""),0.0479153702551337)</f>
        <v>4.7915370255133698E-2</v>
      </c>
      <c r="I85" s="12">
        <f ca="1">IFERROR(__xludf.DUMMYFUNCTION("""COMPUTED_VALUE"""),251.9)</f>
        <v>251.9</v>
      </c>
      <c r="J85" s="14">
        <f ca="1">IFERROR(__xludf.DUMMYFUNCTION("""COMPUTED_VALUE"""),0.0027788805081381)</f>
        <v>2.7788805081380998E-3</v>
      </c>
      <c r="K85" s="12" t="str">
        <f ca="1">IFERROR(__xludf.DUMMYFUNCTION("""COMPUTED_VALUE"""),"AMC")</f>
        <v>AMC</v>
      </c>
      <c r="L85" s="12" t="str">
        <f ca="1">IFERROR(__xludf.DUMMYFUNCTION("""COMPUTED_VALUE"""),"BOM:540767")</f>
        <v>BOM:540767</v>
      </c>
      <c r="M85" s="12" t="str">
        <f ca="1">IFERROR(__xludf.DUMMYFUNCTION("""COMPUTED_VALUE"""),"No")</f>
        <v>No</v>
      </c>
      <c r="N85" s="12" t="str">
        <f ca="1">IFERROR(__xludf.DUMMYFUNCTION("""COMPUTED_VALUE"""),"No")</f>
        <v>No</v>
      </c>
      <c r="O85" s="12" t="str">
        <f ca="1">IFERROR(__xludf.DUMMYFUNCTION("""COMPUTED_VALUE"""),"Good Stock")</f>
        <v>Good Stock</v>
      </c>
      <c r="P85" s="12" t="str">
        <f ca="1">IFERROR(__xludf.DUMMYFUNCTION("""COMPUTED_VALUE"""),"Medium Cap")</f>
        <v>Medium Cap</v>
      </c>
    </row>
    <row r="86" spans="1:16">
      <c r="A86" s="12" t="str">
        <f ca="1">IFERROR(__xludf.DUMMYFUNCTION("""COMPUTED_VALUE"""),"Exide Battery")</f>
        <v>Exide Battery</v>
      </c>
      <c r="B86" s="13">
        <f ca="1">IFERROR(__xludf.DUMMYFUNCTION("""COMPUTED_VALUE"""),15554.9906858)</f>
        <v>15554.990685799999</v>
      </c>
      <c r="C86" s="12">
        <f ca="1">IFERROR(__xludf.DUMMYFUNCTION("""COMPUTED_VALUE"""),182.85)</f>
        <v>182.85</v>
      </c>
      <c r="D86" s="12">
        <f ca="1">IFERROR(__xludf.DUMMYFUNCTION("""COMPUTED_VALUE"""),3.39)</f>
        <v>3.39</v>
      </c>
      <c r="E86" s="12">
        <f ca="1">IFERROR(__xludf.DUMMYFUNCTION("""COMPUTED_VALUE"""),194.2)</f>
        <v>194.2</v>
      </c>
      <c r="F86" s="14">
        <f ca="1">IFERROR(__xludf.DUMMYFUNCTION("""COMPUTED_VALUE"""),0.0584449021627188)</f>
        <v>5.8444902162718797E-2</v>
      </c>
      <c r="G86" s="12">
        <f ca="1">IFERROR(__xludf.DUMMYFUNCTION("""COMPUTED_VALUE"""),130.25)</f>
        <v>130.25</v>
      </c>
      <c r="H86" s="14">
        <f ca="1">IFERROR(__xludf.DUMMYFUNCTION("""COMPUTED_VALUE"""),0.40383877159309)</f>
        <v>0.40383877159309001</v>
      </c>
      <c r="I86" s="12">
        <f ca="1">IFERROR(__xludf.DUMMYFUNCTION("""COMPUTED_VALUE"""),182.65)</f>
        <v>182.65</v>
      </c>
      <c r="J86" s="14">
        <f ca="1">IFERROR(__xludf.DUMMYFUNCTION("""COMPUTED_VALUE"""),0.00109499041883377)</f>
        <v>1.0949904188337701E-3</v>
      </c>
      <c r="K86" s="12" t="str">
        <f ca="1">IFERROR(__xludf.DUMMYFUNCTION("""COMPUTED_VALUE"""),"Automobile Ancilliary")</f>
        <v>Automobile Ancilliary</v>
      </c>
      <c r="L86" s="12" t="str">
        <f ca="1">IFERROR(__xludf.DUMMYFUNCTION("""COMPUTED_VALUE"""),"EXIDEIND")</f>
        <v>EXIDEIND</v>
      </c>
      <c r="M86" s="12" t="str">
        <f ca="1">IFERROR(__xludf.DUMMYFUNCTION("""COMPUTED_VALUE"""),"No")</f>
        <v>No</v>
      </c>
      <c r="N86" s="12" t="str">
        <f ca="1">IFERROR(__xludf.DUMMYFUNCTION("""COMPUTED_VALUE"""),"No")</f>
        <v>No</v>
      </c>
      <c r="O86" s="12" t="str">
        <f ca="1">IFERROR(__xludf.DUMMYFUNCTION("""COMPUTED_VALUE"""),"Good Stock")</f>
        <v>Good Stock</v>
      </c>
      <c r="P86" s="12" t="str">
        <f ca="1">IFERROR(__xludf.DUMMYFUNCTION("""COMPUTED_VALUE"""),"Medium Cap")</f>
        <v>Medium Cap</v>
      </c>
    </row>
    <row r="87" spans="1:16">
      <c r="A87" s="12" t="str">
        <f ca="1">IFERROR(__xludf.DUMMYFUNCTION("""COMPUTED_VALUE"""),"clean science")</f>
        <v>clean science</v>
      </c>
      <c r="B87" s="13">
        <f ca="1">IFERROR(__xludf.DUMMYFUNCTION("""COMPUTED_VALUE"""),15538.83)</f>
        <v>15538.83</v>
      </c>
      <c r="C87" s="12">
        <f ca="1">IFERROR(__xludf.DUMMYFUNCTION("""COMPUTED_VALUE"""),1463.5)</f>
        <v>1463.5</v>
      </c>
      <c r="D87" s="12">
        <f ca="1">IFERROR(__xludf.DUMMYFUNCTION("""COMPUTED_VALUE"""),61.9)</f>
        <v>61.9</v>
      </c>
      <c r="E87" s="12">
        <f ca="1">IFERROR(__xludf.DUMMYFUNCTION("""COMPUTED_VALUE"""),2624)</f>
        <v>2624</v>
      </c>
      <c r="F87" s="14">
        <f ca="1">IFERROR(__xludf.DUMMYFUNCTION("""COMPUTED_VALUE"""),0.442263719512195)</f>
        <v>0.44226371951219501</v>
      </c>
      <c r="G87" s="12">
        <f ca="1">IFERROR(__xludf.DUMMYFUNCTION("""COMPUTED_VALUE"""),1410.1)</f>
        <v>1410.1</v>
      </c>
      <c r="H87" s="14">
        <f ca="1">IFERROR(__xludf.DUMMYFUNCTION("""COMPUTED_VALUE"""),0.0378696546344231)</f>
        <v>3.78696546344231E-2</v>
      </c>
      <c r="I87" s="12">
        <f ca="1">IFERROR(__xludf.DUMMYFUNCTION("""COMPUTED_VALUE"""),1471.05)</f>
        <v>1471.05</v>
      </c>
      <c r="J87" s="14">
        <f ca="1">IFERROR(__xludf.DUMMYFUNCTION("""COMPUTED_VALUE"""),-0.00513238843003293)</f>
        <v>-5.1323884300329302E-3</v>
      </c>
      <c r="K87" s="12" t="str">
        <f ca="1">IFERROR(__xludf.DUMMYFUNCTION("""COMPUTED_VALUE"""),"Chemical")</f>
        <v>Chemical</v>
      </c>
      <c r="L87" s="12" t="str">
        <f ca="1">IFERROR(__xludf.DUMMYFUNCTION("""COMPUTED_VALUE"""),"BOM:543318")</f>
        <v>BOM:543318</v>
      </c>
      <c r="M87" s="12" t="str">
        <f ca="1">IFERROR(__xludf.DUMMYFUNCTION("""COMPUTED_VALUE"""),"No")</f>
        <v>No</v>
      </c>
      <c r="N87" s="12" t="str">
        <f ca="1">IFERROR(__xludf.DUMMYFUNCTION("""COMPUTED_VALUE"""),"No")</f>
        <v>No</v>
      </c>
      <c r="O87" s="12" t="str">
        <f ca="1">IFERROR(__xludf.DUMMYFUNCTION("""COMPUTED_VALUE"""),"Good Stock")</f>
        <v>Good Stock</v>
      </c>
      <c r="P87" s="12" t="str">
        <f ca="1">IFERROR(__xludf.DUMMYFUNCTION("""COMPUTED_VALUE"""),"Medium Cap")</f>
        <v>Medium Cap</v>
      </c>
    </row>
    <row r="88" spans="1:16">
      <c r="A88" s="12" t="str">
        <f ca="1">IFERROR(__xludf.DUMMYFUNCTION("""COMPUTED_VALUE"""),"Alkyl Amine")</f>
        <v>Alkyl Amine</v>
      </c>
      <c r="B88" s="13">
        <f ca="1">IFERROR(__xludf.DUMMYFUNCTION("""COMPUTED_VALUE"""),13811.7)</f>
        <v>13811.7</v>
      </c>
      <c r="C88" s="12">
        <f ca="1">IFERROR(__xludf.DUMMYFUNCTION("""COMPUTED_VALUE"""),2714.9)</f>
        <v>2714.9</v>
      </c>
      <c r="D88" s="12">
        <f ca="1">IFERROR(__xludf.DUMMYFUNCTION("""COMPUTED_VALUE"""),61.31)</f>
        <v>61.31</v>
      </c>
      <c r="E88" s="12">
        <f ca="1">IFERROR(__xludf.DUMMYFUNCTION("""COMPUTED_VALUE"""),3797.6)</f>
        <v>3797.6</v>
      </c>
      <c r="F88" s="14">
        <f ca="1">IFERROR(__xludf.DUMMYFUNCTION("""COMPUTED_VALUE"""),0.285101116494628)</f>
        <v>0.28510111649462799</v>
      </c>
      <c r="G88" s="12">
        <f ca="1">IFERROR(__xludf.DUMMYFUNCTION("""COMPUTED_VALUE"""),2506.2)</f>
        <v>2506.1999999999998</v>
      </c>
      <c r="H88" s="14">
        <f ca="1">IFERROR(__xludf.DUMMYFUNCTION("""COMPUTED_VALUE"""),0.0832734817652223)</f>
        <v>8.3273481765222299E-2</v>
      </c>
      <c r="I88" s="12">
        <f ca="1">IFERROR(__xludf.DUMMYFUNCTION("""COMPUTED_VALUE"""),2750.75)</f>
        <v>2750.75</v>
      </c>
      <c r="J88" s="14">
        <f ca="1">IFERROR(__xludf.DUMMYFUNCTION("""COMPUTED_VALUE"""),-0.0130328092338452)</f>
        <v>-1.30328092338452E-2</v>
      </c>
      <c r="K88" s="12" t="str">
        <f ca="1">IFERROR(__xludf.DUMMYFUNCTION("""COMPUTED_VALUE"""),"Chemical")</f>
        <v>Chemical</v>
      </c>
      <c r="L88" s="12" t="str">
        <f ca="1">IFERROR(__xludf.DUMMYFUNCTION("""COMPUTED_VALUE"""),"ALKYLAMINE")</f>
        <v>ALKYLAMINE</v>
      </c>
      <c r="M88" s="12" t="str">
        <f ca="1">IFERROR(__xludf.DUMMYFUNCTION("""COMPUTED_VALUE"""),"No")</f>
        <v>No</v>
      </c>
      <c r="N88" s="12" t="str">
        <f ca="1">IFERROR(__xludf.DUMMYFUNCTION("""COMPUTED_VALUE"""),"No")</f>
        <v>No</v>
      </c>
      <c r="O88" s="12" t="str">
        <f ca="1">IFERROR(__xludf.DUMMYFUNCTION("""COMPUTED_VALUE"""),"Good Stock")</f>
        <v>Good Stock</v>
      </c>
      <c r="P88" s="12" t="str">
        <f ca="1">IFERROR(__xludf.DUMMYFUNCTION("""COMPUTED_VALUE"""),"Medium Cap")</f>
        <v>Medium Cap</v>
      </c>
    </row>
    <row r="89" spans="1:16">
      <c r="A89" s="12" t="str">
        <f ca="1">IFERROR(__xludf.DUMMYFUNCTION("""COMPUTED_VALUE"""),"Indiamart Intermesh")</f>
        <v>Indiamart Intermesh</v>
      </c>
      <c r="B89" s="13">
        <f ca="1">IFERROR(__xludf.DUMMYFUNCTION("""COMPUTED_VALUE"""),13709.808)</f>
        <v>13709.808000000001</v>
      </c>
      <c r="C89" s="12">
        <f ca="1">IFERROR(__xludf.DUMMYFUNCTION("""COMPUTED_VALUE"""),4477)</f>
        <v>4477</v>
      </c>
      <c r="D89" s="12">
        <f ca="1">IFERROR(__xludf.DUMMYFUNCTION("""COMPUTED_VALUE"""),56.62)</f>
        <v>56.62</v>
      </c>
      <c r="E89" s="12">
        <f ca="1">IFERROR(__xludf.DUMMYFUNCTION("""COMPUTED_VALUE"""),6898.75)</f>
        <v>6898.75</v>
      </c>
      <c r="F89" s="14">
        <f ca="1">IFERROR(__xludf.DUMMYFUNCTION("""COMPUTED_VALUE"""),0.351041855408588)</f>
        <v>0.35104185540858801</v>
      </c>
      <c r="G89" s="12">
        <f ca="1">IFERROR(__xludf.DUMMYFUNCTION("""COMPUTED_VALUE"""),3676)</f>
        <v>3676</v>
      </c>
      <c r="H89" s="14">
        <f ca="1">IFERROR(__xludf.DUMMYFUNCTION("""COMPUTED_VALUE"""),0.217899891186071)</f>
        <v>0.217899891186071</v>
      </c>
      <c r="I89" s="12">
        <f ca="1">IFERROR(__xludf.DUMMYFUNCTION("""COMPUTED_VALUE"""),4446.55)</f>
        <v>4446.55</v>
      </c>
      <c r="J89" s="14">
        <f ca="1">IFERROR(__xludf.DUMMYFUNCTION("""COMPUTED_VALUE"""),0.00684800575727245)</f>
        <v>6.8480057572724504E-3</v>
      </c>
      <c r="K89" s="12" t="str">
        <f ca="1">IFERROR(__xludf.DUMMYFUNCTION("""COMPUTED_VALUE"""),"Technology")</f>
        <v>Technology</v>
      </c>
      <c r="L89" s="12" t="str">
        <f ca="1">IFERROR(__xludf.DUMMYFUNCTION("""COMPUTED_VALUE"""),"INDIAMART")</f>
        <v>INDIAMART</v>
      </c>
      <c r="M89" s="12" t="str">
        <f ca="1">IFERROR(__xludf.DUMMYFUNCTION("""COMPUTED_VALUE"""),"No")</f>
        <v>No</v>
      </c>
      <c r="N89" s="12" t="str">
        <f ca="1">IFERROR(__xludf.DUMMYFUNCTION("""COMPUTED_VALUE"""),"No")</f>
        <v>No</v>
      </c>
      <c r="O89" s="12" t="str">
        <f ca="1">IFERROR(__xludf.DUMMYFUNCTION("""COMPUTED_VALUE"""),"Good Stock")</f>
        <v>Good Stock</v>
      </c>
      <c r="P89" s="12" t="str">
        <f ca="1">IFERROR(__xludf.DUMMYFUNCTION("""COMPUTED_VALUE"""),"Medium Cap")</f>
        <v>Medium Cap</v>
      </c>
    </row>
    <row r="90" spans="1:16">
      <c r="A90" s="12" t="str">
        <f ca="1">IFERROR(__xludf.DUMMYFUNCTION("""COMPUTED_VALUE"""),"Affle India")</f>
        <v>Affle India</v>
      </c>
      <c r="B90" s="13">
        <f ca="1">IFERROR(__xludf.DUMMYFUNCTION("""COMPUTED_VALUE"""),13659)</f>
        <v>13659</v>
      </c>
      <c r="C90" s="12">
        <f ca="1">IFERROR(__xludf.DUMMYFUNCTION("""COMPUTED_VALUE"""),1024)</f>
        <v>1024</v>
      </c>
      <c r="D90" s="12">
        <f ca="1">IFERROR(__xludf.DUMMYFUNCTION("""COMPUTED_VALUE"""),55.83)</f>
        <v>55.83</v>
      </c>
      <c r="E90" s="12">
        <f ca="1">IFERROR(__xludf.DUMMYFUNCTION("""COMPUTED_VALUE"""),1511)</f>
        <v>1511</v>
      </c>
      <c r="F90" s="14">
        <f ca="1">IFERROR(__xludf.DUMMYFUNCTION("""COMPUTED_VALUE"""),0.322303110522832)</f>
        <v>0.322303110522832</v>
      </c>
      <c r="G90" s="12">
        <f ca="1">IFERROR(__xludf.DUMMYFUNCTION("""COMPUTED_VALUE"""),871.55)</f>
        <v>871.55</v>
      </c>
      <c r="H90" s="14">
        <f ca="1">IFERROR(__xludf.DUMMYFUNCTION("""COMPUTED_VALUE"""),0.174918249096437)</f>
        <v>0.174918249096437</v>
      </c>
      <c r="I90" s="12">
        <f ca="1">IFERROR(__xludf.DUMMYFUNCTION("""COMPUTED_VALUE"""),1035.55)</f>
        <v>1035.55</v>
      </c>
      <c r="J90" s="14">
        <f ca="1">IFERROR(__xludf.DUMMYFUNCTION("""COMPUTED_VALUE"""),-0.0111534933127323)</f>
        <v>-1.1153493312732301E-2</v>
      </c>
      <c r="K90" s="12" t="str">
        <f ca="1">IFERROR(__xludf.DUMMYFUNCTION("""COMPUTED_VALUE"""),"Technology")</f>
        <v>Technology</v>
      </c>
      <c r="L90" s="12" t="str">
        <f ca="1">IFERROR(__xludf.DUMMYFUNCTION("""COMPUTED_VALUE"""),"AFFLE")</f>
        <v>AFFLE</v>
      </c>
      <c r="M90" s="12" t="str">
        <f ca="1">IFERROR(__xludf.DUMMYFUNCTION("""COMPUTED_VALUE"""),"No")</f>
        <v>No</v>
      </c>
      <c r="N90" s="12" t="str">
        <f ca="1">IFERROR(__xludf.DUMMYFUNCTION("""COMPUTED_VALUE"""),"No")</f>
        <v>No</v>
      </c>
      <c r="O90" s="12" t="str">
        <f ca="1">IFERROR(__xludf.DUMMYFUNCTION("""COMPUTED_VALUE"""),"Good Stock")</f>
        <v>Good Stock</v>
      </c>
      <c r="P90" s="12" t="str">
        <f ca="1">IFERROR(__xludf.DUMMYFUNCTION("""COMPUTED_VALUE"""),"Low Cap")</f>
        <v>Low Cap</v>
      </c>
    </row>
    <row r="91" spans="1:16">
      <c r="A91" s="12" t="str">
        <f ca="1">IFERROR(__xludf.DUMMYFUNCTION("""COMPUTED_VALUE"""),"KEI Industries")</f>
        <v>KEI Industries</v>
      </c>
      <c r="B91" s="13">
        <f ca="1">IFERROR(__xludf.DUMMYFUNCTION("""COMPUTED_VALUE"""),12966.0743501)</f>
        <v>12966.0743501</v>
      </c>
      <c r="C91" s="12">
        <f ca="1">IFERROR(__xludf.DUMMYFUNCTION("""COMPUTED_VALUE"""),1436.05)</f>
        <v>1436.05</v>
      </c>
      <c r="D91" s="12">
        <f ca="1">IFERROR(__xludf.DUMMYFUNCTION("""COMPUTED_VALUE"""),30.59)</f>
        <v>30.59</v>
      </c>
      <c r="E91" s="12">
        <f ca="1">IFERROR(__xludf.DUMMYFUNCTION("""COMPUTED_VALUE"""),1662.45)</f>
        <v>1662.45</v>
      </c>
      <c r="F91" s="14">
        <f ca="1">IFERROR(__xludf.DUMMYFUNCTION("""COMPUTED_VALUE"""),0.136184546903666)</f>
        <v>0.13618454690366599</v>
      </c>
      <c r="G91" s="12">
        <f ca="1">IFERROR(__xludf.DUMMYFUNCTION("""COMPUTED_VALUE"""),905.2)</f>
        <v>905.2</v>
      </c>
      <c r="H91" s="14">
        <f ca="1">IFERROR(__xludf.DUMMYFUNCTION("""COMPUTED_VALUE"""),0.586444984533804)</f>
        <v>0.586444984533804</v>
      </c>
      <c r="I91" s="12">
        <f ca="1">IFERROR(__xludf.DUMMYFUNCTION("""COMPUTED_VALUE"""),1435.2)</f>
        <v>1435.2</v>
      </c>
      <c r="J91" s="14">
        <f ca="1">IFERROR(__xludf.DUMMYFUNCTION("""COMPUTED_VALUE"""),0.000592251950947539)</f>
        <v>5.9225195094753905E-4</v>
      </c>
      <c r="K91" s="12" t="str">
        <f ca="1">IFERROR(__xludf.DUMMYFUNCTION("""COMPUTED_VALUE"""),"Consumer Electrical")</f>
        <v>Consumer Electrical</v>
      </c>
      <c r="L91" s="12" t="str">
        <f ca="1">IFERROR(__xludf.DUMMYFUNCTION("""COMPUTED_VALUE"""),"BOM:517569")</f>
        <v>BOM:517569</v>
      </c>
      <c r="M91" s="12" t="str">
        <f ca="1">IFERROR(__xludf.DUMMYFUNCTION("""COMPUTED_VALUE"""),"No")</f>
        <v>No</v>
      </c>
      <c r="N91" s="12" t="str">
        <f ca="1">IFERROR(__xludf.DUMMYFUNCTION("""COMPUTED_VALUE"""),"No")</f>
        <v>No</v>
      </c>
      <c r="O91" s="12" t="str">
        <f ca="1">IFERROR(__xludf.DUMMYFUNCTION("""COMPUTED_VALUE"""),"Good Stock")</f>
        <v>Good Stock</v>
      </c>
      <c r="P91" s="12" t="str">
        <f ca="1">IFERROR(__xludf.DUMMYFUNCTION("""COMPUTED_VALUE"""),"Low Cap")</f>
        <v>Low Cap</v>
      </c>
    </row>
    <row r="92" spans="1:16">
      <c r="A92" s="12" t="str">
        <f ca="1">IFERROR(__xludf.DUMMYFUNCTION("""COMPUTED_VALUE"""),"IEX")</f>
        <v>IEX</v>
      </c>
      <c r="B92" s="13">
        <f ca="1">IFERROR(__xludf.DUMMYFUNCTION("""COMPUTED_VALUE"""),12685.7721399)</f>
        <v>12685.7721399</v>
      </c>
      <c r="C92" s="12">
        <f ca="1">IFERROR(__xludf.DUMMYFUNCTION("""COMPUTED_VALUE"""),141.55)</f>
        <v>141.55000000000001</v>
      </c>
      <c r="D92" s="12">
        <f ca="1">IFERROR(__xludf.DUMMYFUNCTION("""COMPUTED_VALUE"""),41.14)</f>
        <v>41.14</v>
      </c>
      <c r="E92" s="12">
        <f ca="1">IFERROR(__xludf.DUMMYFUNCTION("""COMPUTED_VALUE"""),271.95)</f>
        <v>271.95</v>
      </c>
      <c r="F92" s="14">
        <f ca="1">IFERROR(__xludf.DUMMYFUNCTION("""COMPUTED_VALUE"""),0.479499908071336)</f>
        <v>0.47949990807133602</v>
      </c>
      <c r="G92" s="12">
        <f ca="1">IFERROR(__xludf.DUMMYFUNCTION("""COMPUTED_VALUE"""),129.25)</f>
        <v>129.25</v>
      </c>
      <c r="H92" s="14">
        <f ca="1">IFERROR(__xludf.DUMMYFUNCTION("""COMPUTED_VALUE"""),0.0951644100580271)</f>
        <v>9.5164410058027102E-2</v>
      </c>
      <c r="I92" s="12">
        <f ca="1">IFERROR(__xludf.DUMMYFUNCTION("""COMPUTED_VALUE"""),141.4)</f>
        <v>141.4</v>
      </c>
      <c r="J92" s="14">
        <f ca="1">IFERROR(__xludf.DUMMYFUNCTION("""COMPUTED_VALUE"""),0.0010608203677511)</f>
        <v>1.0608203677511001E-3</v>
      </c>
      <c r="K92" s="12" t="str">
        <f ca="1">IFERROR(__xludf.DUMMYFUNCTION("""COMPUTED_VALUE"""),"Technology")</f>
        <v>Technology</v>
      </c>
      <c r="L92" s="12" t="str">
        <f ca="1">IFERROR(__xludf.DUMMYFUNCTION("""COMPUTED_VALUE"""),"BOM:540750")</f>
        <v>BOM:540750</v>
      </c>
      <c r="M92" s="12" t="str">
        <f ca="1">IFERROR(__xludf.DUMMYFUNCTION("""COMPUTED_VALUE"""),"No")</f>
        <v>No</v>
      </c>
      <c r="N92" s="12" t="str">
        <f ca="1">IFERROR(__xludf.DUMMYFUNCTION("""COMPUTED_VALUE"""),"No")</f>
        <v>No</v>
      </c>
      <c r="O92" s="12" t="str">
        <f ca="1">IFERROR(__xludf.DUMMYFUNCTION("""COMPUTED_VALUE"""),"Good Stock")</f>
        <v>Good Stock</v>
      </c>
      <c r="P92" s="12" t="str">
        <f ca="1">IFERROR(__xludf.DUMMYFUNCTION("""COMPUTED_VALUE"""),"Low Cap")</f>
        <v>Low Cap</v>
      </c>
    </row>
    <row r="93" spans="1:16">
      <c r="A93" s="12" t="str">
        <f ca="1">IFERROR(__xludf.DUMMYFUNCTION("""COMPUTED_VALUE"""),"Happiest Mind")</f>
        <v>Happiest Mind</v>
      </c>
      <c r="B93" s="13">
        <f ca="1">IFERROR(__xludf.DUMMYFUNCTION("""COMPUTED_VALUE"""),12642.1534329)</f>
        <v>12642.153432900001</v>
      </c>
      <c r="C93" s="12">
        <f ca="1">IFERROR(__xludf.DUMMYFUNCTION("""COMPUTED_VALUE"""),885.05)</f>
        <v>885.05</v>
      </c>
      <c r="D93" s="12">
        <f ca="1">IFERROR(__xludf.DUMMYFUNCTION("""COMPUTED_VALUE"""),59.08)</f>
        <v>59.08</v>
      </c>
      <c r="E93" s="12">
        <f ca="1">IFERROR(__xludf.DUMMYFUNCTION("""COMPUTED_VALUE"""),1359.85)</f>
        <v>1359.85</v>
      </c>
      <c r="F93" s="14">
        <f ca="1">IFERROR(__xludf.DUMMYFUNCTION("""COMPUTED_VALUE"""),0.349156156929073)</f>
        <v>0.34915615692907298</v>
      </c>
      <c r="G93" s="12">
        <f ca="1">IFERROR(__xludf.DUMMYFUNCTION("""COMPUTED_VALUE"""),785.55)</f>
        <v>785.55</v>
      </c>
      <c r="H93" s="14">
        <f ca="1">IFERROR(__xludf.DUMMYFUNCTION("""COMPUTED_VALUE"""),0.126662847686334)</f>
        <v>0.12666284768633401</v>
      </c>
      <c r="I93" s="12">
        <f ca="1">IFERROR(__xludf.DUMMYFUNCTION("""COMPUTED_VALUE"""),884.65)</f>
        <v>884.65</v>
      </c>
      <c r="J93" s="14">
        <f ca="1">IFERROR(__xludf.DUMMYFUNCTION("""COMPUTED_VALUE"""),0.000452156219973975)</f>
        <v>4.5215621997397502E-4</v>
      </c>
      <c r="K93" s="12" t="str">
        <f ca="1">IFERROR(__xludf.DUMMYFUNCTION("""COMPUTED_VALUE"""),"IT")</f>
        <v>IT</v>
      </c>
      <c r="L93" s="12" t="str">
        <f ca="1">IFERROR(__xludf.DUMMYFUNCTION("""COMPUTED_VALUE"""),"BOM:543227")</f>
        <v>BOM:543227</v>
      </c>
      <c r="M93" s="12" t="str">
        <f ca="1">IFERROR(__xludf.DUMMYFUNCTION("""COMPUTED_VALUE"""),"No")</f>
        <v>No</v>
      </c>
      <c r="N93" s="12" t="str">
        <f ca="1">IFERROR(__xludf.DUMMYFUNCTION("""COMPUTED_VALUE"""),"No")</f>
        <v>No</v>
      </c>
      <c r="O93" s="12" t="str">
        <f ca="1">IFERROR(__xludf.DUMMYFUNCTION("""COMPUTED_VALUE"""),"Good Stock")</f>
        <v>Good Stock</v>
      </c>
      <c r="P93" s="12" t="str">
        <f ca="1">IFERROR(__xludf.DUMMYFUNCTION("""COMPUTED_VALUE"""),"Low Cap")</f>
        <v>Low Cap</v>
      </c>
    </row>
    <row r="94" spans="1:16">
      <c r="A94" s="12" t="str">
        <f ca="1">IFERROR(__xludf.DUMMYFUNCTION("""COMPUTED_VALUE"""),"Sheela Form")</f>
        <v>Sheela Form</v>
      </c>
      <c r="B94" s="13">
        <f ca="1">IFERROR(__xludf.DUMMYFUNCTION("""COMPUTED_VALUE"""),12260.1)</f>
        <v>12260.1</v>
      </c>
      <c r="C94" s="12">
        <f ca="1">IFERROR(__xludf.DUMMYFUNCTION("""COMPUTED_VALUE"""),1260)</f>
        <v>1260</v>
      </c>
      <c r="D94" s="12">
        <f ca="1">IFERROR(__xludf.DUMMYFUNCTION("""COMPUTED_VALUE"""),57.79)</f>
        <v>57.79</v>
      </c>
      <c r="E94" s="12">
        <f ca="1">IFERROR(__xludf.DUMMYFUNCTION("""COMPUTED_VALUE"""),2027)</f>
        <v>2027</v>
      </c>
      <c r="F94" s="14">
        <f ca="1">IFERROR(__xludf.DUMMYFUNCTION("""COMPUTED_VALUE"""),0.378391711889491)</f>
        <v>0.378391711889491</v>
      </c>
      <c r="G94" s="12">
        <f ca="1">IFERROR(__xludf.DUMMYFUNCTION("""COMPUTED_VALUE"""),1204.15)</f>
        <v>1204.1500000000001</v>
      </c>
      <c r="H94" s="14">
        <f ca="1">IFERROR(__xludf.DUMMYFUNCTION("""COMPUTED_VALUE"""),0.0463812647925922)</f>
        <v>4.6381264792592199E-2</v>
      </c>
      <c r="I94" s="12">
        <f ca="1">IFERROR(__xludf.DUMMYFUNCTION("""COMPUTED_VALUE"""),1251.3)</f>
        <v>1251.3</v>
      </c>
      <c r="J94" s="14">
        <f ca="1">IFERROR(__xludf.DUMMYFUNCTION("""COMPUTED_VALUE"""),0.00695276912011511)</f>
        <v>6.9527691201151098E-3</v>
      </c>
      <c r="K94" s="12" t="str">
        <f ca="1">IFERROR(__xludf.DUMMYFUNCTION("""COMPUTED_VALUE"""),"Form")</f>
        <v>Form</v>
      </c>
      <c r="L94" s="12" t="str">
        <f ca="1">IFERROR(__xludf.DUMMYFUNCTION("""COMPUTED_VALUE"""),"BOM:540203")</f>
        <v>BOM:540203</v>
      </c>
      <c r="M94" s="12" t="str">
        <f ca="1">IFERROR(__xludf.DUMMYFUNCTION("""COMPUTED_VALUE"""),"No")</f>
        <v>No</v>
      </c>
      <c r="N94" s="12" t="str">
        <f ca="1">IFERROR(__xludf.DUMMYFUNCTION("""COMPUTED_VALUE"""),"No")</f>
        <v>No</v>
      </c>
      <c r="O94" s="12" t="str">
        <f ca="1">IFERROR(__xludf.DUMMYFUNCTION("""COMPUTED_VALUE"""),"Good Stock")</f>
        <v>Good Stock</v>
      </c>
      <c r="P94" s="12" t="str">
        <f ca="1">IFERROR(__xludf.DUMMYFUNCTION("""COMPUTED_VALUE"""),"Low Cap")</f>
        <v>Low Cap</v>
      </c>
    </row>
    <row r="95" spans="1:16">
      <c r="A95" s="12" t="str">
        <f ca="1">IFERROR(__xludf.DUMMYFUNCTION("""COMPUTED_VALUE"""),"Century Plyboard")</f>
        <v>Century Plyboard</v>
      </c>
      <c r="B95" s="13">
        <f ca="1">IFERROR(__xludf.DUMMYFUNCTION("""COMPUTED_VALUE"""),11658.528175)</f>
        <v>11658.528174999999</v>
      </c>
      <c r="C95" s="12">
        <f ca="1">IFERROR(__xludf.DUMMYFUNCTION("""COMPUTED_VALUE"""),523.9)</f>
        <v>523.9</v>
      </c>
      <c r="D95" s="12">
        <f ca="1">IFERROR(__xludf.DUMMYFUNCTION("""COMPUTED_VALUE"""),31.54)</f>
        <v>31.54</v>
      </c>
      <c r="E95" s="12">
        <f ca="1">IFERROR(__xludf.DUMMYFUNCTION("""COMPUTED_VALUE"""),749)</f>
        <v>749</v>
      </c>
      <c r="F95" s="14">
        <f ca="1">IFERROR(__xludf.DUMMYFUNCTION("""COMPUTED_VALUE"""),0.300534045393858)</f>
        <v>0.30053404539385797</v>
      </c>
      <c r="G95" s="12">
        <f ca="1">IFERROR(__xludf.DUMMYFUNCTION("""COMPUTED_VALUE"""),484.7)</f>
        <v>484.7</v>
      </c>
      <c r="H95" s="14">
        <f ca="1">IFERROR(__xludf.DUMMYFUNCTION("""COMPUTED_VALUE"""),0.0808747678976686)</f>
        <v>8.0874767897668606E-2</v>
      </c>
      <c r="I95" s="12">
        <f ca="1">IFERROR(__xludf.DUMMYFUNCTION("""COMPUTED_VALUE"""),517.65)</f>
        <v>517.65</v>
      </c>
      <c r="J95" s="14">
        <f ca="1">IFERROR(__xludf.DUMMYFUNCTION("""COMPUTED_VALUE"""),0.0120737950352554)</f>
        <v>1.2073795035255399E-2</v>
      </c>
      <c r="K95" s="12" t="str">
        <f ca="1">IFERROR(__xludf.DUMMYFUNCTION("""COMPUTED_VALUE"""),"Playboard")</f>
        <v>Playboard</v>
      </c>
      <c r="L95" s="12" t="str">
        <f ca="1">IFERROR(__xludf.DUMMYFUNCTION("""COMPUTED_VALUE"""),"BOM:532548")</f>
        <v>BOM:532548</v>
      </c>
      <c r="M95" s="12" t="str">
        <f ca="1">IFERROR(__xludf.DUMMYFUNCTION("""COMPUTED_VALUE"""),"No")</f>
        <v>No</v>
      </c>
      <c r="N95" s="12" t="str">
        <f ca="1">IFERROR(__xludf.DUMMYFUNCTION("""COMPUTED_VALUE"""),"No")</f>
        <v>No</v>
      </c>
      <c r="O95" s="12" t="str">
        <f ca="1">IFERROR(__xludf.DUMMYFUNCTION("""COMPUTED_VALUE"""),"Good Stock")</f>
        <v>Good Stock</v>
      </c>
      <c r="P95" s="12" t="str">
        <f ca="1">IFERROR(__xludf.DUMMYFUNCTION("""COMPUTED_VALUE"""),"Low Cap")</f>
        <v>Low Cap</v>
      </c>
    </row>
    <row r="96" spans="1:16">
      <c r="A96" s="12" t="str">
        <f ca="1">IFERROR(__xludf.DUMMYFUNCTION("""COMPUTED_VALUE"""),"CDSL")</f>
        <v>CDSL</v>
      </c>
      <c r="B96" s="13">
        <f ca="1">IFERROR(__xludf.DUMMYFUNCTION("""COMPUTED_VALUE"""),11261.44)</f>
        <v>11261.44</v>
      </c>
      <c r="C96" s="12">
        <f ca="1">IFERROR(__xludf.DUMMYFUNCTION("""COMPUTED_VALUE"""),1077.9)</f>
        <v>1077.9000000000001</v>
      </c>
      <c r="D96" s="12">
        <f ca="1">IFERROR(__xludf.DUMMYFUNCTION("""COMPUTED_VALUE"""),37.61)</f>
        <v>37.61</v>
      </c>
      <c r="E96" s="12">
        <f ca="1">IFERROR(__xludf.DUMMYFUNCTION("""COMPUTED_VALUE"""),1654)</f>
        <v>1654</v>
      </c>
      <c r="F96" s="14">
        <f ca="1">IFERROR(__xludf.DUMMYFUNCTION("""COMPUTED_VALUE"""),0.348307134220072)</f>
        <v>0.34830713422007198</v>
      </c>
      <c r="G96" s="12">
        <f ca="1">IFERROR(__xludf.DUMMYFUNCTION("""COMPUTED_VALUE"""),1015)</f>
        <v>1015</v>
      </c>
      <c r="H96" s="14">
        <f ca="1">IFERROR(__xludf.DUMMYFUNCTION("""COMPUTED_VALUE"""),0.0619704433497537)</f>
        <v>6.1970443349753698E-2</v>
      </c>
      <c r="I96" s="12">
        <f ca="1">IFERROR(__xludf.DUMMYFUNCTION("""COMPUTED_VALUE"""),1078.65)</f>
        <v>1078.6500000000001</v>
      </c>
      <c r="J96" s="14">
        <f ca="1">IFERROR(__xludf.DUMMYFUNCTION("""COMPUTED_VALUE"""),-0.000695313586427478)</f>
        <v>-6.95313586427478E-4</v>
      </c>
      <c r="K96" s="12" t="str">
        <f ca="1">IFERROR(__xludf.DUMMYFUNCTION("""COMPUTED_VALUE"""),"Technology")</f>
        <v>Technology</v>
      </c>
      <c r="L96" s="12" t="str">
        <f ca="1">IFERROR(__xludf.DUMMYFUNCTION("""COMPUTED_VALUE"""),"CDSL")</f>
        <v>CDSL</v>
      </c>
      <c r="M96" s="12" t="str">
        <f ca="1">IFERROR(__xludf.DUMMYFUNCTION("""COMPUTED_VALUE"""),"No")</f>
        <v>No</v>
      </c>
      <c r="N96" s="12" t="str">
        <f ca="1">IFERROR(__xludf.DUMMYFUNCTION("""COMPUTED_VALUE"""),"No")</f>
        <v>No</v>
      </c>
      <c r="O96" s="12" t="str">
        <f ca="1">IFERROR(__xludf.DUMMYFUNCTION("""COMPUTED_VALUE"""),"Good Stock")</f>
        <v>Good Stock</v>
      </c>
      <c r="P96" s="12" t="str">
        <f ca="1">IFERROR(__xludf.DUMMYFUNCTION("""COMPUTED_VALUE"""),"Low Cap")</f>
        <v>Low Cap</v>
      </c>
    </row>
    <row r="97" spans="1:16">
      <c r="A97" s="12" t="str">
        <f ca="1">IFERROR(__xludf.DUMMYFUNCTION("""COMPUTED_VALUE"""),"CAMS")</f>
        <v>CAMS</v>
      </c>
      <c r="B97" s="13">
        <f ca="1">IFERROR(__xludf.DUMMYFUNCTION("""COMPUTED_VALUE"""),11180.9471528)</f>
        <v>11180.947152799999</v>
      </c>
      <c r="C97" s="12">
        <f ca="1">IFERROR(__xludf.DUMMYFUNCTION("""COMPUTED_VALUE"""),2274)</f>
        <v>2274</v>
      </c>
      <c r="D97" s="12">
        <f ca="1">IFERROR(__xludf.DUMMYFUNCTION("""COMPUTED_VALUE"""),38.87)</f>
        <v>38.869999999999997</v>
      </c>
      <c r="E97" s="12">
        <f ca="1">IFERROR(__xludf.DUMMYFUNCTION("""COMPUTED_VALUE"""),2971.5)</f>
        <v>2971.5</v>
      </c>
      <c r="F97" s="14">
        <f ca="1">IFERROR(__xludf.DUMMYFUNCTION("""COMPUTED_VALUE"""),0.234729934376577)</f>
        <v>0.23472993437657699</v>
      </c>
      <c r="G97" s="12">
        <f ca="1">IFERROR(__xludf.DUMMYFUNCTION("""COMPUTED_VALUE"""),2037.15)</f>
        <v>2037.15</v>
      </c>
      <c r="H97" s="14">
        <f ca="1">IFERROR(__xludf.DUMMYFUNCTION("""COMPUTED_VALUE"""),0.116265370738531)</f>
        <v>0.11626537073853099</v>
      </c>
      <c r="I97" s="12">
        <f ca="1">IFERROR(__xludf.DUMMYFUNCTION("""COMPUTED_VALUE"""),2235.75)</f>
        <v>2235.75</v>
      </c>
      <c r="J97" s="14">
        <f ca="1">IFERROR(__xludf.DUMMYFUNCTION("""COMPUTED_VALUE"""),0.0171083529017108)</f>
        <v>1.71083529017108E-2</v>
      </c>
      <c r="K97" s="12" t="str">
        <f ca="1">IFERROR(__xludf.DUMMYFUNCTION("""COMPUTED_VALUE"""),"Technology")</f>
        <v>Technology</v>
      </c>
      <c r="L97" s="12" t="str">
        <f ca="1">IFERROR(__xludf.DUMMYFUNCTION("""COMPUTED_VALUE"""),"NSE:CAMS")</f>
        <v>NSE:CAMS</v>
      </c>
      <c r="M97" s="12" t="str">
        <f ca="1">IFERROR(__xludf.DUMMYFUNCTION("""COMPUTED_VALUE"""),"No")</f>
        <v>No</v>
      </c>
      <c r="N97" s="12" t="str">
        <f ca="1">IFERROR(__xludf.DUMMYFUNCTION("""COMPUTED_VALUE"""),"No")</f>
        <v>No</v>
      </c>
      <c r="O97" s="12" t="str">
        <f ca="1">IFERROR(__xludf.DUMMYFUNCTION("""COMPUTED_VALUE"""),"Good Stock")</f>
        <v>Good Stock</v>
      </c>
      <c r="P97" s="12" t="str">
        <f ca="1">IFERROR(__xludf.DUMMYFUNCTION("""COMPUTED_VALUE"""),"Low Cap")</f>
        <v>Low Cap</v>
      </c>
    </row>
    <row r="98" spans="1:16">
      <c r="A98" s="12" t="str">
        <f ca="1">IFERROR(__xludf.DUMMYFUNCTION("""COMPUTED_VALUE"""),"HDFC Bank")</f>
        <v>HDFC Bank</v>
      </c>
      <c r="B98" s="13">
        <f ca="1">IFERROR(__xludf.DUMMYFUNCTION("""COMPUTED_VALUE"""),11060.0657861)</f>
        <v>11060.0657861</v>
      </c>
      <c r="C98" s="12">
        <f ca="1">IFERROR(__xludf.DUMMYFUNCTION("""COMPUTED_VALUE"""),1601)</f>
        <v>1601</v>
      </c>
      <c r="D98" s="12">
        <f ca="1">IFERROR(__xludf.DUMMYFUNCTION("""COMPUTED_VALUE"""),21.39)</f>
        <v>21.39</v>
      </c>
      <c r="E98" s="12">
        <f ca="1">IFERROR(__xludf.DUMMYFUNCTION("""COMPUTED_VALUE"""),1722.1)</f>
        <v>1722.1</v>
      </c>
      <c r="F98" s="14">
        <f ca="1">IFERROR(__xludf.DUMMYFUNCTION("""COMPUTED_VALUE"""),0.0703211195633238)</f>
        <v>7.0321119563323806E-2</v>
      </c>
      <c r="G98" s="12">
        <f ca="1">IFERROR(__xludf.DUMMYFUNCTION("""COMPUTED_VALUE"""),1271.6)</f>
        <v>1271.5999999999999</v>
      </c>
      <c r="H98" s="14">
        <f ca="1">IFERROR(__xludf.DUMMYFUNCTION("""COMPUTED_VALUE"""),0.259043724441648)</f>
        <v>0.25904372444164803</v>
      </c>
      <c r="I98" s="12">
        <f ca="1">IFERROR(__xludf.DUMMYFUNCTION("""COMPUTED_VALUE"""),1599.4)</f>
        <v>1599.4</v>
      </c>
      <c r="J98" s="14">
        <f ca="1">IFERROR(__xludf.DUMMYFUNCTION("""COMPUTED_VALUE"""),0.00100037514067769)</f>
        <v>1.0003751406776899E-3</v>
      </c>
      <c r="K98" s="12" t="str">
        <f ca="1">IFERROR(__xludf.DUMMYFUNCTION("""COMPUTED_VALUE"""),"Bank")</f>
        <v>Bank</v>
      </c>
      <c r="L98" s="12" t="str">
        <f ca="1">IFERROR(__xludf.DUMMYFUNCTION("""COMPUTED_VALUE"""),"HDFCBANK")</f>
        <v>HDFCBANK</v>
      </c>
      <c r="M98" s="12" t="str">
        <f ca="1">IFERROR(__xludf.DUMMYFUNCTION("""COMPUTED_VALUE"""),"No")</f>
        <v>No</v>
      </c>
      <c r="N98" s="12" t="str">
        <f ca="1">IFERROR(__xludf.DUMMYFUNCTION("""COMPUTED_VALUE"""),"No")</f>
        <v>No</v>
      </c>
      <c r="O98" s="12" t="str">
        <f ca="1">IFERROR(__xludf.DUMMYFUNCTION("""COMPUTED_VALUE"""),"Good Stock")</f>
        <v>Good Stock</v>
      </c>
      <c r="P98" s="12" t="str">
        <f ca="1">IFERROR(__xludf.DUMMYFUNCTION("""COMPUTED_VALUE"""),"Low Cap")</f>
        <v>Low Cap</v>
      </c>
    </row>
    <row r="99" spans="1:16">
      <c r="A99" s="12" t="str">
        <f ca="1">IFERROR(__xludf.DUMMYFUNCTION("""COMPUTED_VALUE"""),"TTK Prestige")</f>
        <v>TTK Prestige</v>
      </c>
      <c r="B99" s="13">
        <f ca="1">IFERROR(__xludf.DUMMYFUNCTION("""COMPUTED_VALUE"""),10943.5753)</f>
        <v>10943.5753</v>
      </c>
      <c r="C99" s="12">
        <f ca="1">IFERROR(__xludf.DUMMYFUNCTION("""COMPUTED_VALUE"""),789.5)</f>
        <v>789.5</v>
      </c>
      <c r="D99" s="12">
        <f ca="1">IFERROR(__xludf.DUMMYFUNCTION("""COMPUTED_VALUE"""),35.54)</f>
        <v>35.54</v>
      </c>
      <c r="E99" s="12">
        <f ca="1">IFERROR(__xludf.DUMMYFUNCTION("""COMPUTED_VALUE"""),1049.9)</f>
        <v>1049.9000000000001</v>
      </c>
      <c r="F99" s="14">
        <f ca="1">IFERROR(__xludf.DUMMYFUNCTION("""COMPUTED_VALUE"""),0.248023621297266)</f>
        <v>0.24802362129726599</v>
      </c>
      <c r="G99" s="12">
        <f ca="1">IFERROR(__xludf.DUMMYFUNCTION("""COMPUTED_VALUE"""),744.7)</f>
        <v>744.7</v>
      </c>
      <c r="H99" s="14">
        <f ca="1">IFERROR(__xludf.DUMMYFUNCTION("""COMPUTED_VALUE"""),0.0601584530683496)</f>
        <v>6.0158453068349597E-2</v>
      </c>
      <c r="I99" s="12">
        <f ca="1">IFERROR(__xludf.DUMMYFUNCTION("""COMPUTED_VALUE"""),794.05)</f>
        <v>794.05</v>
      </c>
      <c r="J99" s="14">
        <f ca="1">IFERROR(__xludf.DUMMYFUNCTION("""COMPUTED_VALUE"""),-0.0057301177507713)</f>
        <v>-5.7301177507713E-3</v>
      </c>
      <c r="K99" s="12" t="str">
        <f ca="1">IFERROR(__xludf.DUMMYFUNCTION("""COMPUTED_VALUE"""),"Consumer Electrical")</f>
        <v>Consumer Electrical</v>
      </c>
      <c r="L99" s="12" t="str">
        <f ca="1">IFERROR(__xludf.DUMMYFUNCTION("""COMPUTED_VALUE"""),"TTKPRESTIG")</f>
        <v>TTKPRESTIG</v>
      </c>
      <c r="M99" s="12" t="str">
        <f ca="1">IFERROR(__xludf.DUMMYFUNCTION("""COMPUTED_VALUE"""),"No")</f>
        <v>No</v>
      </c>
      <c r="N99" s="12" t="str">
        <f ca="1">IFERROR(__xludf.DUMMYFUNCTION("""COMPUTED_VALUE"""),"No")</f>
        <v>No</v>
      </c>
      <c r="O99" s="12" t="str">
        <f ca="1">IFERROR(__xludf.DUMMYFUNCTION("""COMPUTED_VALUE"""),"Good Stock")</f>
        <v>Good Stock</v>
      </c>
      <c r="P99" s="12" t="str">
        <f ca="1">IFERROR(__xludf.DUMMYFUNCTION("""COMPUTED_VALUE"""),"Low Cap")</f>
        <v>Low Cap</v>
      </c>
    </row>
    <row r="100" spans="1:16">
      <c r="A100" s="12" t="str">
        <f ca="1">IFERROR(__xludf.DUMMYFUNCTION("""COMPUTED_VALUE"""),"Alembic Pharma")</f>
        <v>Alembic Pharma</v>
      </c>
      <c r="B100" s="13">
        <f ca="1">IFERROR(__xludf.DUMMYFUNCTION("""COMPUTED_VALUE"""),10913.18)</f>
        <v>10913.18</v>
      </c>
      <c r="C100" s="12">
        <f ca="1">IFERROR(__xludf.DUMMYFUNCTION("""COMPUTED_VALUE"""),555)</f>
        <v>555</v>
      </c>
      <c r="D100" s="12">
        <f ca="1">IFERROR(__xludf.DUMMYFUNCTION("""COMPUTED_VALUE"""),42.84)</f>
        <v>42.84</v>
      </c>
      <c r="E100" s="12">
        <f ca="1">IFERROR(__xludf.DUMMYFUNCTION("""COMPUTED_VALUE"""),822.8)</f>
        <v>822.8</v>
      </c>
      <c r="F100" s="14">
        <f ca="1">IFERROR(__xludf.DUMMYFUNCTION("""COMPUTED_VALUE"""),0.325473991249392)</f>
        <v>0.32547399124939203</v>
      </c>
      <c r="G100" s="12">
        <f ca="1">IFERROR(__xludf.DUMMYFUNCTION("""COMPUTED_VALUE"""),540)</f>
        <v>540</v>
      </c>
      <c r="H100" s="14">
        <f ca="1">IFERROR(__xludf.DUMMYFUNCTION("""COMPUTED_VALUE"""),0.0277777777777777)</f>
        <v>2.77777777777777E-2</v>
      </c>
      <c r="I100" s="12">
        <f ca="1">IFERROR(__xludf.DUMMYFUNCTION("""COMPUTED_VALUE"""),557.4)</f>
        <v>557.4</v>
      </c>
      <c r="J100" s="14">
        <f ca="1">IFERROR(__xludf.DUMMYFUNCTION("""COMPUTED_VALUE"""),-0.0043057050592034)</f>
        <v>-4.3057050592033999E-3</v>
      </c>
      <c r="K100" s="12" t="str">
        <f ca="1">IFERROR(__xludf.DUMMYFUNCTION("""COMPUTED_VALUE"""),"Pharma")</f>
        <v>Pharma</v>
      </c>
      <c r="L100" s="12" t="str">
        <f ca="1">IFERROR(__xludf.DUMMYFUNCTION("""COMPUTED_VALUE"""),"APLLTD")</f>
        <v>APLLTD</v>
      </c>
      <c r="M100" s="12" t="str">
        <f ca="1">IFERROR(__xludf.DUMMYFUNCTION("""COMPUTED_VALUE"""),"No")</f>
        <v>No</v>
      </c>
      <c r="N100" s="12" t="str">
        <f ca="1">IFERROR(__xludf.DUMMYFUNCTION("""COMPUTED_VALUE"""),"No")</f>
        <v>No</v>
      </c>
      <c r="O100" s="12" t="str">
        <f ca="1">IFERROR(__xludf.DUMMYFUNCTION("""COMPUTED_VALUE"""),"Good Stock")</f>
        <v>Good Stock</v>
      </c>
      <c r="P100" s="12" t="str">
        <f ca="1">IFERROR(__xludf.DUMMYFUNCTION("""COMPUTED_VALUE"""),"Low Cap")</f>
        <v>Low Cap</v>
      </c>
    </row>
    <row r="101" spans="1:16">
      <c r="A101" s="12" t="str">
        <f ca="1">IFERROR(__xludf.DUMMYFUNCTION("""COMPUTED_VALUE"""),"Finolex Industries")</f>
        <v>Finolex Industries</v>
      </c>
      <c r="B101" s="13">
        <f ca="1">IFERROR(__xludf.DUMMYFUNCTION("""COMPUTED_VALUE"""),10644.74)</f>
        <v>10644.74</v>
      </c>
      <c r="C101" s="12">
        <f ca="1">IFERROR(__xludf.DUMMYFUNCTION("""COMPUTED_VALUE"""),173)</f>
        <v>173</v>
      </c>
      <c r="D101" s="12">
        <f ca="1">IFERROR(__xludf.DUMMYFUNCTION("""COMPUTED_VALUE"""),15.85)</f>
        <v>15.85</v>
      </c>
      <c r="E101" s="12">
        <f ca="1">IFERROR(__xludf.DUMMYFUNCTION("""COMPUTED_VALUE"""),204.5)</f>
        <v>204.5</v>
      </c>
      <c r="F101" s="14">
        <f ca="1">IFERROR(__xludf.DUMMYFUNCTION("""COMPUTED_VALUE"""),0.15403422982885)</f>
        <v>0.15403422982885001</v>
      </c>
      <c r="G101" s="12">
        <f ca="1">IFERROR(__xludf.DUMMYFUNCTION("""COMPUTED_VALUE"""),128)</f>
        <v>128</v>
      </c>
      <c r="H101" s="14">
        <f ca="1">IFERROR(__xludf.DUMMYFUNCTION("""COMPUTED_VALUE"""),0.3515625)</f>
        <v>0.3515625</v>
      </c>
      <c r="I101" s="12">
        <f ca="1">IFERROR(__xludf.DUMMYFUNCTION("""COMPUTED_VALUE"""),170.9)</f>
        <v>170.9</v>
      </c>
      <c r="J101" s="14">
        <f ca="1">IFERROR(__xludf.DUMMYFUNCTION("""COMPUTED_VALUE"""),0.0122878876535985)</f>
        <v>1.2287887653598501E-2</v>
      </c>
      <c r="K101" s="12" t="str">
        <f ca="1">IFERROR(__xludf.DUMMYFUNCTION("""COMPUTED_VALUE"""),"Piping")</f>
        <v>Piping</v>
      </c>
      <c r="L101" s="12" t="str">
        <f ca="1">IFERROR(__xludf.DUMMYFUNCTION("""COMPUTED_VALUE"""),"BOM:500940")</f>
        <v>BOM:500940</v>
      </c>
      <c r="M101" s="12" t="str">
        <f ca="1">IFERROR(__xludf.DUMMYFUNCTION("""COMPUTED_VALUE"""),"No")</f>
        <v>No</v>
      </c>
      <c r="N101" s="12" t="str">
        <f ca="1">IFERROR(__xludf.DUMMYFUNCTION("""COMPUTED_VALUE"""),"No")</f>
        <v>No</v>
      </c>
      <c r="O101" s="12" t="str">
        <f ca="1">IFERROR(__xludf.DUMMYFUNCTION("""COMPUTED_VALUE"""),"Good Stock")</f>
        <v>Good Stock</v>
      </c>
      <c r="P101" s="12" t="str">
        <f ca="1">IFERROR(__xludf.DUMMYFUNCTION("""COMPUTED_VALUE"""),"Low Cap")</f>
        <v>Low Cap</v>
      </c>
    </row>
    <row r="102" spans="1:16">
      <c r="A102" s="12" t="str">
        <f ca="1">IFERROR(__xludf.DUMMYFUNCTION("""COMPUTED_VALUE"""),"Mannapuran Finance")</f>
        <v>Mannapuran Finance</v>
      </c>
      <c r="B102" s="13">
        <f ca="1">IFERROR(__xludf.DUMMYFUNCTION("""COMPUTED_VALUE"""),10287.9254057)</f>
        <v>10287.9254057</v>
      </c>
      <c r="C102" s="12">
        <f ca="1">IFERROR(__xludf.DUMMYFUNCTION("""COMPUTED_VALUE"""),121.55)</f>
        <v>121.55</v>
      </c>
      <c r="D102" s="12">
        <f ca="1">IFERROR(__xludf.DUMMYFUNCTION("""COMPUTED_VALUE"""),8.7)</f>
        <v>8.6999999999999993</v>
      </c>
      <c r="E102" s="12">
        <f ca="1">IFERROR(__xludf.DUMMYFUNCTION("""COMPUTED_VALUE"""),173.75)</f>
        <v>173.75</v>
      </c>
      <c r="F102" s="14">
        <f ca="1">IFERROR(__xludf.DUMMYFUNCTION("""COMPUTED_VALUE"""),0.300431654676259)</f>
        <v>0.30043165467625899</v>
      </c>
      <c r="G102" s="12">
        <f ca="1">IFERROR(__xludf.DUMMYFUNCTION("""COMPUTED_VALUE"""),81.5)</f>
        <v>81.5</v>
      </c>
      <c r="H102" s="14">
        <f ca="1">IFERROR(__xludf.DUMMYFUNCTION("""COMPUTED_VALUE"""),0.491411042944785)</f>
        <v>0.49141104294478499</v>
      </c>
      <c r="I102" s="12">
        <f ca="1">IFERROR(__xludf.DUMMYFUNCTION("""COMPUTED_VALUE"""),120.15)</f>
        <v>120.15</v>
      </c>
      <c r="J102" s="14">
        <f ca="1">IFERROR(__xludf.DUMMYFUNCTION("""COMPUTED_VALUE"""),0.0116521015397419)</f>
        <v>1.16521015397419E-2</v>
      </c>
      <c r="K102" s="12" t="str">
        <f ca="1">IFERROR(__xludf.DUMMYFUNCTION("""COMPUTED_VALUE"""),"NBFC")</f>
        <v>NBFC</v>
      </c>
      <c r="L102" s="12" t="str">
        <f ca="1">IFERROR(__xludf.DUMMYFUNCTION("""COMPUTED_VALUE"""),"MANAPPURAM")</f>
        <v>MANAPPURAM</v>
      </c>
      <c r="M102" s="12" t="str">
        <f ca="1">IFERROR(__xludf.DUMMYFUNCTION("""COMPUTED_VALUE"""),"No")</f>
        <v>No</v>
      </c>
      <c r="N102" s="12" t="str">
        <f ca="1">IFERROR(__xludf.DUMMYFUNCTION("""COMPUTED_VALUE"""),"No")</f>
        <v>No</v>
      </c>
      <c r="O102" s="12" t="str">
        <f ca="1">IFERROR(__xludf.DUMMYFUNCTION("""COMPUTED_VALUE"""),"Good Stock")</f>
        <v>Good Stock</v>
      </c>
      <c r="P102" s="12" t="str">
        <f ca="1">IFERROR(__xludf.DUMMYFUNCTION("""COMPUTED_VALUE"""),"Low Cap")</f>
        <v>Low Cap</v>
      </c>
    </row>
    <row r="103" spans="1:16">
      <c r="A103" s="12" t="str">
        <f ca="1">IFERROR(__xludf.DUMMYFUNCTION("""COMPUTED_VALUE"""),"UTI AMC")</f>
        <v>UTI AMC</v>
      </c>
      <c r="B103" s="13">
        <f ca="1">IFERROR(__xludf.DUMMYFUNCTION("""COMPUTED_VALUE"""),10284.2865)</f>
        <v>10284.2865</v>
      </c>
      <c r="C103" s="12">
        <f ca="1">IFERROR(__xludf.DUMMYFUNCTION("""COMPUTED_VALUE"""),807.2)</f>
        <v>807.2</v>
      </c>
      <c r="D103" s="12">
        <f ca="1">IFERROR(__xludf.DUMMYFUNCTION("""COMPUTED_VALUE"""),21.59)</f>
        <v>21.59</v>
      </c>
      <c r="E103" s="12">
        <f ca="1">IFERROR(__xludf.DUMMYFUNCTION("""COMPUTED_VALUE"""),1096.05)</f>
        <v>1096.05</v>
      </c>
      <c r="F103" s="14">
        <f ca="1">IFERROR(__xludf.DUMMYFUNCTION("""COMPUTED_VALUE"""),0.263537247388349)</f>
        <v>0.26353724738834899</v>
      </c>
      <c r="G103" s="12">
        <f ca="1">IFERROR(__xludf.DUMMYFUNCTION("""COMPUTED_VALUE"""),595)</f>
        <v>595</v>
      </c>
      <c r="H103" s="14">
        <f ca="1">IFERROR(__xludf.DUMMYFUNCTION("""COMPUTED_VALUE"""),0.356638655462184)</f>
        <v>0.35663865546218398</v>
      </c>
      <c r="I103" s="12">
        <f ca="1">IFERROR(__xludf.DUMMYFUNCTION("""COMPUTED_VALUE"""),812.9)</f>
        <v>812.9</v>
      </c>
      <c r="J103" s="14">
        <f ca="1">IFERROR(__xludf.DUMMYFUNCTION("""COMPUTED_VALUE"""),-0.00701193258703399)</f>
        <v>-7.0119325870339902E-3</v>
      </c>
      <c r="K103" s="12" t="str">
        <f ca="1">IFERROR(__xludf.DUMMYFUNCTION("""COMPUTED_VALUE"""),"AMC")</f>
        <v>AMC</v>
      </c>
      <c r="L103" s="12" t="str">
        <f ca="1">IFERROR(__xludf.DUMMYFUNCTION("""COMPUTED_VALUE"""),"BOM:543238")</f>
        <v>BOM:543238</v>
      </c>
      <c r="M103" s="12" t="str">
        <f ca="1">IFERROR(__xludf.DUMMYFUNCTION("""COMPUTED_VALUE"""),"No")</f>
        <v>No</v>
      </c>
      <c r="N103" s="12" t="str">
        <f ca="1">IFERROR(__xludf.DUMMYFUNCTION("""COMPUTED_VALUE"""),"No")</f>
        <v>No</v>
      </c>
      <c r="O103" s="12" t="str">
        <f ca="1">IFERROR(__xludf.DUMMYFUNCTION("""COMPUTED_VALUE"""),"Good Stock")</f>
        <v>Good Stock</v>
      </c>
      <c r="P103" s="12" t="str">
        <f ca="1">IFERROR(__xludf.DUMMYFUNCTION("""COMPUTED_VALUE"""),"Low Cap")</f>
        <v>Low Cap</v>
      </c>
    </row>
    <row r="104" spans="1:16">
      <c r="A104" s="12" t="str">
        <f ca="1">IFERROR(__xludf.DUMMYFUNCTION("""COMPUTED_VALUE"""),"HFCL")</f>
        <v>HFCL</v>
      </c>
      <c r="B104" s="13">
        <f ca="1">IFERROR(__xludf.DUMMYFUNCTION("""COMPUTED_VALUE"""),10126.79307)</f>
        <v>10126.79307</v>
      </c>
      <c r="C104" s="12">
        <f ca="1">IFERROR(__xludf.DUMMYFUNCTION("""COMPUTED_VALUE"""),73.6)</f>
        <v>73.599999999999994</v>
      </c>
      <c r="D104" s="12">
        <f ca="1">IFERROR(__xludf.DUMMYFUNCTION("""COMPUTED_VALUE"""),36.15)</f>
        <v>36.15</v>
      </c>
      <c r="E104" s="12">
        <f ca="1">IFERROR(__xludf.DUMMYFUNCTION("""COMPUTED_VALUE"""),101.35)</f>
        <v>101.35</v>
      </c>
      <c r="F104" s="14">
        <f ca="1">IFERROR(__xludf.DUMMYFUNCTION("""COMPUTED_VALUE"""),0.273803650715342)</f>
        <v>0.27380365071534202</v>
      </c>
      <c r="G104" s="12">
        <f ca="1">IFERROR(__xludf.DUMMYFUNCTION("""COMPUTED_VALUE"""),51.55)</f>
        <v>51.55</v>
      </c>
      <c r="H104" s="14">
        <f ca="1">IFERROR(__xludf.DUMMYFUNCTION("""COMPUTED_VALUE"""),0.427740058195926)</f>
        <v>0.42774005819592598</v>
      </c>
      <c r="I104" s="12">
        <f ca="1">IFERROR(__xludf.DUMMYFUNCTION("""COMPUTED_VALUE"""),72.4)</f>
        <v>72.400000000000006</v>
      </c>
      <c r="J104" s="14">
        <f ca="1">IFERROR(__xludf.DUMMYFUNCTION("""COMPUTED_VALUE"""),0.0165745856353589)</f>
        <v>1.65745856353589E-2</v>
      </c>
      <c r="K104" s="12" t="str">
        <f ca="1">IFERROR(__xludf.DUMMYFUNCTION("""COMPUTED_VALUE"""),"Telecom")</f>
        <v>Telecom</v>
      </c>
      <c r="L104" s="12" t="str">
        <f ca="1">IFERROR(__xludf.DUMMYFUNCTION("""COMPUTED_VALUE"""),"BOM:500183")</f>
        <v>BOM:500183</v>
      </c>
      <c r="M104" s="12" t="str">
        <f ca="1">IFERROR(__xludf.DUMMYFUNCTION("""COMPUTED_VALUE"""),"No")</f>
        <v>No</v>
      </c>
      <c r="N104" s="12" t="str">
        <f ca="1">IFERROR(__xludf.DUMMYFUNCTION("""COMPUTED_VALUE"""),"No")</f>
        <v>No</v>
      </c>
      <c r="O104" s="12" t="str">
        <f ca="1">IFERROR(__xludf.DUMMYFUNCTION("""COMPUTED_VALUE"""),"Good Stock")</f>
        <v>Good Stock</v>
      </c>
      <c r="P104" s="12" t="str">
        <f ca="1">IFERROR(__xludf.DUMMYFUNCTION("""COMPUTED_VALUE"""),"Low Cap")</f>
        <v>Low Cap</v>
      </c>
    </row>
    <row r="105" spans="1:16">
      <c r="A105" s="12" t="str">
        <f ca="1">IFERROR(__xludf.DUMMYFUNCTION("""COMPUTED_VALUE"""),"Tanla Platform")</f>
        <v>Tanla Platform</v>
      </c>
      <c r="B105" s="13">
        <f ca="1">IFERROR(__xludf.DUMMYFUNCTION("""COMPUTED_VALUE"""),9951.4177429)</f>
        <v>9951.4177428999992</v>
      </c>
      <c r="C105" s="12">
        <f ca="1">IFERROR(__xludf.DUMMYFUNCTION("""COMPUTED_VALUE"""),731.9)</f>
        <v>731.9</v>
      </c>
      <c r="D105" s="12">
        <f ca="1">IFERROR(__xludf.DUMMYFUNCTION("""COMPUTED_VALUE"""),19.49)</f>
        <v>19.489999999999998</v>
      </c>
      <c r="E105" s="12">
        <f ca="1">IFERROR(__xludf.DUMMYFUNCTION("""COMPUTED_VALUE"""),2094.4)</f>
        <v>2094.4</v>
      </c>
      <c r="F105" s="14">
        <f ca="1">IFERROR(__xludf.DUMMYFUNCTION("""COMPUTED_VALUE"""),0.650544308632543)</f>
        <v>0.65054430863254298</v>
      </c>
      <c r="G105" s="12">
        <f ca="1">IFERROR(__xludf.DUMMYFUNCTION("""COMPUTED_VALUE"""),584.8)</f>
        <v>584.79999999999995</v>
      </c>
      <c r="H105" s="14">
        <f ca="1">IFERROR(__xludf.DUMMYFUNCTION("""COMPUTED_VALUE"""),0.251538987688098)</f>
        <v>0.25153898768809801</v>
      </c>
      <c r="I105" s="12">
        <f ca="1">IFERROR(__xludf.DUMMYFUNCTION("""COMPUTED_VALUE"""),724.3)</f>
        <v>724.3</v>
      </c>
      <c r="J105" s="14">
        <f ca="1">IFERROR(__xludf.DUMMYFUNCTION("""COMPUTED_VALUE"""),0.0104928896865939)</f>
        <v>1.04928896865939E-2</v>
      </c>
      <c r="K105" s="12" t="str">
        <f ca="1">IFERROR(__xludf.DUMMYFUNCTION("""COMPUTED_VALUE"""),"Technology")</f>
        <v>Technology</v>
      </c>
      <c r="L105" s="12" t="str">
        <f ca="1">IFERROR(__xludf.DUMMYFUNCTION("""COMPUTED_VALUE"""),"BOM:532790")</f>
        <v>BOM:532790</v>
      </c>
      <c r="M105" s="12" t="str">
        <f ca="1">IFERROR(__xludf.DUMMYFUNCTION("""COMPUTED_VALUE"""),"No")</f>
        <v>No</v>
      </c>
      <c r="N105" s="12" t="str">
        <f ca="1">IFERROR(__xludf.DUMMYFUNCTION("""COMPUTED_VALUE"""),"No")</f>
        <v>No</v>
      </c>
      <c r="O105" s="12" t="str">
        <f ca="1">IFERROR(__xludf.DUMMYFUNCTION("""COMPUTED_VALUE"""),"Good Stock")</f>
        <v>Good Stock</v>
      </c>
      <c r="P105" s="12" t="str">
        <f ca="1">IFERROR(__xludf.DUMMYFUNCTION("""COMPUTED_VALUE"""),"Low Cap")</f>
        <v>Low Cap</v>
      </c>
    </row>
    <row r="106" spans="1:16">
      <c r="A106" s="12" t="str">
        <f ca="1">IFERROR(__xludf.DUMMYFUNCTION("""COMPUTED_VALUE"""),"Amara Raja Batter")</f>
        <v>Amara Raja Batter</v>
      </c>
      <c r="B106" s="13">
        <f ca="1">IFERROR(__xludf.DUMMYFUNCTION("""COMPUTED_VALUE"""),9847.33486)</f>
        <v>9847.3348600000008</v>
      </c>
      <c r="C106" s="12">
        <f ca="1">IFERROR(__xludf.DUMMYFUNCTION("""COMPUTED_VALUE"""),576.5)</f>
        <v>576.5</v>
      </c>
      <c r="D106" s="12">
        <f ca="1">IFERROR(__xludf.DUMMYFUNCTION("""COMPUTED_VALUE"""),17.05)</f>
        <v>17.05</v>
      </c>
      <c r="E106" s="12">
        <f ca="1">IFERROR(__xludf.DUMMYFUNCTION("""COMPUTED_VALUE"""),668.15)</f>
        <v>668.15</v>
      </c>
      <c r="F106" s="14">
        <f ca="1">IFERROR(__xludf.DUMMYFUNCTION("""COMPUTED_VALUE"""),0.137169797201227)</f>
        <v>0.13716979720122699</v>
      </c>
      <c r="G106" s="12">
        <f ca="1">IFERROR(__xludf.DUMMYFUNCTION("""COMPUTED_VALUE"""),438.05)</f>
        <v>438.05</v>
      </c>
      <c r="H106" s="14">
        <f ca="1">IFERROR(__xludf.DUMMYFUNCTION("""COMPUTED_VALUE"""),0.316059810523912)</f>
        <v>0.31605981052391202</v>
      </c>
      <c r="I106" s="12">
        <f ca="1">IFERROR(__xludf.DUMMYFUNCTION("""COMPUTED_VALUE"""),590.95)</f>
        <v>590.95000000000005</v>
      </c>
      <c r="J106" s="14">
        <f ca="1">IFERROR(__xludf.DUMMYFUNCTION("""COMPUTED_VALUE"""),-0.024452153312463)</f>
        <v>-2.4452153312463001E-2</v>
      </c>
      <c r="K106" s="12" t="str">
        <f ca="1">IFERROR(__xludf.DUMMYFUNCTION("""COMPUTED_VALUE"""),"Automobile Ancilliary")</f>
        <v>Automobile Ancilliary</v>
      </c>
      <c r="L106" s="12" t="str">
        <f ca="1">IFERROR(__xludf.DUMMYFUNCTION("""COMPUTED_VALUE"""),"AMARAJABAT")</f>
        <v>AMARAJABAT</v>
      </c>
      <c r="M106" s="12" t="str">
        <f ca="1">IFERROR(__xludf.DUMMYFUNCTION("""COMPUTED_VALUE"""),"No")</f>
        <v>No</v>
      </c>
      <c r="N106" s="12" t="str">
        <f ca="1">IFERROR(__xludf.DUMMYFUNCTION("""COMPUTED_VALUE"""),"No")</f>
        <v>No</v>
      </c>
      <c r="O106" s="12" t="str">
        <f ca="1">IFERROR(__xludf.DUMMYFUNCTION("""COMPUTED_VALUE"""),"Good Stock")</f>
        <v>Good Stock</v>
      </c>
      <c r="P106" s="12" t="str">
        <f ca="1">IFERROR(__xludf.DUMMYFUNCTION("""COMPUTED_VALUE"""),"Low Cap")</f>
        <v>Low Cap</v>
      </c>
    </row>
    <row r="107" spans="1:16">
      <c r="A107" s="12" t="str">
        <f ca="1">IFERROR(__xludf.DUMMYFUNCTION("""COMPUTED_VALUE"""),"Cyient")</f>
        <v>Cyient</v>
      </c>
      <c r="B107" s="13">
        <f ca="1">IFERROR(__xludf.DUMMYFUNCTION("""COMPUTED_VALUE"""),9606.1541)</f>
        <v>9606.1540999999997</v>
      </c>
      <c r="C107" s="12">
        <f ca="1">IFERROR(__xludf.DUMMYFUNCTION("""COMPUTED_VALUE"""),876)</f>
        <v>876</v>
      </c>
      <c r="D107" s="12">
        <f ca="1">IFERROR(__xludf.DUMMYFUNCTION("""COMPUTED_VALUE"""),19.98)</f>
        <v>19.98</v>
      </c>
      <c r="E107" s="12">
        <f ca="1">IFERROR(__xludf.DUMMYFUNCTION("""COMPUTED_VALUE"""),1051.85)</f>
        <v>1051.8499999999999</v>
      </c>
      <c r="F107" s="14">
        <f ca="1">IFERROR(__xludf.DUMMYFUNCTION("""COMPUTED_VALUE"""),0.167181632362028)</f>
        <v>0.16718163236202799</v>
      </c>
      <c r="G107" s="12">
        <f ca="1">IFERROR(__xludf.DUMMYFUNCTION("""COMPUTED_VALUE"""),720)</f>
        <v>720</v>
      </c>
      <c r="H107" s="14">
        <f ca="1">IFERROR(__xludf.DUMMYFUNCTION("""COMPUTED_VALUE"""),0.216666666666666)</f>
        <v>0.21666666666666601</v>
      </c>
      <c r="I107" s="12">
        <f ca="1">IFERROR(__xludf.DUMMYFUNCTION("""COMPUTED_VALUE"""),883.3)</f>
        <v>883.3</v>
      </c>
      <c r="J107" s="14">
        <f ca="1">IFERROR(__xludf.DUMMYFUNCTION("""COMPUTED_VALUE"""),-0.0082644628099173)</f>
        <v>-8.2644628099173001E-3</v>
      </c>
      <c r="K107" s="12" t="str">
        <f ca="1">IFERROR(__xludf.DUMMYFUNCTION("""COMPUTED_VALUE"""),"IT-Software")</f>
        <v>IT-Software</v>
      </c>
      <c r="L107" s="12" t="str">
        <f ca="1">IFERROR(__xludf.DUMMYFUNCTION("""COMPUTED_VALUE"""),"CYIENT")</f>
        <v>CYIENT</v>
      </c>
      <c r="M107" s="12" t="str">
        <f ca="1">IFERROR(__xludf.DUMMYFUNCTION("""COMPUTED_VALUE"""),"No")</f>
        <v>No</v>
      </c>
      <c r="N107" s="12" t="str">
        <f ca="1">IFERROR(__xludf.DUMMYFUNCTION("""COMPUTED_VALUE"""),"No")</f>
        <v>No</v>
      </c>
      <c r="O107" s="12" t="str">
        <f ca="1">IFERROR(__xludf.DUMMYFUNCTION("""COMPUTED_VALUE"""),"Good Stock")</f>
        <v>Good Stock</v>
      </c>
      <c r="P107" s="12" t="str">
        <f ca="1">IFERROR(__xludf.DUMMYFUNCTION("""COMPUTED_VALUE"""),"Low Cap")</f>
        <v>Low Cap</v>
      </c>
    </row>
    <row r="108" spans="1:16">
      <c r="A108" s="12" t="str">
        <f ca="1">IFERROR(__xludf.DUMMYFUNCTION("""COMPUTED_VALUE"""),"Poly Medicure Ltd")</f>
        <v>Poly Medicure Ltd</v>
      </c>
      <c r="B108" s="13">
        <f ca="1">IFERROR(__xludf.DUMMYFUNCTION("""COMPUTED_VALUE"""),8584.669055)</f>
        <v>8584.6690550000003</v>
      </c>
      <c r="C108" s="12">
        <f ca="1">IFERROR(__xludf.DUMMYFUNCTION("""COMPUTED_VALUE"""),891.5)</f>
        <v>891.5</v>
      </c>
      <c r="D108" s="12">
        <f ca="1">IFERROR(__xludf.DUMMYFUNCTION("""COMPUTED_VALUE"""),61.12)</f>
        <v>61.12</v>
      </c>
      <c r="E108" s="12">
        <f ca="1">IFERROR(__xludf.DUMMYFUNCTION("""COMPUTED_VALUE"""),1044.4)</f>
        <v>1044.4000000000001</v>
      </c>
      <c r="F108" s="14">
        <f ca="1">IFERROR(__xludf.DUMMYFUNCTION("""COMPUTED_VALUE"""),0.146399846801991)</f>
        <v>0.146399846801991</v>
      </c>
      <c r="G108" s="12">
        <f ca="1">IFERROR(__xludf.DUMMYFUNCTION("""COMPUTED_VALUE"""),652.3)</f>
        <v>652.29999999999995</v>
      </c>
      <c r="H108" s="14">
        <f ca="1">IFERROR(__xludf.DUMMYFUNCTION("""COMPUTED_VALUE"""),0.366702437528744)</f>
        <v>0.36670243752874399</v>
      </c>
      <c r="I108" s="12">
        <f ca="1">IFERROR(__xludf.DUMMYFUNCTION("""COMPUTED_VALUE"""),897.9)</f>
        <v>897.9</v>
      </c>
      <c r="J108" s="14">
        <f ca="1">IFERROR(__xludf.DUMMYFUNCTION("""COMPUTED_VALUE"""),-0.00712774251030179)</f>
        <v>-7.1277425103017898E-3</v>
      </c>
      <c r="K108" s="12" t="str">
        <f ca="1">IFERROR(__xludf.DUMMYFUNCTION("""COMPUTED_VALUE"""),"Healthcare")</f>
        <v>Healthcare</v>
      </c>
      <c r="L108" s="12" t="str">
        <f ca="1">IFERROR(__xludf.DUMMYFUNCTION("""COMPUTED_VALUE"""),"BOM:531768")</f>
        <v>BOM:531768</v>
      </c>
      <c r="M108" s="12" t="str">
        <f ca="1">IFERROR(__xludf.DUMMYFUNCTION("""COMPUTED_VALUE"""),"No")</f>
        <v>No</v>
      </c>
      <c r="N108" s="12" t="str">
        <f ca="1">IFERROR(__xludf.DUMMYFUNCTION("""COMPUTED_VALUE"""),"No")</f>
        <v>No</v>
      </c>
      <c r="O108" s="12" t="str">
        <f ca="1">IFERROR(__xludf.DUMMYFUNCTION("""COMPUTED_VALUE"""),"Good Stock")</f>
        <v>Good Stock</v>
      </c>
      <c r="P108" s="12" t="str">
        <f ca="1">IFERROR(__xludf.DUMMYFUNCTION("""COMPUTED_VALUE"""),"Low Cap")</f>
        <v>Low Cap</v>
      </c>
    </row>
    <row r="109" spans="1:16">
      <c r="A109" s="12" t="str">
        <f ca="1">IFERROR(__xludf.DUMMYFUNCTION("""COMPUTED_VALUE"""),"Finolex Cable")</f>
        <v>Finolex Cable</v>
      </c>
      <c r="B109" s="13">
        <f ca="1">IFERROR(__xludf.DUMMYFUNCTION("""COMPUTED_VALUE"""),8463.6612353)</f>
        <v>8463.6612353</v>
      </c>
      <c r="C109" s="12">
        <f ca="1">IFERROR(__xludf.DUMMYFUNCTION("""COMPUTED_VALUE"""),553.4)</f>
        <v>553.4</v>
      </c>
      <c r="D109" s="12">
        <f ca="1">IFERROR(__xludf.DUMMYFUNCTION("""COMPUTED_VALUE"""),15.6)</f>
        <v>15.6</v>
      </c>
      <c r="E109" s="12">
        <f ca="1">IFERROR(__xludf.DUMMYFUNCTION("""COMPUTED_VALUE"""),593.9)</f>
        <v>593.9</v>
      </c>
      <c r="F109" s="14">
        <f ca="1">IFERROR(__xludf.DUMMYFUNCTION("""COMPUTED_VALUE"""),0.0681932985351069)</f>
        <v>6.8193298535106903E-2</v>
      </c>
      <c r="G109" s="12">
        <f ca="1">IFERROR(__xludf.DUMMYFUNCTION("""COMPUTED_VALUE"""),343.5)</f>
        <v>343.5</v>
      </c>
      <c r="H109" s="14">
        <f ca="1">IFERROR(__xludf.DUMMYFUNCTION("""COMPUTED_VALUE"""),0.611062590975254)</f>
        <v>0.61106259097525395</v>
      </c>
      <c r="I109" s="12">
        <f ca="1">IFERROR(__xludf.DUMMYFUNCTION("""COMPUTED_VALUE"""),539.85)</f>
        <v>539.85</v>
      </c>
      <c r="J109" s="14">
        <f ca="1">IFERROR(__xludf.DUMMYFUNCTION("""COMPUTED_VALUE"""),0.0250995646938963)</f>
        <v>2.5099564693896299E-2</v>
      </c>
      <c r="K109" s="12" t="str">
        <f ca="1">IFERROR(__xludf.DUMMYFUNCTION("""COMPUTED_VALUE"""),"Consumer Electrical")</f>
        <v>Consumer Electrical</v>
      </c>
      <c r="L109" s="12" t="str">
        <f ca="1">IFERROR(__xludf.DUMMYFUNCTION("""COMPUTED_VALUE"""),"FINCABLES")</f>
        <v>FINCABLES</v>
      </c>
      <c r="M109" s="12" t="str">
        <f ca="1">IFERROR(__xludf.DUMMYFUNCTION("""COMPUTED_VALUE"""),"No")</f>
        <v>No</v>
      </c>
      <c r="N109" s="12" t="str">
        <f ca="1">IFERROR(__xludf.DUMMYFUNCTION("""COMPUTED_VALUE"""),"No")</f>
        <v>No</v>
      </c>
      <c r="O109" s="12" t="str">
        <f ca="1">IFERROR(__xludf.DUMMYFUNCTION("""COMPUTED_VALUE"""),"Good Stock")</f>
        <v>Good Stock</v>
      </c>
      <c r="P109" s="12" t="str">
        <f ca="1">IFERROR(__xludf.DUMMYFUNCTION("""COMPUTED_VALUE"""),"Low Cap")</f>
        <v>Low Cap</v>
      </c>
    </row>
    <row r="110" spans="1:16">
      <c r="A110" s="12" t="str">
        <f ca="1">IFERROR(__xludf.DUMMYFUNCTION("""COMPUTED_VALUE"""),"Mahangar Gas")</f>
        <v>Mahangar Gas</v>
      </c>
      <c r="B110" s="13">
        <f ca="1">IFERROR(__xludf.DUMMYFUNCTION("""COMPUTED_VALUE"""),8445.006)</f>
        <v>8445.0059999999994</v>
      </c>
      <c r="C110" s="12">
        <f ca="1">IFERROR(__xludf.DUMMYFUNCTION("""COMPUTED_VALUE"""),853.05)</f>
        <v>853.05</v>
      </c>
      <c r="D110" s="12">
        <f ca="1">IFERROR(__xludf.DUMMYFUNCTION("""COMPUTED_VALUE"""),15.67)</f>
        <v>15.67</v>
      </c>
      <c r="E110" s="12">
        <f ca="1">IFERROR(__xludf.DUMMYFUNCTION("""COMPUTED_VALUE"""),925)</f>
        <v>925</v>
      </c>
      <c r="F110" s="14">
        <f ca="1">IFERROR(__xludf.DUMMYFUNCTION("""COMPUTED_VALUE"""),0.0777837837837838)</f>
        <v>7.7783783783783797E-2</v>
      </c>
      <c r="G110" s="12">
        <f ca="1">IFERROR(__xludf.DUMMYFUNCTION("""COMPUTED_VALUE"""),666.35)</f>
        <v>666.35</v>
      </c>
      <c r="H110" s="14">
        <f ca="1">IFERROR(__xludf.DUMMYFUNCTION("""COMPUTED_VALUE"""),0.280183086966308)</f>
        <v>0.280183086966308</v>
      </c>
      <c r="I110" s="12">
        <f ca="1">IFERROR(__xludf.DUMMYFUNCTION("""COMPUTED_VALUE"""),862.5)</f>
        <v>862.5</v>
      </c>
      <c r="J110" s="14">
        <f ca="1">IFERROR(__xludf.DUMMYFUNCTION("""COMPUTED_VALUE"""),-0.0109565217391304)</f>
        <v>-1.09565217391304E-2</v>
      </c>
      <c r="K110" s="12" t="str">
        <f ca="1">IFERROR(__xludf.DUMMYFUNCTION("""COMPUTED_VALUE"""),"Utility")</f>
        <v>Utility</v>
      </c>
      <c r="L110" s="12" t="str">
        <f ca="1">IFERROR(__xludf.DUMMYFUNCTION("""COMPUTED_VALUE"""),"BOM:539957")</f>
        <v>BOM:539957</v>
      </c>
      <c r="M110" s="12" t="str">
        <f ca="1">IFERROR(__xludf.DUMMYFUNCTION("""COMPUTED_VALUE"""),"No")</f>
        <v>No</v>
      </c>
      <c r="N110" s="12" t="str">
        <f ca="1">IFERROR(__xludf.DUMMYFUNCTION("""COMPUTED_VALUE"""),"No")</f>
        <v>No</v>
      </c>
      <c r="O110" s="12" t="str">
        <f ca="1">IFERROR(__xludf.DUMMYFUNCTION("""COMPUTED_VALUE"""),"Good Stock")</f>
        <v>Good Stock</v>
      </c>
      <c r="P110" s="12" t="str">
        <f ca="1">IFERROR(__xludf.DUMMYFUNCTION("""COMPUTED_VALUE"""),"Low Cap")</f>
        <v>Low Cap</v>
      </c>
    </row>
    <row r="111" spans="1:16">
      <c r="A111" s="12" t="str">
        <f ca="1">IFERROR(__xludf.DUMMYFUNCTION("""COMPUTED_VALUE"""),"Galaxy Surfactant")</f>
        <v>Galaxy Surfactant</v>
      </c>
      <c r="B111" s="13">
        <f ca="1">IFERROR(__xludf.DUMMYFUNCTION("""COMPUTED_VALUE"""),8341.1378051)</f>
        <v>8341.1378050999992</v>
      </c>
      <c r="C111" s="12">
        <f ca="1">IFERROR(__xludf.DUMMYFUNCTION("""COMPUTED_VALUE"""),2358)</f>
        <v>2358</v>
      </c>
      <c r="D111" s="12">
        <f ca="1">IFERROR(__xludf.DUMMYFUNCTION("""COMPUTED_VALUE"""),25.47)</f>
        <v>25.47</v>
      </c>
      <c r="E111" s="12">
        <f ca="1">IFERROR(__xludf.DUMMYFUNCTION("""COMPUTED_VALUE"""),3447.55)</f>
        <v>3447.55</v>
      </c>
      <c r="F111" s="14">
        <f ca="1">IFERROR(__xludf.DUMMYFUNCTION("""COMPUTED_VALUE"""),0.316036025583385)</f>
        <v>0.31603602558338501</v>
      </c>
      <c r="G111" s="12">
        <f ca="1">IFERROR(__xludf.DUMMYFUNCTION("""COMPUTED_VALUE"""),2310.1)</f>
        <v>2310.1</v>
      </c>
      <c r="H111" s="14">
        <f ca="1">IFERROR(__xludf.DUMMYFUNCTION("""COMPUTED_VALUE"""),0.0207350331154495)</f>
        <v>2.0735033115449501E-2</v>
      </c>
      <c r="I111" s="12">
        <f ca="1">IFERROR(__xludf.DUMMYFUNCTION("""COMPUTED_VALUE"""),2340.5)</f>
        <v>2340.5</v>
      </c>
      <c r="J111" s="14">
        <f ca="1">IFERROR(__xludf.DUMMYFUNCTION("""COMPUTED_VALUE"""),0.00747703482161931)</f>
        <v>7.4770348216193104E-3</v>
      </c>
      <c r="K111" s="12" t="str">
        <f ca="1">IFERROR(__xludf.DUMMYFUNCTION("""COMPUTED_VALUE"""),"Chemical")</f>
        <v>Chemical</v>
      </c>
      <c r="L111" s="12" t="str">
        <f ca="1">IFERROR(__xludf.DUMMYFUNCTION("""COMPUTED_VALUE"""),"GALAXYSURF")</f>
        <v>GALAXYSURF</v>
      </c>
      <c r="M111" s="12" t="str">
        <f ca="1">IFERROR(__xludf.DUMMYFUNCTION("""COMPUTED_VALUE"""),"No")</f>
        <v>No</v>
      </c>
      <c r="N111" s="12" t="str">
        <f ca="1">IFERROR(__xludf.DUMMYFUNCTION("""COMPUTED_VALUE"""),"No")</f>
        <v>No</v>
      </c>
      <c r="O111" s="12" t="str">
        <f ca="1">IFERROR(__xludf.DUMMYFUNCTION("""COMPUTED_VALUE"""),"Good Stock")</f>
        <v>Good Stock</v>
      </c>
      <c r="P111" s="12" t="str">
        <f ca="1">IFERROR(__xludf.DUMMYFUNCTION("""COMPUTED_VALUE"""),"Low Cap")</f>
        <v>Low Cap</v>
      </c>
    </row>
    <row r="112" spans="1:16">
      <c r="A112" s="12" t="str">
        <f ca="1">IFERROR(__xludf.DUMMYFUNCTION("""COMPUTED_VALUE"""),"Balaji Amine")</f>
        <v>Balaji Amine</v>
      </c>
      <c r="B112" s="13">
        <f ca="1">IFERROR(__xludf.DUMMYFUNCTION("""COMPUTED_VALUE"""),8293.1763762)</f>
        <v>8293.1763761999991</v>
      </c>
      <c r="C112" s="12">
        <f ca="1">IFERROR(__xludf.DUMMYFUNCTION("""COMPUTED_VALUE"""),2562.7)</f>
        <v>2562.6999999999998</v>
      </c>
      <c r="D112" s="12">
        <f ca="1">IFERROR(__xludf.DUMMYFUNCTION("""COMPUTED_VALUE"""),20.06)</f>
        <v>20.059999999999999</v>
      </c>
      <c r="E112" s="12">
        <f ca="1">IFERROR(__xludf.DUMMYFUNCTION("""COMPUTED_VALUE"""),3841.85)</f>
        <v>3841.85</v>
      </c>
      <c r="F112" s="14">
        <f ca="1">IFERROR(__xludf.DUMMYFUNCTION("""COMPUTED_VALUE"""),0.332951572809974)</f>
        <v>0.33295157280997401</v>
      </c>
      <c r="G112" s="12">
        <f ca="1">IFERROR(__xludf.DUMMYFUNCTION("""COMPUTED_VALUE"""),2530)</f>
        <v>2530</v>
      </c>
      <c r="H112" s="14">
        <f ca="1">IFERROR(__xludf.DUMMYFUNCTION("""COMPUTED_VALUE"""),0.0129249011857706)</f>
        <v>1.2924901185770599E-2</v>
      </c>
      <c r="I112" s="12">
        <f ca="1">IFERROR(__xludf.DUMMYFUNCTION("""COMPUTED_VALUE"""),2557.4)</f>
        <v>2557.4</v>
      </c>
      <c r="J112" s="14">
        <f ca="1">IFERROR(__xludf.DUMMYFUNCTION("""COMPUTED_VALUE"""),0.002072417298819)</f>
        <v>2.0724172988189999E-3</v>
      </c>
      <c r="K112" s="12" t="str">
        <f ca="1">IFERROR(__xludf.DUMMYFUNCTION("""COMPUTED_VALUE"""),"Chemical")</f>
        <v>Chemical</v>
      </c>
      <c r="L112" s="12" t="str">
        <f ca="1">IFERROR(__xludf.DUMMYFUNCTION("""COMPUTED_VALUE"""),"BOM:530999")</f>
        <v>BOM:530999</v>
      </c>
      <c r="M112" s="12" t="str">
        <f ca="1">IFERROR(__xludf.DUMMYFUNCTION("""COMPUTED_VALUE"""),"No")</f>
        <v>No</v>
      </c>
      <c r="N112" s="12" t="str">
        <f ca="1">IFERROR(__xludf.DUMMYFUNCTION("""COMPUTED_VALUE"""),"No")</f>
        <v>No</v>
      </c>
      <c r="O112" s="12" t="str">
        <f ca="1">IFERROR(__xludf.DUMMYFUNCTION("""COMPUTED_VALUE"""),"Good Stock")</f>
        <v>Good Stock</v>
      </c>
      <c r="P112" s="12" t="str">
        <f ca="1">IFERROR(__xludf.DUMMYFUNCTION("""COMPUTED_VALUE"""),"Low Cap")</f>
        <v>Low Cap</v>
      </c>
    </row>
    <row r="113" spans="1:16">
      <c r="A113" s="12" t="str">
        <f ca="1">IFERROR(__xludf.DUMMYFUNCTION("""COMPUTED_VALUE"""),"Sonata Software")</f>
        <v>Sonata Software</v>
      </c>
      <c r="B113" s="13">
        <f ca="1">IFERROR(__xludf.DUMMYFUNCTION("""COMPUTED_VALUE"""),8104.163)</f>
        <v>8104.1629999999996</v>
      </c>
      <c r="C113" s="12">
        <f ca="1">IFERROR(__xludf.DUMMYFUNCTION("""COMPUTED_VALUE"""),582)</f>
        <v>582</v>
      </c>
      <c r="D113" s="12">
        <f ca="1">IFERROR(__xludf.DUMMYFUNCTION("""COMPUTED_VALUE"""),19.25)</f>
        <v>19.25</v>
      </c>
      <c r="E113" s="12">
        <f ca="1">IFERROR(__xludf.DUMMYFUNCTION("""COMPUTED_VALUE"""),694.5)</f>
        <v>694.5</v>
      </c>
      <c r="F113" s="14">
        <f ca="1">IFERROR(__xludf.DUMMYFUNCTION("""COMPUTED_VALUE"""),0.161987041036717)</f>
        <v>0.16198704103671699</v>
      </c>
      <c r="G113" s="12">
        <f ca="1">IFERROR(__xludf.DUMMYFUNCTION("""COMPUTED_VALUE"""),457.58)</f>
        <v>457.58</v>
      </c>
      <c r="H113" s="14">
        <f ca="1">IFERROR(__xludf.DUMMYFUNCTION("""COMPUTED_VALUE"""),0.271908737269985)</f>
        <v>0.27190873726998499</v>
      </c>
      <c r="I113" s="12">
        <f ca="1">IFERROR(__xludf.DUMMYFUNCTION("""COMPUTED_VALUE"""),574.4)</f>
        <v>574.4</v>
      </c>
      <c r="J113" s="14">
        <f ca="1">IFERROR(__xludf.DUMMYFUNCTION("""COMPUTED_VALUE"""),0.0132311977715877)</f>
        <v>1.32311977715877E-2</v>
      </c>
      <c r="K113" s="12" t="str">
        <f ca="1">IFERROR(__xludf.DUMMYFUNCTION("""COMPUTED_VALUE"""),"IT-Software")</f>
        <v>IT-Software</v>
      </c>
      <c r="L113" s="12" t="str">
        <f ca="1">IFERROR(__xludf.DUMMYFUNCTION("""COMPUTED_VALUE"""),"SONATSOFTW")</f>
        <v>SONATSOFTW</v>
      </c>
      <c r="M113" s="12" t="str">
        <f ca="1">IFERROR(__xludf.DUMMYFUNCTION("""COMPUTED_VALUE"""),"No")</f>
        <v>No</v>
      </c>
      <c r="N113" s="12" t="str">
        <f ca="1">IFERROR(__xludf.DUMMYFUNCTION("""COMPUTED_VALUE"""),"No")</f>
        <v>No</v>
      </c>
      <c r="O113" s="12" t="str">
        <f ca="1">IFERROR(__xludf.DUMMYFUNCTION("""COMPUTED_VALUE"""),"Good Stock")</f>
        <v>Good Stock</v>
      </c>
      <c r="P113" s="12" t="str">
        <f ca="1">IFERROR(__xludf.DUMMYFUNCTION("""COMPUTED_VALUE"""),"Low Cap")</f>
        <v>Low Cap</v>
      </c>
    </row>
    <row r="114" spans="1:16">
      <c r="A114" s="12" t="str">
        <f ca="1">IFERROR(__xludf.DUMMYFUNCTION("""COMPUTED_VALUE"""),"Granules India")</f>
        <v>Granules India</v>
      </c>
      <c r="B114" s="13">
        <f ca="1">IFERROR(__xludf.DUMMYFUNCTION("""COMPUTED_VALUE"""),7705.431)</f>
        <v>7705.4309999999996</v>
      </c>
      <c r="C114" s="12">
        <f ca="1">IFERROR(__xludf.DUMMYFUNCTION("""COMPUTED_VALUE"""),318.6)</f>
        <v>318.60000000000002</v>
      </c>
      <c r="D114" s="12">
        <f ca="1">IFERROR(__xludf.DUMMYFUNCTION("""COMPUTED_VALUE"""),16.36)</f>
        <v>16.36</v>
      </c>
      <c r="E114" s="12">
        <f ca="1">IFERROR(__xludf.DUMMYFUNCTION("""COMPUTED_VALUE"""),381.25)</f>
        <v>381.25</v>
      </c>
      <c r="F114" s="14">
        <f ca="1">IFERROR(__xludf.DUMMYFUNCTION("""COMPUTED_VALUE"""),0.164327868852458)</f>
        <v>0.16432786885245801</v>
      </c>
      <c r="G114" s="12">
        <f ca="1">IFERROR(__xludf.DUMMYFUNCTION("""COMPUTED_VALUE"""),227)</f>
        <v>227</v>
      </c>
      <c r="H114" s="14">
        <f ca="1">IFERROR(__xludf.DUMMYFUNCTION("""COMPUTED_VALUE"""),0.40352422907489)</f>
        <v>0.40352422907489</v>
      </c>
      <c r="I114" s="12">
        <f ca="1">IFERROR(__xludf.DUMMYFUNCTION("""COMPUTED_VALUE"""),318.15)</f>
        <v>318.14999999999998</v>
      </c>
      <c r="J114" s="14">
        <f ca="1">IFERROR(__xludf.DUMMYFUNCTION("""COMPUTED_VALUE"""),0.00141442715700155)</f>
        <v>1.41442715700155E-3</v>
      </c>
      <c r="K114" s="12" t="str">
        <f ca="1">IFERROR(__xludf.DUMMYFUNCTION("""COMPUTED_VALUE"""),"Pharma")</f>
        <v>Pharma</v>
      </c>
      <c r="L114" s="12" t="str">
        <f ca="1">IFERROR(__xludf.DUMMYFUNCTION("""COMPUTED_VALUE"""),"BOM:532482")</f>
        <v>BOM:532482</v>
      </c>
      <c r="M114" s="12" t="str">
        <f ca="1">IFERROR(__xludf.DUMMYFUNCTION("""COMPUTED_VALUE"""),"No")</f>
        <v>No</v>
      </c>
      <c r="N114" s="12" t="str">
        <f ca="1">IFERROR(__xludf.DUMMYFUNCTION("""COMPUTED_VALUE"""),"No")</f>
        <v>No</v>
      </c>
      <c r="O114" s="12" t="str">
        <f ca="1">IFERROR(__xludf.DUMMYFUNCTION("""COMPUTED_VALUE"""),"Good Stock")</f>
        <v>Good Stock</v>
      </c>
      <c r="P114" s="12" t="str">
        <f ca="1">IFERROR(__xludf.DUMMYFUNCTION("""COMPUTED_VALUE"""),"Low Cap")</f>
        <v>Low Cap</v>
      </c>
    </row>
    <row r="115" spans="1:16">
      <c r="A115" s="12" t="str">
        <f ca="1">IFERROR(__xludf.DUMMYFUNCTION("""COMPUTED_VALUE"""),"Laxmi Orgamic")</f>
        <v>Laxmi Orgamic</v>
      </c>
      <c r="B115" s="13">
        <f ca="1">IFERROR(__xludf.DUMMYFUNCTION("""COMPUTED_VALUE"""),7672.4308321)</f>
        <v>7672.4308320999999</v>
      </c>
      <c r="C115" s="12">
        <f ca="1">IFERROR(__xludf.DUMMYFUNCTION("""COMPUTED_VALUE"""),289.4)</f>
        <v>289.39999999999998</v>
      </c>
      <c r="D115" s="12">
        <f ca="1">IFERROR(__xludf.DUMMYFUNCTION("""COMPUTED_VALUE"""),36.41)</f>
        <v>36.409999999999997</v>
      </c>
      <c r="E115" s="12">
        <f ca="1">IFERROR(__xludf.DUMMYFUNCTION("""COMPUTED_VALUE"""),501.6)</f>
        <v>501.6</v>
      </c>
      <c r="F115" s="14">
        <f ca="1">IFERROR(__xludf.DUMMYFUNCTION("""COMPUTED_VALUE"""),0.42304625199362)</f>
        <v>0.42304625199362</v>
      </c>
      <c r="G115" s="12">
        <f ca="1">IFERROR(__xludf.DUMMYFUNCTION("""COMPUTED_VALUE"""),274.35)</f>
        <v>274.35000000000002</v>
      </c>
      <c r="H115" s="14">
        <f ca="1">IFERROR(__xludf.DUMMYFUNCTION("""COMPUTED_VALUE"""),0.054856934572626)</f>
        <v>5.4856934572625998E-2</v>
      </c>
      <c r="I115" s="12">
        <f ca="1">IFERROR(__xludf.DUMMYFUNCTION("""COMPUTED_VALUE"""),289.25)</f>
        <v>289.25</v>
      </c>
      <c r="J115" s="14">
        <f ca="1">IFERROR(__xludf.DUMMYFUNCTION("""COMPUTED_VALUE"""),0.000518582541054372)</f>
        <v>5.1858254105437195E-4</v>
      </c>
      <c r="K115" s="12" t="str">
        <f ca="1">IFERROR(__xludf.DUMMYFUNCTION("""COMPUTED_VALUE"""),"Chemical")</f>
        <v>Chemical</v>
      </c>
      <c r="L115" s="12" t="str">
        <f ca="1">IFERROR(__xludf.DUMMYFUNCTION("""COMPUTED_VALUE"""),"BOM:543277")</f>
        <v>BOM:543277</v>
      </c>
      <c r="M115" s="12" t="str">
        <f ca="1">IFERROR(__xludf.DUMMYFUNCTION("""COMPUTED_VALUE"""),"No")</f>
        <v>No</v>
      </c>
      <c r="N115" s="12" t="str">
        <f ca="1">IFERROR(__xludf.DUMMYFUNCTION("""COMPUTED_VALUE"""),"No")</f>
        <v>No</v>
      </c>
      <c r="O115" s="12" t="str">
        <f ca="1">IFERROR(__xludf.DUMMYFUNCTION("""COMPUTED_VALUE"""),"Good Stock")</f>
        <v>Good Stock</v>
      </c>
      <c r="P115" s="12" t="str">
        <f ca="1">IFERROR(__xludf.DUMMYFUNCTION("""COMPUTED_VALUE"""),"Low Cap")</f>
        <v>Low Cap</v>
      </c>
    </row>
    <row r="116" spans="1:16">
      <c r="A116" s="12" t="str">
        <f ca="1">IFERROR(__xludf.DUMMYFUNCTION("""COMPUTED_VALUE"""),"Infosys")</f>
        <v>Infosys</v>
      </c>
      <c r="B116" s="13">
        <f ca="1">IFERROR(__xludf.DUMMYFUNCTION("""COMPUTED_VALUE"""),7658.1331612)</f>
        <v>7658.1331612000004</v>
      </c>
      <c r="C116" s="12">
        <f ca="1">IFERROR(__xludf.DUMMYFUNCTION("""COMPUTED_VALUE"""),1503.5)</f>
        <v>1503.5</v>
      </c>
      <c r="D116" s="12">
        <f ca="1">IFERROR(__xludf.DUMMYFUNCTION("""COMPUTED_VALUE"""),27.61)</f>
        <v>27.61</v>
      </c>
      <c r="E116" s="12">
        <f ca="1">IFERROR(__xludf.DUMMYFUNCTION("""COMPUTED_VALUE"""),1953.7)</f>
        <v>1953.7</v>
      </c>
      <c r="F116" s="14">
        <f ca="1">IFERROR(__xludf.DUMMYFUNCTION("""COMPUTED_VALUE"""),0.230434560065516)</f>
        <v>0.23043456006551599</v>
      </c>
      <c r="G116" s="12">
        <f ca="1">IFERROR(__xludf.DUMMYFUNCTION("""COMPUTED_VALUE"""),1355.5)</f>
        <v>1355.5</v>
      </c>
      <c r="H116" s="14">
        <f ca="1">IFERROR(__xludf.DUMMYFUNCTION("""COMPUTED_VALUE"""),0.109184802655846)</f>
        <v>0.109184802655846</v>
      </c>
      <c r="I116" s="12">
        <f ca="1">IFERROR(__xludf.DUMMYFUNCTION("""COMPUTED_VALUE"""),1480.55)</f>
        <v>1480.55</v>
      </c>
      <c r="J116" s="14">
        <f ca="1">IFERROR(__xludf.DUMMYFUNCTION("""COMPUTED_VALUE"""),0.015500996251393)</f>
        <v>1.5500996251393E-2</v>
      </c>
      <c r="K116" s="12" t="str">
        <f ca="1">IFERROR(__xludf.DUMMYFUNCTION("""COMPUTED_VALUE"""),"IT")</f>
        <v>IT</v>
      </c>
      <c r="L116" s="12" t="str">
        <f ca="1">IFERROR(__xludf.DUMMYFUNCTION("""COMPUTED_VALUE"""),"BOM:500209")</f>
        <v>BOM:500209</v>
      </c>
      <c r="M116" s="12" t="str">
        <f ca="1">IFERROR(__xludf.DUMMYFUNCTION("""COMPUTED_VALUE"""),"No")</f>
        <v>No</v>
      </c>
      <c r="N116" s="12" t="str">
        <f ca="1">IFERROR(__xludf.DUMMYFUNCTION("""COMPUTED_VALUE"""),"No")</f>
        <v>No</v>
      </c>
      <c r="O116" s="12" t="str">
        <f ca="1">IFERROR(__xludf.DUMMYFUNCTION("""COMPUTED_VALUE"""),"Good Stock")</f>
        <v>Good Stock</v>
      </c>
      <c r="P116" s="12" t="str">
        <f ca="1">IFERROR(__xludf.DUMMYFUNCTION("""COMPUTED_VALUE"""),"Low Cap")</f>
        <v>Low Cap</v>
      </c>
    </row>
    <row r="117" spans="1:16">
      <c r="A117" s="12" t="str">
        <f ca="1">IFERROR(__xludf.DUMMYFUNCTION("""COMPUTED_VALUE"""),"Latent View")</f>
        <v>Latent View</v>
      </c>
      <c r="B117" s="13">
        <f ca="1">IFERROR(__xludf.DUMMYFUNCTION("""COMPUTED_VALUE"""),7452.986336)</f>
        <v>7452.9863359999999</v>
      </c>
      <c r="C117" s="12">
        <f ca="1">IFERROR(__xludf.DUMMYFUNCTION("""COMPUTED_VALUE"""),367.25)</f>
        <v>367.25</v>
      </c>
      <c r="D117" s="12">
        <f ca="1">IFERROR(__xludf.DUMMYFUNCTION("""COMPUTED_VALUE"""),49.25)</f>
        <v>49.25</v>
      </c>
      <c r="E117" s="12">
        <f ca="1">IFERROR(__xludf.DUMMYFUNCTION("""COMPUTED_VALUE"""),617.4)</f>
        <v>617.4</v>
      </c>
      <c r="F117" s="14">
        <f ca="1">IFERROR(__xludf.DUMMYFUNCTION("""COMPUTED_VALUE"""),0.405166828636216)</f>
        <v>0.405166828636216</v>
      </c>
      <c r="G117" s="12">
        <f ca="1">IFERROR(__xludf.DUMMYFUNCTION("""COMPUTED_VALUE"""),305.25)</f>
        <v>305.25</v>
      </c>
      <c r="H117" s="14">
        <f ca="1">IFERROR(__xludf.DUMMYFUNCTION("""COMPUTED_VALUE"""),0.203112203112203)</f>
        <v>0.20311220311220299</v>
      </c>
      <c r="I117" s="12">
        <f ca="1">IFERROR(__xludf.DUMMYFUNCTION("""COMPUTED_VALUE"""),368.4)</f>
        <v>368.4</v>
      </c>
      <c r="J117" s="14">
        <f ca="1">IFERROR(__xludf.DUMMYFUNCTION("""COMPUTED_VALUE"""),-0.00312160694896845)</f>
        <v>-3.1216069489684501E-3</v>
      </c>
      <c r="K117" s="12" t="str">
        <f ca="1">IFERROR(__xludf.DUMMYFUNCTION("""COMPUTED_VALUE"""),"IT")</f>
        <v>IT</v>
      </c>
      <c r="L117" s="12" t="str">
        <f ca="1">IFERROR(__xludf.DUMMYFUNCTION("""COMPUTED_VALUE"""),"BOM:543398")</f>
        <v>BOM:543398</v>
      </c>
      <c r="M117" s="12" t="str">
        <f ca="1">IFERROR(__xludf.DUMMYFUNCTION("""COMPUTED_VALUE"""),"No")</f>
        <v>No</v>
      </c>
      <c r="N117" s="12" t="str">
        <f ca="1">IFERROR(__xludf.DUMMYFUNCTION("""COMPUTED_VALUE"""),"No")</f>
        <v>No</v>
      </c>
      <c r="O117" s="12" t="str">
        <f ca="1">IFERROR(__xludf.DUMMYFUNCTION("""COMPUTED_VALUE"""),"Good Stock")</f>
        <v>Good Stock</v>
      </c>
      <c r="P117" s="12" t="str">
        <f ca="1">IFERROR(__xludf.DUMMYFUNCTION("""COMPUTED_VALUE"""),"Low Cap")</f>
        <v>Low Cap</v>
      </c>
    </row>
    <row r="118" spans="1:16">
      <c r="A118" s="12" t="str">
        <f ca="1">IFERROR(__xludf.DUMMYFUNCTION("""COMPUTED_VALUE"""),"ICICI Bank")</f>
        <v>ICICI Bank</v>
      </c>
      <c r="B118" s="13">
        <f ca="1">IFERROR(__xludf.DUMMYFUNCTION("""COMPUTED_VALUE"""),7451.4657292)</f>
        <v>7451.4657292000002</v>
      </c>
      <c r="C118" s="12">
        <f ca="1">IFERROR(__xludf.DUMMYFUNCTION("""COMPUTED_VALUE"""),873.25)</f>
        <v>873.25</v>
      </c>
      <c r="D118" s="12">
        <f ca="1">IFERROR(__xludf.DUMMYFUNCTION("""COMPUTED_VALUE"""),20.88)</f>
        <v>20.88</v>
      </c>
      <c r="E118" s="12">
        <f ca="1">IFERROR(__xludf.DUMMYFUNCTION("""COMPUTED_VALUE"""),958)</f>
        <v>958</v>
      </c>
      <c r="F118" s="14">
        <f ca="1">IFERROR(__xludf.DUMMYFUNCTION("""COMPUTED_VALUE"""),0.0884655532359081)</f>
        <v>8.8465553235908101E-2</v>
      </c>
      <c r="G118" s="12">
        <f ca="1">IFERROR(__xludf.DUMMYFUNCTION("""COMPUTED_VALUE"""),642)</f>
        <v>642</v>
      </c>
      <c r="H118" s="14">
        <f ca="1">IFERROR(__xludf.DUMMYFUNCTION("""COMPUTED_VALUE"""),0.360202492211838)</f>
        <v>0.36020249221183798</v>
      </c>
      <c r="I118" s="12">
        <f ca="1">IFERROR(__xludf.DUMMYFUNCTION("""COMPUTED_VALUE"""),861.2)</f>
        <v>861.2</v>
      </c>
      <c r="J118" s="14">
        <f ca="1">IFERROR(__xludf.DUMMYFUNCTION("""COMPUTED_VALUE"""),0.0139921040408731)</f>
        <v>1.39921040408731E-2</v>
      </c>
      <c r="K118" s="12" t="str">
        <f ca="1">IFERROR(__xludf.DUMMYFUNCTION("""COMPUTED_VALUE"""),"Bank")</f>
        <v>Bank</v>
      </c>
      <c r="L118" s="12" t="str">
        <f ca="1">IFERROR(__xludf.DUMMYFUNCTION("""COMPUTED_VALUE"""),"BOM:532174")</f>
        <v>BOM:532174</v>
      </c>
      <c r="M118" s="12" t="str">
        <f ca="1">IFERROR(__xludf.DUMMYFUNCTION("""COMPUTED_VALUE"""),"No")</f>
        <v>No</v>
      </c>
      <c r="N118" s="12" t="str">
        <f ca="1">IFERROR(__xludf.DUMMYFUNCTION("""COMPUTED_VALUE"""),"No")</f>
        <v>No</v>
      </c>
      <c r="O118" s="12" t="str">
        <f ca="1">IFERROR(__xludf.DUMMYFUNCTION("""COMPUTED_VALUE"""),"Good Stock")</f>
        <v>Good Stock</v>
      </c>
      <c r="P118" s="12" t="str">
        <f ca="1">IFERROR(__xludf.DUMMYFUNCTION("""COMPUTED_VALUE"""),"Low Cap")</f>
        <v>Low Cap</v>
      </c>
    </row>
    <row r="119" spans="1:16">
      <c r="A119" s="12" t="str">
        <f ca="1">IFERROR(__xludf.DUMMYFUNCTION("""COMPUTED_VALUE"""),"Route Mobile")</f>
        <v>Route Mobile</v>
      </c>
      <c r="B119" s="13">
        <f ca="1">IFERROR(__xludf.DUMMYFUNCTION("""COMPUTED_VALUE"""),7415.8287656)</f>
        <v>7415.8287656000002</v>
      </c>
      <c r="C119" s="12">
        <f ca="1">IFERROR(__xludf.DUMMYFUNCTION("""COMPUTED_VALUE"""),1190.8)</f>
        <v>1190.8</v>
      </c>
      <c r="D119" s="12">
        <f ca="1">IFERROR(__xludf.DUMMYFUNCTION("""COMPUTED_VALUE"""),32.12)</f>
        <v>32.119999999999997</v>
      </c>
      <c r="E119" s="12">
        <f ca="1">IFERROR(__xludf.DUMMYFUNCTION("""COMPUTED_VALUE"""),1919)</f>
        <v>1919</v>
      </c>
      <c r="F119" s="14">
        <f ca="1">IFERROR(__xludf.DUMMYFUNCTION("""COMPUTED_VALUE"""),0.379468473163105)</f>
        <v>0.379468473163105</v>
      </c>
      <c r="G119" s="12">
        <f ca="1">IFERROR(__xludf.DUMMYFUNCTION("""COMPUTED_VALUE"""),1052.6)</f>
        <v>1052.5999999999999</v>
      </c>
      <c r="H119" s="14">
        <f ca="1">IFERROR(__xludf.DUMMYFUNCTION("""COMPUTED_VALUE"""),0.131293938818164)</f>
        <v>0.13129393881816401</v>
      </c>
      <c r="I119" s="12">
        <f ca="1">IFERROR(__xludf.DUMMYFUNCTION("""COMPUTED_VALUE"""),1197.6)</f>
        <v>1197.5999999999999</v>
      </c>
      <c r="J119" s="14">
        <f ca="1">IFERROR(__xludf.DUMMYFUNCTION("""COMPUTED_VALUE"""),-0.00567802271209081)</f>
        <v>-5.6780227120908104E-3</v>
      </c>
      <c r="K119" s="12" t="str">
        <f ca="1">IFERROR(__xludf.DUMMYFUNCTION("""COMPUTED_VALUE"""),"Technology")</f>
        <v>Technology</v>
      </c>
      <c r="L119" s="12" t="str">
        <f ca="1">IFERROR(__xludf.DUMMYFUNCTION("""COMPUTED_VALUE"""),"BOM:543228")</f>
        <v>BOM:543228</v>
      </c>
      <c r="M119" s="12" t="str">
        <f ca="1">IFERROR(__xludf.DUMMYFUNCTION("""COMPUTED_VALUE"""),"No")</f>
        <v>No</v>
      </c>
      <c r="N119" s="12" t="str">
        <f ca="1">IFERROR(__xludf.DUMMYFUNCTION("""COMPUTED_VALUE"""),"No")</f>
        <v>No</v>
      </c>
      <c r="O119" s="12" t="str">
        <f ca="1">IFERROR(__xludf.DUMMYFUNCTION("""COMPUTED_VALUE"""),"Good Stock")</f>
        <v>Good Stock</v>
      </c>
      <c r="P119" s="12" t="str">
        <f ca="1">IFERROR(__xludf.DUMMYFUNCTION("""COMPUTED_VALUE"""),"Low Cap")</f>
        <v>Low Cap</v>
      </c>
    </row>
    <row r="120" spans="1:16">
      <c r="A120" s="12" t="str">
        <f ca="1">IFERROR(__xludf.DUMMYFUNCTION("""COMPUTED_VALUE"""),"craftsman automation")</f>
        <v>craftsman automation</v>
      </c>
      <c r="B120" s="13">
        <f ca="1">IFERROR(__xludf.DUMMYFUNCTION("""COMPUTED_VALUE"""),7324.341471)</f>
        <v>7324.3414709999997</v>
      </c>
      <c r="C120" s="12">
        <f ca="1">IFERROR(__xludf.DUMMYFUNCTION("""COMPUTED_VALUE"""),3465.1)</f>
        <v>3465.1</v>
      </c>
      <c r="D120" s="12">
        <f ca="1">IFERROR(__xludf.DUMMYFUNCTION("""COMPUTED_VALUE"""),35.75)</f>
        <v>35.75</v>
      </c>
      <c r="E120" s="12">
        <f ca="1">IFERROR(__xludf.DUMMYFUNCTION("""COMPUTED_VALUE"""),3709.95)</f>
        <v>3709.95</v>
      </c>
      <c r="F120" s="14">
        <f ca="1">IFERROR(__xludf.DUMMYFUNCTION("""COMPUTED_VALUE"""),0.0659981940457418)</f>
        <v>6.5998194045741795E-2</v>
      </c>
      <c r="G120" s="12">
        <f ca="1">IFERROR(__xludf.DUMMYFUNCTION("""COMPUTED_VALUE"""),1845)</f>
        <v>1845</v>
      </c>
      <c r="H120" s="14">
        <f ca="1">IFERROR(__xludf.DUMMYFUNCTION("""COMPUTED_VALUE"""),0.87810298102981)</f>
        <v>0.87810298102980999</v>
      </c>
      <c r="I120" s="12">
        <f ca="1">IFERROR(__xludf.DUMMYFUNCTION("""COMPUTED_VALUE"""),3461.8)</f>
        <v>3461.8</v>
      </c>
      <c r="J120" s="14">
        <f ca="1">IFERROR(__xludf.DUMMYFUNCTION("""COMPUTED_VALUE"""),0.000953261309145452)</f>
        <v>9.5326130914545203E-4</v>
      </c>
      <c r="K120" s="12" t="str">
        <f ca="1">IFERROR(__xludf.DUMMYFUNCTION("""COMPUTED_VALUE"""),"automobile")</f>
        <v>automobile</v>
      </c>
      <c r="L120" s="12" t="str">
        <f ca="1">IFERROR(__xludf.DUMMYFUNCTION("""COMPUTED_VALUE"""),"BOM:543276")</f>
        <v>BOM:543276</v>
      </c>
      <c r="M120" s="12" t="str">
        <f ca="1">IFERROR(__xludf.DUMMYFUNCTION("""COMPUTED_VALUE"""),"No")</f>
        <v>No</v>
      </c>
      <c r="N120" s="12" t="str">
        <f ca="1">IFERROR(__xludf.DUMMYFUNCTION("""COMPUTED_VALUE"""),"No")</f>
        <v>No</v>
      </c>
      <c r="O120" s="12" t="str">
        <f ca="1">IFERROR(__xludf.DUMMYFUNCTION("""COMPUTED_VALUE"""),"Good Stock")</f>
        <v>Good Stock</v>
      </c>
      <c r="P120" s="12" t="str">
        <f ca="1">IFERROR(__xludf.DUMMYFUNCTION("""COMPUTED_VALUE"""),"Low Cap")</f>
        <v>Low Cap</v>
      </c>
    </row>
    <row r="121" spans="1:16">
      <c r="A121" s="12" t="str">
        <f ca="1">IFERROR(__xludf.DUMMYFUNCTION("""COMPUTED_VALUE"""),"Metropolis Healthcare")</f>
        <v>Metropolis Healthcare</v>
      </c>
      <c r="B121" s="13">
        <f ca="1">IFERROR(__xludf.DUMMYFUNCTION("""COMPUTED_VALUE"""),7063.23)</f>
        <v>7063.23</v>
      </c>
      <c r="C121" s="12">
        <f ca="1">IFERROR(__xludf.DUMMYFUNCTION("""COMPUTED_VALUE"""),1380.05)</f>
        <v>1380.05</v>
      </c>
      <c r="D121" s="12">
        <f ca="1">IFERROR(__xludf.DUMMYFUNCTION("""COMPUTED_VALUE"""),45.85)</f>
        <v>45.85</v>
      </c>
      <c r="E121" s="12">
        <f ca="1">IFERROR(__xludf.DUMMYFUNCTION("""COMPUTED_VALUE"""),3142)</f>
        <v>3142</v>
      </c>
      <c r="F121" s="14">
        <f ca="1">IFERROR(__xludf.DUMMYFUNCTION("""COMPUTED_VALUE"""),0.560773392743475)</f>
        <v>0.56077339274347504</v>
      </c>
      <c r="G121" s="12">
        <f ca="1">IFERROR(__xludf.DUMMYFUNCTION("""COMPUTED_VALUE"""),1267.05)</f>
        <v>1267.05</v>
      </c>
      <c r="H121" s="14">
        <f ca="1">IFERROR(__xludf.DUMMYFUNCTION("""COMPUTED_VALUE"""),0.0891835365613038)</f>
        <v>8.9183536561303803E-2</v>
      </c>
      <c r="I121" s="12">
        <f ca="1">IFERROR(__xludf.DUMMYFUNCTION("""COMPUTED_VALUE"""),1382.35)</f>
        <v>1382.35</v>
      </c>
      <c r="J121" s="14">
        <f ca="1">IFERROR(__xludf.DUMMYFUNCTION("""COMPUTED_VALUE"""),-0.00166383332730491)</f>
        <v>-1.6638333273049099E-3</v>
      </c>
      <c r="K121" s="12" t="str">
        <f ca="1">IFERROR(__xludf.DUMMYFUNCTION("""COMPUTED_VALUE"""),"Healthcare")</f>
        <v>Healthcare</v>
      </c>
      <c r="L121" s="12" t="str">
        <f ca="1">IFERROR(__xludf.DUMMYFUNCTION("""COMPUTED_VALUE"""),"METROPOLIS")</f>
        <v>METROPOLIS</v>
      </c>
      <c r="M121" s="12" t="str">
        <f ca="1">IFERROR(__xludf.DUMMYFUNCTION("""COMPUTED_VALUE"""),"No")</f>
        <v>No</v>
      </c>
      <c r="N121" s="12" t="str">
        <f ca="1">IFERROR(__xludf.DUMMYFUNCTION("""COMPUTED_VALUE"""),"No")</f>
        <v>No</v>
      </c>
      <c r="O121" s="12" t="str">
        <f ca="1">IFERROR(__xludf.DUMMYFUNCTION("""COMPUTED_VALUE"""),"Good Stock")</f>
        <v>Good Stock</v>
      </c>
      <c r="P121" s="12" t="str">
        <f ca="1">IFERROR(__xludf.DUMMYFUNCTION("""COMPUTED_VALUE"""),"Low Cap")</f>
        <v>Low Cap</v>
      </c>
    </row>
    <row r="122" spans="1:16">
      <c r="A122" s="12" t="str">
        <f ca="1">IFERROR(__xludf.DUMMYFUNCTION("""COMPUTED_VALUE"""),"GMM Pfaudler")</f>
        <v>GMM Pfaudler</v>
      </c>
      <c r="B122" s="13">
        <f ca="1">IFERROR(__xludf.DUMMYFUNCTION("""COMPUTED_VALUE"""),7046.8192293)</f>
        <v>7046.8192293000002</v>
      </c>
      <c r="C122" s="12">
        <f ca="1">IFERROR(__xludf.DUMMYFUNCTION("""COMPUTED_VALUE"""),1567.45)</f>
        <v>1567.45</v>
      </c>
      <c r="D122" s="12">
        <f ca="1">IFERROR(__xludf.DUMMYFUNCTION("""COMPUTED_VALUE"""),53.87)</f>
        <v>53.87</v>
      </c>
      <c r="E122" s="12">
        <f ca="1">IFERROR(__xludf.DUMMYFUNCTION("""COMPUTED_VALUE"""),2110)</f>
        <v>2110</v>
      </c>
      <c r="F122" s="14">
        <f ca="1">IFERROR(__xludf.DUMMYFUNCTION("""COMPUTED_VALUE"""),0.2571327014218)</f>
        <v>0.2571327014218</v>
      </c>
      <c r="G122" s="12">
        <f ca="1">IFERROR(__xludf.DUMMYFUNCTION("""COMPUTED_VALUE"""),1256.67)</f>
        <v>1256.67</v>
      </c>
      <c r="H122" s="14">
        <f ca="1">IFERROR(__xludf.DUMMYFUNCTION("""COMPUTED_VALUE"""),0.247304383808)</f>
        <v>0.24730438380799999</v>
      </c>
      <c r="I122" s="12">
        <f ca="1">IFERROR(__xludf.DUMMYFUNCTION("""COMPUTED_VALUE"""),1576.95)</f>
        <v>1576.95</v>
      </c>
      <c r="J122" s="14">
        <f ca="1">IFERROR(__xludf.DUMMYFUNCTION("""COMPUTED_VALUE"""),-0.00602428739021528)</f>
        <v>-6.0242873902152799E-3</v>
      </c>
      <c r="K122" s="12" t="str">
        <f ca="1">IFERROR(__xludf.DUMMYFUNCTION("""COMPUTED_VALUE"""),"Manufacturing")</f>
        <v>Manufacturing</v>
      </c>
      <c r="L122" s="12" t="str">
        <f ca="1">IFERROR(__xludf.DUMMYFUNCTION("""COMPUTED_VALUE"""),"GMMPFAUDLR")</f>
        <v>GMMPFAUDLR</v>
      </c>
      <c r="M122" s="12" t="str">
        <f ca="1">IFERROR(__xludf.DUMMYFUNCTION("""COMPUTED_VALUE"""),"No")</f>
        <v>No</v>
      </c>
      <c r="N122" s="12" t="str">
        <f ca="1">IFERROR(__xludf.DUMMYFUNCTION("""COMPUTED_VALUE"""),"No")</f>
        <v>No</v>
      </c>
      <c r="O122" s="12" t="str">
        <f ca="1">IFERROR(__xludf.DUMMYFUNCTION("""COMPUTED_VALUE"""),"Good Stock")</f>
        <v>Good Stock</v>
      </c>
      <c r="P122" s="12" t="str">
        <f ca="1">IFERROR(__xludf.DUMMYFUNCTION("""COMPUTED_VALUE"""),"Low Cap")</f>
        <v>Low Cap</v>
      </c>
    </row>
    <row r="123" spans="1:16">
      <c r="A123" s="12" t="str">
        <f ca="1">IFERROR(__xludf.DUMMYFUNCTION("""COMPUTED_VALUE"""),"TCI Express")</f>
        <v>TCI Express</v>
      </c>
      <c r="B123" s="13">
        <f ca="1">IFERROR(__xludf.DUMMYFUNCTION("""COMPUTED_VALUE"""),6985.583)</f>
        <v>6985.5829999999996</v>
      </c>
      <c r="C123" s="12">
        <f ca="1">IFERROR(__xludf.DUMMYFUNCTION("""COMPUTED_VALUE"""),1795)</f>
        <v>1795</v>
      </c>
      <c r="D123" s="12">
        <f ca="1">IFERROR(__xludf.DUMMYFUNCTION("""COMPUTED_VALUE"""),49.5)</f>
        <v>49.5</v>
      </c>
      <c r="E123" s="12">
        <f ca="1">IFERROR(__xludf.DUMMYFUNCTION("""COMPUTED_VALUE"""),2249)</f>
        <v>2249</v>
      </c>
      <c r="F123" s="14">
        <f ca="1">IFERROR(__xludf.DUMMYFUNCTION("""COMPUTED_VALUE"""),0.201867496665184)</f>
        <v>0.201867496665184</v>
      </c>
      <c r="G123" s="12">
        <f ca="1">IFERROR(__xludf.DUMMYFUNCTION("""COMPUTED_VALUE"""),1444.5)</f>
        <v>1444.5</v>
      </c>
      <c r="H123" s="14">
        <f ca="1">IFERROR(__xludf.DUMMYFUNCTION("""COMPUTED_VALUE"""),0.242644513672551)</f>
        <v>0.24264451367255099</v>
      </c>
      <c r="I123" s="12">
        <f ca="1">IFERROR(__xludf.DUMMYFUNCTION("""COMPUTED_VALUE"""),1807.4)</f>
        <v>1807.4</v>
      </c>
      <c r="J123" s="14">
        <f ca="1">IFERROR(__xludf.DUMMYFUNCTION("""COMPUTED_VALUE"""),-0.00686068385526175)</f>
        <v>-6.8606838552617497E-3</v>
      </c>
      <c r="K123" s="12" t="str">
        <f ca="1">IFERROR(__xludf.DUMMYFUNCTION("""COMPUTED_VALUE"""),"Logistic")</f>
        <v>Logistic</v>
      </c>
      <c r="L123" s="12" t="str">
        <f ca="1">IFERROR(__xludf.DUMMYFUNCTION("""COMPUTED_VALUE"""),"BOM:540212")</f>
        <v>BOM:540212</v>
      </c>
      <c r="M123" s="12" t="str">
        <f ca="1">IFERROR(__xludf.DUMMYFUNCTION("""COMPUTED_VALUE"""),"No")</f>
        <v>No</v>
      </c>
      <c r="N123" s="12" t="str">
        <f ca="1">IFERROR(__xludf.DUMMYFUNCTION("""COMPUTED_VALUE"""),"No")</f>
        <v>No</v>
      </c>
      <c r="O123" s="12" t="str">
        <f ca="1">IFERROR(__xludf.DUMMYFUNCTION("""COMPUTED_VALUE"""),"Good Stock")</f>
        <v>Good Stock</v>
      </c>
      <c r="P123" s="12" t="str">
        <f ca="1">IFERROR(__xludf.DUMMYFUNCTION("""COMPUTED_VALUE"""),"Low Cap")</f>
        <v>Low Cap</v>
      </c>
    </row>
    <row r="124" spans="1:16">
      <c r="A124" s="12" t="str">
        <f ca="1">IFERROR(__xludf.DUMMYFUNCTION("""COMPUTED_VALUE"""),"Cera Sanitaryware")</f>
        <v>Cera Sanitaryware</v>
      </c>
      <c r="B124" s="13">
        <f ca="1">IFERROR(__xludf.DUMMYFUNCTION("""COMPUTED_VALUE"""),6919.97)</f>
        <v>6919.97</v>
      </c>
      <c r="C124" s="12">
        <f ca="1">IFERROR(__xludf.DUMMYFUNCTION("""COMPUTED_VALUE"""),5294)</f>
        <v>5294</v>
      </c>
      <c r="D124" s="12">
        <f ca="1">IFERROR(__xludf.DUMMYFUNCTION("""COMPUTED_VALUE"""),37)</f>
        <v>37</v>
      </c>
      <c r="E124" s="12">
        <f ca="1">IFERROR(__xludf.DUMMYFUNCTION("""COMPUTED_VALUE"""),6067.95)</f>
        <v>6067.95</v>
      </c>
      <c r="F124" s="14">
        <f ca="1">IFERROR(__xludf.DUMMYFUNCTION("""COMPUTED_VALUE"""),0.127547194686838)</f>
        <v>0.12754719468683801</v>
      </c>
      <c r="G124" s="12">
        <f ca="1">IFERROR(__xludf.DUMMYFUNCTION("""COMPUTED_VALUE"""),3518.6)</f>
        <v>3518.6</v>
      </c>
      <c r="H124" s="14">
        <f ca="1">IFERROR(__xludf.DUMMYFUNCTION("""COMPUTED_VALUE"""),0.504575683510487)</f>
        <v>0.50457568351048698</v>
      </c>
      <c r="I124" s="12">
        <f ca="1">IFERROR(__xludf.DUMMYFUNCTION("""COMPUTED_VALUE"""),5320)</f>
        <v>5320</v>
      </c>
      <c r="J124" s="14">
        <f ca="1">IFERROR(__xludf.DUMMYFUNCTION("""COMPUTED_VALUE"""),-0.00488721804511278)</f>
        <v>-4.8872180451127803E-3</v>
      </c>
      <c r="K124" s="12" t="str">
        <f ca="1">IFERROR(__xludf.DUMMYFUNCTION("""COMPUTED_VALUE"""),"Ceramics")</f>
        <v>Ceramics</v>
      </c>
      <c r="L124" s="12" t="str">
        <f ca="1">IFERROR(__xludf.DUMMYFUNCTION("""COMPUTED_VALUE"""),"BOM:532443")</f>
        <v>BOM:532443</v>
      </c>
      <c r="M124" s="12" t="str">
        <f ca="1">IFERROR(__xludf.DUMMYFUNCTION("""COMPUTED_VALUE"""),"No")</f>
        <v>No</v>
      </c>
      <c r="N124" s="12" t="str">
        <f ca="1">IFERROR(__xludf.DUMMYFUNCTION("""COMPUTED_VALUE"""),"No")</f>
        <v>No</v>
      </c>
      <c r="O124" s="12" t="str">
        <f ca="1">IFERROR(__xludf.DUMMYFUNCTION("""COMPUTED_VALUE"""),"Good Stock")</f>
        <v>Good Stock</v>
      </c>
      <c r="P124" s="12" t="str">
        <f ca="1">IFERROR(__xludf.DUMMYFUNCTION("""COMPUTED_VALUE"""),"Low Cap")</f>
        <v>Low Cap</v>
      </c>
    </row>
    <row r="125" spans="1:16">
      <c r="A125" s="12" t="str">
        <f ca="1">IFERROR(__xludf.DUMMYFUNCTION("""COMPUTED_VALUE"""),"Prince Pipe")</f>
        <v>Prince Pipe</v>
      </c>
      <c r="B125" s="13">
        <f ca="1">IFERROR(__xludf.DUMMYFUNCTION("""COMPUTED_VALUE"""),6524.233845)</f>
        <v>6524.2338449999997</v>
      </c>
      <c r="C125" s="12">
        <f ca="1">IFERROR(__xludf.DUMMYFUNCTION("""COMPUTED_VALUE"""),590.7)</f>
        <v>590.70000000000005</v>
      </c>
      <c r="D125" s="12">
        <f ca="1">IFERROR(__xludf.DUMMYFUNCTION("""COMPUTED_VALUE"""),44.19)</f>
        <v>44.19</v>
      </c>
      <c r="E125" s="12">
        <f ca="1">IFERROR(__xludf.DUMMYFUNCTION("""COMPUTED_VALUE"""),748)</f>
        <v>748</v>
      </c>
      <c r="F125" s="14">
        <f ca="1">IFERROR(__xludf.DUMMYFUNCTION("""COMPUTED_VALUE"""),0.210294117647058)</f>
        <v>0.21029411764705799</v>
      </c>
      <c r="G125" s="12">
        <f ca="1">IFERROR(__xludf.DUMMYFUNCTION("""COMPUTED_VALUE"""),513.1)</f>
        <v>513.1</v>
      </c>
      <c r="H125" s="14">
        <f ca="1">IFERROR(__xludf.DUMMYFUNCTION("""COMPUTED_VALUE"""),0.15123757552134)</f>
        <v>0.15123757552134001</v>
      </c>
      <c r="I125" s="12">
        <f ca="1">IFERROR(__xludf.DUMMYFUNCTION("""COMPUTED_VALUE"""),575.3)</f>
        <v>575.29999999999995</v>
      </c>
      <c r="J125" s="14">
        <f ca="1">IFERROR(__xludf.DUMMYFUNCTION("""COMPUTED_VALUE"""),0.0267686424474189)</f>
        <v>2.6768642447418899E-2</v>
      </c>
      <c r="K125" s="12" t="str">
        <f ca="1">IFERROR(__xludf.DUMMYFUNCTION("""COMPUTED_VALUE"""),"Piping")</f>
        <v>Piping</v>
      </c>
      <c r="L125" s="12" t="str">
        <f ca="1">IFERROR(__xludf.DUMMYFUNCTION("""COMPUTED_VALUE"""),"BOM:542907")</f>
        <v>BOM:542907</v>
      </c>
      <c r="M125" s="12" t="str">
        <f ca="1">IFERROR(__xludf.DUMMYFUNCTION("""COMPUTED_VALUE"""),"No")</f>
        <v>No</v>
      </c>
      <c r="N125" s="12" t="str">
        <f ca="1">IFERROR(__xludf.DUMMYFUNCTION("""COMPUTED_VALUE"""),"No")</f>
        <v>No</v>
      </c>
      <c r="O125" s="12" t="str">
        <f ca="1">IFERROR(__xludf.DUMMYFUNCTION("""COMPUTED_VALUE"""),"Good Stock")</f>
        <v>Good Stock</v>
      </c>
      <c r="P125" s="12" t="str">
        <f ca="1">IFERROR(__xludf.DUMMYFUNCTION("""COMPUTED_VALUE"""),"Low Cap")</f>
        <v>Low Cap</v>
      </c>
    </row>
    <row r="126" spans="1:16">
      <c r="A126" s="12" t="str">
        <f ca="1">IFERROR(__xludf.DUMMYFUNCTION("""COMPUTED_VALUE"""),"Praj Industries")</f>
        <v>Praj Industries</v>
      </c>
      <c r="B126" s="13">
        <f ca="1">IFERROR(__xludf.DUMMYFUNCTION("""COMPUTED_VALUE"""),6488.72245)</f>
        <v>6488.7224500000002</v>
      </c>
      <c r="C126" s="12">
        <f ca="1">IFERROR(__xludf.DUMMYFUNCTION("""COMPUTED_VALUE"""),353)</f>
        <v>353</v>
      </c>
      <c r="D126" s="12">
        <f ca="1">IFERROR(__xludf.DUMMYFUNCTION("""COMPUTED_VALUE"""),35.19)</f>
        <v>35.19</v>
      </c>
      <c r="E126" s="12">
        <f ca="1">IFERROR(__xludf.DUMMYFUNCTION("""COMPUTED_VALUE"""),461.5)</f>
        <v>461.5</v>
      </c>
      <c r="F126" s="14">
        <f ca="1">IFERROR(__xludf.DUMMYFUNCTION("""COMPUTED_VALUE"""),0.23510292524377)</f>
        <v>0.23510292524376999</v>
      </c>
      <c r="G126" s="12">
        <f ca="1">IFERROR(__xludf.DUMMYFUNCTION("""COMPUTED_VALUE"""),289.05)</f>
        <v>289.05</v>
      </c>
      <c r="H126" s="14">
        <f ca="1">IFERROR(__xludf.DUMMYFUNCTION("""COMPUTED_VALUE"""),0.221241999654039)</f>
        <v>0.22124199965403901</v>
      </c>
      <c r="I126" s="12">
        <f ca="1">IFERROR(__xludf.DUMMYFUNCTION("""COMPUTED_VALUE"""),355.1)</f>
        <v>355.1</v>
      </c>
      <c r="J126" s="14">
        <f ca="1">IFERROR(__xludf.DUMMYFUNCTION("""COMPUTED_VALUE"""),-0.00591382709096035)</f>
        <v>-5.9138270909603503E-3</v>
      </c>
      <c r="K126" s="12" t="str">
        <f ca="1">IFERROR(__xludf.DUMMYFUNCTION("""COMPUTED_VALUE"""),"Manufacturing")</f>
        <v>Manufacturing</v>
      </c>
      <c r="L126" s="12" t="str">
        <f ca="1">IFERROR(__xludf.DUMMYFUNCTION("""COMPUTED_VALUE"""),"BOM:522205")</f>
        <v>BOM:522205</v>
      </c>
      <c r="M126" s="12" t="str">
        <f ca="1">IFERROR(__xludf.DUMMYFUNCTION("""COMPUTED_VALUE"""),"No")</f>
        <v>No</v>
      </c>
      <c r="N126" s="12" t="str">
        <f ca="1">IFERROR(__xludf.DUMMYFUNCTION("""COMPUTED_VALUE"""),"No")</f>
        <v>No</v>
      </c>
      <c r="O126" s="12" t="str">
        <f ca="1">IFERROR(__xludf.DUMMYFUNCTION("""COMPUTED_VALUE"""),"Good Stock")</f>
        <v>Good Stock</v>
      </c>
      <c r="P126" s="12" t="str">
        <f ca="1">IFERROR(__xludf.DUMMYFUNCTION("""COMPUTED_VALUE"""),"Low Cap")</f>
        <v>Low Cap</v>
      </c>
    </row>
    <row r="127" spans="1:16">
      <c r="A127" s="12" t="str">
        <f ca="1">IFERROR(__xludf.DUMMYFUNCTION("""COMPUTED_VALUE"""),"Data Pattern")</f>
        <v>Data Pattern</v>
      </c>
      <c r="B127" s="13">
        <f ca="1">IFERROR(__xludf.DUMMYFUNCTION("""COMPUTED_VALUE"""),6367.8328518)</f>
        <v>6367.8328517999998</v>
      </c>
      <c r="C127" s="12">
        <f ca="1">IFERROR(__xludf.DUMMYFUNCTION("""COMPUTED_VALUE"""),1227.1)</f>
        <v>1227.0999999999999</v>
      </c>
      <c r="D127" s="12">
        <f ca="1">IFERROR(__xludf.DUMMYFUNCTION("""COMPUTED_VALUE"""),59.65)</f>
        <v>59.65</v>
      </c>
      <c r="E127" s="12">
        <f ca="1">IFERROR(__xludf.DUMMYFUNCTION("""COMPUTED_VALUE"""),1480)</f>
        <v>1480</v>
      </c>
      <c r="F127" s="14">
        <f ca="1">IFERROR(__xludf.DUMMYFUNCTION("""COMPUTED_VALUE"""),0.170878378378378)</f>
        <v>0.17087837837837799</v>
      </c>
      <c r="G127" s="12">
        <f ca="1">IFERROR(__xludf.DUMMYFUNCTION("""COMPUTED_VALUE"""),575)</f>
        <v>575</v>
      </c>
      <c r="H127" s="14">
        <f ca="1">IFERROR(__xludf.DUMMYFUNCTION("""COMPUTED_VALUE"""),1.13408695652173)</f>
        <v>1.13408695652173</v>
      </c>
      <c r="I127" s="12">
        <f ca="1">IFERROR(__xludf.DUMMYFUNCTION("""COMPUTED_VALUE"""),1161.25)</f>
        <v>1161.25</v>
      </c>
      <c r="J127" s="14">
        <f ca="1">IFERROR(__xludf.DUMMYFUNCTION("""COMPUTED_VALUE"""),0.0567061356297092)</f>
        <v>5.6706135629709199E-2</v>
      </c>
      <c r="K127" s="12" t="str">
        <f ca="1">IFERROR(__xludf.DUMMYFUNCTION("""COMPUTED_VALUE"""),"Technology")</f>
        <v>Technology</v>
      </c>
      <c r="L127" s="12" t="str">
        <f ca="1">IFERROR(__xludf.DUMMYFUNCTION("""COMPUTED_VALUE"""),"BOM:543428")</f>
        <v>BOM:543428</v>
      </c>
      <c r="M127" s="12" t="str">
        <f ca="1">IFERROR(__xludf.DUMMYFUNCTION("""COMPUTED_VALUE"""),"No")</f>
        <v>No</v>
      </c>
      <c r="N127" s="12" t="str">
        <f ca="1">IFERROR(__xludf.DUMMYFUNCTION("""COMPUTED_VALUE"""),"No")</f>
        <v>No</v>
      </c>
      <c r="O127" s="12" t="str">
        <f ca="1">IFERROR(__xludf.DUMMYFUNCTION("""COMPUTED_VALUE"""),"Good Stock")</f>
        <v>Good Stock</v>
      </c>
      <c r="P127" s="12" t="str">
        <f ca="1">IFERROR(__xludf.DUMMYFUNCTION("""COMPUTED_VALUE"""),"Low Cap")</f>
        <v>Low Cap</v>
      </c>
    </row>
    <row r="128" spans="1:16">
      <c r="A128" s="12" t="str">
        <f ca="1">IFERROR(__xludf.DUMMYFUNCTION("""COMPUTED_VALUE"""),"Amber Enterprise")</f>
        <v>Amber Enterprise</v>
      </c>
      <c r="B128" s="13">
        <f ca="1">IFERROR(__xludf.DUMMYFUNCTION("""COMPUTED_VALUE"""),6297.527)</f>
        <v>6297.527</v>
      </c>
      <c r="C128" s="12">
        <f ca="1">IFERROR(__xludf.DUMMYFUNCTION("""COMPUTED_VALUE"""),1870)</f>
        <v>1870</v>
      </c>
      <c r="D128" s="12">
        <f ca="1">IFERROR(__xludf.DUMMYFUNCTION("""COMPUTED_VALUE"""),49.07)</f>
        <v>49.07</v>
      </c>
      <c r="E128" s="12">
        <f ca="1">IFERROR(__xludf.DUMMYFUNCTION("""COMPUTED_VALUE"""),4023.65)</f>
        <v>4023.65</v>
      </c>
      <c r="F128" s="14">
        <f ca="1">IFERROR(__xludf.DUMMYFUNCTION("""COMPUTED_VALUE"""),0.535247847103997)</f>
        <v>0.53524784710399698</v>
      </c>
      <c r="G128" s="12">
        <f ca="1">IFERROR(__xludf.DUMMYFUNCTION("""COMPUTED_VALUE"""),1844.15)</f>
        <v>1844.15</v>
      </c>
      <c r="H128" s="14">
        <f ca="1">IFERROR(__xludf.DUMMYFUNCTION("""COMPUTED_VALUE"""),0.0140172979421413)</f>
        <v>1.40172979421413E-2</v>
      </c>
      <c r="I128" s="12">
        <f ca="1">IFERROR(__xludf.DUMMYFUNCTION("""COMPUTED_VALUE"""),1876)</f>
        <v>1876</v>
      </c>
      <c r="J128" s="14">
        <f ca="1">IFERROR(__xludf.DUMMYFUNCTION("""COMPUTED_VALUE"""),-0.00319829424307036)</f>
        <v>-3.1982942430703598E-3</v>
      </c>
      <c r="K128" s="12" t="str">
        <f ca="1">IFERROR(__xludf.DUMMYFUNCTION("""COMPUTED_VALUE"""),"Manufacturing")</f>
        <v>Manufacturing</v>
      </c>
      <c r="L128" s="12" t="str">
        <f ca="1">IFERROR(__xludf.DUMMYFUNCTION("""COMPUTED_VALUE"""),"BOM:540902")</f>
        <v>BOM:540902</v>
      </c>
      <c r="M128" s="12" t="str">
        <f ca="1">IFERROR(__xludf.DUMMYFUNCTION("""COMPUTED_VALUE"""),"No")</f>
        <v>No</v>
      </c>
      <c r="N128" s="12" t="str">
        <f ca="1">IFERROR(__xludf.DUMMYFUNCTION("""COMPUTED_VALUE"""),"No")</f>
        <v>No</v>
      </c>
      <c r="O128" s="12" t="str">
        <f ca="1">IFERROR(__xludf.DUMMYFUNCTION("""COMPUTED_VALUE"""),"Good Stock")</f>
        <v>Good Stock</v>
      </c>
      <c r="P128" s="12" t="str">
        <f ca="1">IFERROR(__xludf.DUMMYFUNCTION("""COMPUTED_VALUE"""),"Low Cap")</f>
        <v>Low Cap</v>
      </c>
    </row>
    <row r="129" spans="1:16">
      <c r="A129" s="12" t="str">
        <f ca="1">IFERROR(__xludf.DUMMYFUNCTION("""COMPUTED_VALUE"""),"Garware technical")</f>
        <v>Garware technical</v>
      </c>
      <c r="B129" s="13">
        <f ca="1">IFERROR(__xludf.DUMMYFUNCTION("""COMPUTED_VALUE"""),6152.5851506)</f>
        <v>6152.5851505999999</v>
      </c>
      <c r="C129" s="12">
        <f ca="1">IFERROR(__xludf.DUMMYFUNCTION("""COMPUTED_VALUE"""),3024.95)</f>
        <v>3024.95</v>
      </c>
      <c r="D129" s="12">
        <f ca="1">IFERROR(__xludf.DUMMYFUNCTION("""COMPUTED_VALUE"""),37.14)</f>
        <v>37.14</v>
      </c>
      <c r="E129" s="12">
        <f ca="1">IFERROR(__xludf.DUMMYFUNCTION("""COMPUTED_VALUE"""),3754.85)</f>
        <v>3754.85</v>
      </c>
      <c r="F129" s="14">
        <f ca="1">IFERROR(__xludf.DUMMYFUNCTION("""COMPUTED_VALUE"""),0.194388590755955)</f>
        <v>0.19438859075595499</v>
      </c>
      <c r="G129" s="12">
        <f ca="1">IFERROR(__xludf.DUMMYFUNCTION("""COMPUTED_VALUE"""),2619.8)</f>
        <v>2619.8000000000002</v>
      </c>
      <c r="H129" s="14">
        <f ca="1">IFERROR(__xludf.DUMMYFUNCTION("""COMPUTED_VALUE"""),0.154649209863348)</f>
        <v>0.15464920986334799</v>
      </c>
      <c r="I129" s="12">
        <f ca="1">IFERROR(__xludf.DUMMYFUNCTION("""COMPUTED_VALUE"""),3026.7)</f>
        <v>3026.7</v>
      </c>
      <c r="J129" s="14">
        <f ca="1">IFERROR(__xludf.DUMMYFUNCTION("""COMPUTED_VALUE"""),-0.000578187464895761)</f>
        <v>-5.7818746489576097E-4</v>
      </c>
      <c r="K129" s="12" t="str">
        <f ca="1">IFERROR(__xludf.DUMMYFUNCTION("""COMPUTED_VALUE"""),"Textile")</f>
        <v>Textile</v>
      </c>
      <c r="L129" s="12" t="str">
        <f ca="1">IFERROR(__xludf.DUMMYFUNCTION("""COMPUTED_VALUE"""),"GARFIBRES")</f>
        <v>GARFIBRES</v>
      </c>
      <c r="M129" s="12" t="str">
        <f ca="1">IFERROR(__xludf.DUMMYFUNCTION("""COMPUTED_VALUE"""),"No")</f>
        <v>No</v>
      </c>
      <c r="N129" s="12" t="str">
        <f ca="1">IFERROR(__xludf.DUMMYFUNCTION("""COMPUTED_VALUE"""),"No")</f>
        <v>No</v>
      </c>
      <c r="O129" s="12" t="str">
        <f ca="1">IFERROR(__xludf.DUMMYFUNCTION("""COMPUTED_VALUE"""),"Good Stock")</f>
        <v>Good Stock</v>
      </c>
      <c r="P129" s="12" t="str">
        <f ca="1">IFERROR(__xludf.DUMMYFUNCTION("""COMPUTED_VALUE"""),"Low Cap")</f>
        <v>Low Cap</v>
      </c>
    </row>
    <row r="130" spans="1:16">
      <c r="A130" s="12" t="str">
        <f ca="1">IFERROR(__xludf.DUMMYFUNCTION("""COMPUTED_VALUE"""),"Borosil Renewable")</f>
        <v>Borosil Renewable</v>
      </c>
      <c r="B130" s="13">
        <f ca="1">IFERROR(__xludf.DUMMYFUNCTION("""COMPUTED_VALUE"""),5686.243)</f>
        <v>5686.2430000000004</v>
      </c>
      <c r="C130" s="12">
        <f ca="1">IFERROR(__xludf.DUMMYFUNCTION("""COMPUTED_VALUE"""),499.35)</f>
        <v>499.35</v>
      </c>
      <c r="D130" s="12">
        <f ca="1">IFERROR(__xludf.DUMMYFUNCTION("""COMPUTED_VALUE"""),39.43)</f>
        <v>39.43</v>
      </c>
      <c r="E130" s="12">
        <f ca="1">IFERROR(__xludf.DUMMYFUNCTION("""COMPUTED_VALUE"""),833)</f>
        <v>833</v>
      </c>
      <c r="F130" s="14">
        <f ca="1">IFERROR(__xludf.DUMMYFUNCTION("""COMPUTED_VALUE"""),0.400540216086434)</f>
        <v>0.40054021608643398</v>
      </c>
      <c r="G130" s="12">
        <f ca="1">IFERROR(__xludf.DUMMYFUNCTION("""COMPUTED_VALUE"""),468)</f>
        <v>468</v>
      </c>
      <c r="H130" s="14">
        <f ca="1">IFERROR(__xludf.DUMMYFUNCTION("""COMPUTED_VALUE"""),0.0669871794871795)</f>
        <v>6.6987179487179499E-2</v>
      </c>
      <c r="I130" s="12">
        <f ca="1">IFERROR(__xludf.DUMMYFUNCTION("""COMPUTED_VALUE"""),494.9)</f>
        <v>494.9</v>
      </c>
      <c r="J130" s="14">
        <f ca="1">IFERROR(__xludf.DUMMYFUNCTION("""COMPUTED_VALUE"""),0.00899171549808051)</f>
        <v>8.9917154980805099E-3</v>
      </c>
      <c r="K130" s="12" t="str">
        <f ca="1">IFERROR(__xludf.DUMMYFUNCTION("""COMPUTED_VALUE"""),"Manufacturing")</f>
        <v>Manufacturing</v>
      </c>
      <c r="L130" s="12" t="str">
        <f ca="1">IFERROR(__xludf.DUMMYFUNCTION("""COMPUTED_VALUE"""),"BOM:502219")</f>
        <v>BOM:502219</v>
      </c>
      <c r="M130" s="12" t="str">
        <f ca="1">IFERROR(__xludf.DUMMYFUNCTION("""COMPUTED_VALUE"""),"No")</f>
        <v>No</v>
      </c>
      <c r="N130" s="12" t="str">
        <f ca="1">IFERROR(__xludf.DUMMYFUNCTION("""COMPUTED_VALUE"""),"No")</f>
        <v>No</v>
      </c>
      <c r="O130" s="12" t="str">
        <f ca="1">IFERROR(__xludf.DUMMYFUNCTION("""COMPUTED_VALUE"""),"Good Stock")</f>
        <v>Good Stock</v>
      </c>
      <c r="P130" s="12" t="str">
        <f ca="1">IFERROR(__xludf.DUMMYFUNCTION("""COMPUTED_VALUE"""),"Low Cap")</f>
        <v>Low Cap</v>
      </c>
    </row>
    <row r="131" spans="1:16">
      <c r="A131" s="12" t="str">
        <f ca="1">IFERROR(__xludf.DUMMYFUNCTION("""COMPUTED_VALUE"""),"Orient Electric")</f>
        <v>Orient Electric</v>
      </c>
      <c r="B131" s="13">
        <f ca="1">IFERROR(__xludf.DUMMYFUNCTION("""COMPUTED_VALUE"""),5679.5794914)</f>
        <v>5679.5794913999998</v>
      </c>
      <c r="C131" s="12">
        <f ca="1">IFERROR(__xludf.DUMMYFUNCTION("""COMPUTED_VALUE"""),267.2)</f>
        <v>267.2</v>
      </c>
      <c r="D131" s="12">
        <f ca="1">IFERROR(__xludf.DUMMYFUNCTION("""COMPUTED_VALUE"""),53.9)</f>
        <v>53.9</v>
      </c>
      <c r="E131" s="12">
        <f ca="1">IFERROR(__xludf.DUMMYFUNCTION("""COMPUTED_VALUE"""),372.2)</f>
        <v>372.2</v>
      </c>
      <c r="F131" s="14">
        <f ca="1">IFERROR(__xludf.DUMMYFUNCTION("""COMPUTED_VALUE"""),0.282106394411606)</f>
        <v>0.28210639441160601</v>
      </c>
      <c r="G131" s="12">
        <f ca="1">IFERROR(__xludf.DUMMYFUNCTION("""COMPUTED_VALUE"""),244)</f>
        <v>244</v>
      </c>
      <c r="H131" s="14">
        <f ca="1">IFERROR(__xludf.DUMMYFUNCTION("""COMPUTED_VALUE"""),0.0950819672131147)</f>
        <v>9.5081967213114696E-2</v>
      </c>
      <c r="I131" s="12">
        <f ca="1">IFERROR(__xludf.DUMMYFUNCTION("""COMPUTED_VALUE"""),268.4)</f>
        <v>268.39999999999998</v>
      </c>
      <c r="J131" s="14">
        <f ca="1">IFERROR(__xludf.DUMMYFUNCTION("""COMPUTED_VALUE"""),-0.00447093889716836)</f>
        <v>-4.4709388971683603E-3</v>
      </c>
      <c r="K131" s="12" t="str">
        <f ca="1">IFERROR(__xludf.DUMMYFUNCTION("""COMPUTED_VALUE"""),"Consumer Electrical")</f>
        <v>Consumer Electrical</v>
      </c>
      <c r="L131" s="12" t="str">
        <f ca="1">IFERROR(__xludf.DUMMYFUNCTION("""COMPUTED_VALUE"""),"ORIENTELEC")</f>
        <v>ORIENTELEC</v>
      </c>
      <c r="M131" s="12" t="str">
        <f ca="1">IFERROR(__xludf.DUMMYFUNCTION("""COMPUTED_VALUE"""),"No")</f>
        <v>No</v>
      </c>
      <c r="N131" s="12" t="str">
        <f ca="1">IFERROR(__xludf.DUMMYFUNCTION("""COMPUTED_VALUE"""),"No")</f>
        <v>No</v>
      </c>
      <c r="O131" s="12" t="str">
        <f ca="1">IFERROR(__xludf.DUMMYFUNCTION("""COMPUTED_VALUE"""),"Good Stock")</f>
        <v>Good Stock</v>
      </c>
      <c r="P131" s="12" t="str">
        <f ca="1">IFERROR(__xludf.DUMMYFUNCTION("""COMPUTED_VALUE"""),"Low Cap")</f>
        <v>Low Cap</v>
      </c>
    </row>
    <row r="132" spans="1:16">
      <c r="A132" s="12" t="str">
        <f ca="1">IFERROR(__xludf.DUMMYFUNCTION("""COMPUTED_VALUE"""),"Gujarat Ambuja Export")</f>
        <v>Gujarat Ambuja Export</v>
      </c>
      <c r="B132" s="13">
        <f ca="1">IFERROR(__xludf.DUMMYFUNCTION("""COMPUTED_VALUE"""),5515.515)</f>
        <v>5515.5150000000003</v>
      </c>
      <c r="C132" s="12">
        <f ca="1">IFERROR(__xludf.DUMMYFUNCTION("""COMPUTED_VALUE"""),241.5)</f>
        <v>241.5</v>
      </c>
      <c r="D132" s="12">
        <f ca="1">IFERROR(__xludf.DUMMYFUNCTION("""COMPUTED_VALUE"""),12.67)</f>
        <v>12.67</v>
      </c>
      <c r="E132" s="12">
        <f ca="1">IFERROR(__xludf.DUMMYFUNCTION("""COMPUTED_VALUE"""),393.85)</f>
        <v>393.85</v>
      </c>
      <c r="F132" s="14">
        <f ca="1">IFERROR(__xludf.DUMMYFUNCTION("""COMPUTED_VALUE"""),0.386822394312555)</f>
        <v>0.386822394312555</v>
      </c>
      <c r="G132" s="12">
        <f ca="1">IFERROR(__xludf.DUMMYFUNCTION("""COMPUTED_VALUE"""),169.25)</f>
        <v>169.25</v>
      </c>
      <c r="H132" s="14">
        <f ca="1">IFERROR(__xludf.DUMMYFUNCTION("""COMPUTED_VALUE"""),0.426883308714918)</f>
        <v>0.42688330871491798</v>
      </c>
      <c r="I132" s="12">
        <f ca="1">IFERROR(__xludf.DUMMYFUNCTION("""COMPUTED_VALUE"""),236.7)</f>
        <v>236.7</v>
      </c>
      <c r="J132" s="14">
        <f ca="1">IFERROR(__xludf.DUMMYFUNCTION("""COMPUTED_VALUE"""),0.0202788339670469)</f>
        <v>2.02788339670469E-2</v>
      </c>
      <c r="K132" s="12"/>
      <c r="L132" s="12" t="str">
        <f ca="1">IFERROR(__xludf.DUMMYFUNCTION("""COMPUTED_VALUE"""),"BOM:524226")</f>
        <v>BOM:524226</v>
      </c>
      <c r="M132" s="12" t="str">
        <f ca="1">IFERROR(__xludf.DUMMYFUNCTION("""COMPUTED_VALUE"""),"No")</f>
        <v>No</v>
      </c>
      <c r="N132" s="12" t="str">
        <f ca="1">IFERROR(__xludf.DUMMYFUNCTION("""COMPUTED_VALUE"""),"No")</f>
        <v>No</v>
      </c>
      <c r="O132" s="12" t="str">
        <f ca="1">IFERROR(__xludf.DUMMYFUNCTION("""COMPUTED_VALUE"""),"Good Stock")</f>
        <v>Good Stock</v>
      </c>
      <c r="P132" s="12" t="str">
        <f ca="1">IFERROR(__xludf.DUMMYFUNCTION("""COMPUTED_VALUE"""),"Low Cap")</f>
        <v>Low Cap</v>
      </c>
    </row>
    <row r="133" spans="1:16">
      <c r="A133" s="12" t="str">
        <f ca="1">IFERROR(__xludf.DUMMYFUNCTION("""COMPUTED_VALUE"""),"Avanti Feed")</f>
        <v>Avanti Feed</v>
      </c>
      <c r="B133" s="13">
        <f ca="1">IFERROR(__xludf.DUMMYFUNCTION("""COMPUTED_VALUE"""),5305.4035808)</f>
        <v>5305.4035807999999</v>
      </c>
      <c r="C133" s="12">
        <f ca="1">IFERROR(__xludf.DUMMYFUNCTION("""COMPUTED_VALUE"""),389.4)</f>
        <v>389.4</v>
      </c>
      <c r="D133" s="12">
        <f ca="1">IFERROR(__xludf.DUMMYFUNCTION("""COMPUTED_VALUE"""),21.44)</f>
        <v>21.44</v>
      </c>
      <c r="E133" s="12">
        <f ca="1">IFERROR(__xludf.DUMMYFUNCTION("""COMPUTED_VALUE"""),638.8)</f>
        <v>638.79999999999995</v>
      </c>
      <c r="F133" s="14">
        <f ca="1">IFERROR(__xludf.DUMMYFUNCTION("""COMPUTED_VALUE"""),0.390419536631183)</f>
        <v>0.39041953663118301</v>
      </c>
      <c r="G133" s="12">
        <f ca="1">IFERROR(__xludf.DUMMYFUNCTION("""COMPUTED_VALUE"""),364.1)</f>
        <v>364.1</v>
      </c>
      <c r="H133" s="14">
        <f ca="1">IFERROR(__xludf.DUMMYFUNCTION("""COMPUTED_VALUE"""),0.0694864048338367)</f>
        <v>6.9486404833836696E-2</v>
      </c>
      <c r="I133" s="12">
        <f ca="1">IFERROR(__xludf.DUMMYFUNCTION("""COMPUTED_VALUE"""),388.7)</f>
        <v>388.7</v>
      </c>
      <c r="J133" s="14">
        <f ca="1">IFERROR(__xludf.DUMMYFUNCTION("""COMPUTED_VALUE"""),0.00180087471057367)</f>
        <v>1.8008747105736701E-3</v>
      </c>
      <c r="K133" s="12" t="str">
        <f ca="1">IFERROR(__xludf.DUMMYFUNCTION("""COMPUTED_VALUE"""),"Food")</f>
        <v>Food</v>
      </c>
      <c r="L133" s="12" t="str">
        <f ca="1">IFERROR(__xludf.DUMMYFUNCTION("""COMPUTED_VALUE"""),"AVANTIFEED")</f>
        <v>AVANTIFEED</v>
      </c>
      <c r="M133" s="12" t="str">
        <f ca="1">IFERROR(__xludf.DUMMYFUNCTION("""COMPUTED_VALUE"""),"No")</f>
        <v>No</v>
      </c>
      <c r="N133" s="12" t="str">
        <f ca="1">IFERROR(__xludf.DUMMYFUNCTION("""COMPUTED_VALUE"""),"No")</f>
        <v>No</v>
      </c>
      <c r="O133" s="12" t="str">
        <f ca="1">IFERROR(__xludf.DUMMYFUNCTION("""COMPUTED_VALUE"""),"Good Stock")</f>
        <v>Good Stock</v>
      </c>
      <c r="P133" s="12" t="str">
        <f ca="1">IFERROR(__xludf.DUMMYFUNCTION("""COMPUTED_VALUE"""),"Low Cap")</f>
        <v>Low Cap</v>
      </c>
    </row>
    <row r="134" spans="1:16">
      <c r="A134" s="12" t="str">
        <f ca="1">IFERROR(__xludf.DUMMYFUNCTION("""COMPUTED_VALUE"""),"Mastek")</f>
        <v>Mastek</v>
      </c>
      <c r="B134" s="13">
        <f ca="1">IFERROR(__xludf.DUMMYFUNCTION("""COMPUTED_VALUE"""),5153.9576635)</f>
        <v>5153.9576635000003</v>
      </c>
      <c r="C134" s="12">
        <f ca="1">IFERROR(__xludf.DUMMYFUNCTION("""COMPUTED_VALUE"""),1714.7)</f>
        <v>1714.7</v>
      </c>
      <c r="D134" s="12">
        <f ca="1">IFERROR(__xludf.DUMMYFUNCTION("""COMPUTED_VALUE"""),17.12)</f>
        <v>17.12</v>
      </c>
      <c r="E134" s="12">
        <f ca="1">IFERROR(__xludf.DUMMYFUNCTION("""COMPUTED_VALUE"""),3410.85)</f>
        <v>3410.85</v>
      </c>
      <c r="F134" s="14">
        <f ca="1">IFERROR(__xludf.DUMMYFUNCTION("""COMPUTED_VALUE"""),0.497280736473313)</f>
        <v>0.497280736473313</v>
      </c>
      <c r="G134" s="12">
        <f ca="1">IFERROR(__xludf.DUMMYFUNCTION("""COMPUTED_VALUE"""),1492)</f>
        <v>1492</v>
      </c>
      <c r="H134" s="14">
        <f ca="1">IFERROR(__xludf.DUMMYFUNCTION("""COMPUTED_VALUE"""),0.14926273458445)</f>
        <v>0.14926273458445</v>
      </c>
      <c r="I134" s="12">
        <f ca="1">IFERROR(__xludf.DUMMYFUNCTION("""COMPUTED_VALUE"""),1693.7)</f>
        <v>1693.7</v>
      </c>
      <c r="J134" s="14">
        <f ca="1">IFERROR(__xludf.DUMMYFUNCTION("""COMPUTED_VALUE"""),0.0123988900041329)</f>
        <v>1.23988900041329E-2</v>
      </c>
      <c r="K134" s="12" t="str">
        <f ca="1">IFERROR(__xludf.DUMMYFUNCTION("""COMPUTED_VALUE"""),"IT")</f>
        <v>IT</v>
      </c>
      <c r="L134" s="12" t="str">
        <f ca="1">IFERROR(__xludf.DUMMYFUNCTION("""COMPUTED_VALUE"""),"BOM:523704")</f>
        <v>BOM:523704</v>
      </c>
      <c r="M134" s="12" t="str">
        <f ca="1">IFERROR(__xludf.DUMMYFUNCTION("""COMPUTED_VALUE"""),"No")</f>
        <v>No</v>
      </c>
      <c r="N134" s="12" t="str">
        <f ca="1">IFERROR(__xludf.DUMMYFUNCTION("""COMPUTED_VALUE"""),"No")</f>
        <v>No</v>
      </c>
      <c r="O134" s="12" t="str">
        <f ca="1">IFERROR(__xludf.DUMMYFUNCTION("""COMPUTED_VALUE"""),"Good Stock")</f>
        <v>Good Stock</v>
      </c>
      <c r="P134" s="12" t="str">
        <f ca="1">IFERROR(__xludf.DUMMYFUNCTION("""COMPUTED_VALUE"""),"Low Cap")</f>
        <v>Low Cap</v>
      </c>
    </row>
    <row r="135" spans="1:16">
      <c r="A135" s="12" t="str">
        <f ca="1">IFERROR(__xludf.DUMMYFUNCTION("""COMPUTED_VALUE"""),"Vaibhav Global")</f>
        <v>Vaibhav Global</v>
      </c>
      <c r="B135" s="13">
        <f ca="1">IFERROR(__xludf.DUMMYFUNCTION("""COMPUTED_VALUE"""),4927.69342)</f>
        <v>4927.6934199999996</v>
      </c>
      <c r="C135" s="12">
        <f ca="1">IFERROR(__xludf.DUMMYFUNCTION("""COMPUTED_VALUE"""),299)</f>
        <v>299</v>
      </c>
      <c r="D135" s="12">
        <f ca="1">IFERROR(__xludf.DUMMYFUNCTION("""COMPUTED_VALUE"""),35.85)</f>
        <v>35.85</v>
      </c>
      <c r="E135" s="12">
        <f ca="1">IFERROR(__xludf.DUMMYFUNCTION("""COMPUTED_VALUE"""),566.5)</f>
        <v>566.5</v>
      </c>
      <c r="F135" s="14">
        <f ca="1">IFERROR(__xludf.DUMMYFUNCTION("""COMPUTED_VALUE"""),0.472197705207413)</f>
        <v>0.472197705207413</v>
      </c>
      <c r="G135" s="12">
        <f ca="1">IFERROR(__xludf.DUMMYFUNCTION("""COMPUTED_VALUE"""),288)</f>
        <v>288</v>
      </c>
      <c r="H135" s="14">
        <f ca="1">IFERROR(__xludf.DUMMYFUNCTION("""COMPUTED_VALUE"""),0.0381944444444444)</f>
        <v>3.8194444444444399E-2</v>
      </c>
      <c r="I135" s="12">
        <f ca="1">IFERROR(__xludf.DUMMYFUNCTION("""COMPUTED_VALUE"""),297.35)</f>
        <v>297.35000000000002</v>
      </c>
      <c r="J135" s="14">
        <f ca="1">IFERROR(__xludf.DUMMYFUNCTION("""COMPUTED_VALUE"""),0.00554901631074483)</f>
        <v>5.5490163107448304E-3</v>
      </c>
      <c r="K135" s="12" t="str">
        <f ca="1">IFERROR(__xludf.DUMMYFUNCTION("""COMPUTED_VALUE"""),"Retail")</f>
        <v>Retail</v>
      </c>
      <c r="L135" s="12" t="str">
        <f ca="1">IFERROR(__xludf.DUMMYFUNCTION("""COMPUTED_VALUE"""),"BOM:532156")</f>
        <v>BOM:532156</v>
      </c>
      <c r="M135" s="12" t="str">
        <f ca="1">IFERROR(__xludf.DUMMYFUNCTION("""COMPUTED_VALUE"""),"No")</f>
        <v>No</v>
      </c>
      <c r="N135" s="12" t="str">
        <f ca="1">IFERROR(__xludf.DUMMYFUNCTION("""COMPUTED_VALUE"""),"No")</f>
        <v>No</v>
      </c>
      <c r="O135" s="12" t="str">
        <f ca="1">IFERROR(__xludf.DUMMYFUNCTION("""COMPUTED_VALUE"""),"Good Stock")</f>
        <v>Good Stock</v>
      </c>
      <c r="P135" s="12" t="str">
        <f ca="1">IFERROR(__xludf.DUMMYFUNCTION("""COMPUTED_VALUE"""),"Low Cap")</f>
        <v>Low Cap</v>
      </c>
    </row>
    <row r="136" spans="1:16">
      <c r="A136" s="12" t="str">
        <f ca="1">IFERROR(__xludf.DUMMYFUNCTION("""COMPUTED_VALUE"""),"Polyplex Corporation")</f>
        <v>Polyplex Corporation</v>
      </c>
      <c r="B136" s="13">
        <f ca="1">IFERROR(__xludf.DUMMYFUNCTION("""COMPUTED_VALUE"""),4868.970546)</f>
        <v>4868.9705459999996</v>
      </c>
      <c r="C136" s="12">
        <f ca="1">IFERROR(__xludf.DUMMYFUNCTION("""COMPUTED_VALUE"""),1555)</f>
        <v>1555</v>
      </c>
      <c r="D136" s="12">
        <f ca="1">IFERROR(__xludf.DUMMYFUNCTION("""COMPUTED_VALUE"""),7.36)</f>
        <v>7.36</v>
      </c>
      <c r="E136" s="12">
        <f ca="1">IFERROR(__xludf.DUMMYFUNCTION("""COMPUTED_VALUE"""),2870)</f>
        <v>2870</v>
      </c>
      <c r="F136" s="14">
        <f ca="1">IFERROR(__xludf.DUMMYFUNCTION("""COMPUTED_VALUE"""),0.458188153310104)</f>
        <v>0.45818815331010398</v>
      </c>
      <c r="G136" s="12">
        <f ca="1">IFERROR(__xludf.DUMMYFUNCTION("""COMPUTED_VALUE"""),1463.3)</f>
        <v>1463.3</v>
      </c>
      <c r="H136" s="14">
        <f ca="1">IFERROR(__xludf.DUMMYFUNCTION("""COMPUTED_VALUE"""),0.062666575548418)</f>
        <v>6.2666575548417994E-2</v>
      </c>
      <c r="I136" s="12">
        <f ca="1">IFERROR(__xludf.DUMMYFUNCTION("""COMPUTED_VALUE"""),1559.1)</f>
        <v>1559.1</v>
      </c>
      <c r="J136" s="14">
        <f ca="1">IFERROR(__xludf.DUMMYFUNCTION("""COMPUTED_VALUE"""),-0.0026297222756718)</f>
        <v>-2.6297222756718002E-3</v>
      </c>
      <c r="K136" s="12" t="str">
        <f ca="1">IFERROR(__xludf.DUMMYFUNCTION("""COMPUTED_VALUE"""),"packaging")</f>
        <v>packaging</v>
      </c>
      <c r="L136" s="12" t="str">
        <f ca="1">IFERROR(__xludf.DUMMYFUNCTION("""COMPUTED_VALUE"""),"BOM:524051")</f>
        <v>BOM:524051</v>
      </c>
      <c r="M136" s="12" t="str">
        <f ca="1">IFERROR(__xludf.DUMMYFUNCTION("""COMPUTED_VALUE"""),"No")</f>
        <v>No</v>
      </c>
      <c r="N136" s="12" t="str">
        <f ca="1">IFERROR(__xludf.DUMMYFUNCTION("""COMPUTED_VALUE"""),"No")</f>
        <v>No</v>
      </c>
      <c r="O136" s="12" t="str">
        <f ca="1">IFERROR(__xludf.DUMMYFUNCTION("""COMPUTED_VALUE"""),"Good Stock")</f>
        <v>Good Stock</v>
      </c>
      <c r="P136" s="12" t="str">
        <f ca="1">IFERROR(__xludf.DUMMYFUNCTION("""COMPUTED_VALUE"""),"Low Cap")</f>
        <v>Low Cap</v>
      </c>
    </row>
    <row r="137" spans="1:16">
      <c r="A137" s="12" t="str">
        <f ca="1">IFERROR(__xludf.DUMMYFUNCTION("""COMPUTED_VALUE"""),"Zensar Tech")</f>
        <v>Zensar Tech</v>
      </c>
      <c r="B137" s="13">
        <f ca="1">IFERROR(__xludf.DUMMYFUNCTION("""COMPUTED_VALUE"""),4785.1628071)</f>
        <v>4785.1628070999996</v>
      </c>
      <c r="C137" s="12">
        <f ca="1">IFERROR(__xludf.DUMMYFUNCTION("""COMPUTED_VALUE"""),211.35)</f>
        <v>211.35</v>
      </c>
      <c r="D137" s="12">
        <f ca="1">IFERROR(__xludf.DUMMYFUNCTION("""COMPUTED_VALUE"""),13.73)</f>
        <v>13.73</v>
      </c>
      <c r="E137" s="12">
        <f ca="1">IFERROR(__xludf.DUMMYFUNCTION("""COMPUTED_VALUE"""),496.1)</f>
        <v>496.1</v>
      </c>
      <c r="F137" s="14">
        <f ca="1">IFERROR(__xludf.DUMMYFUNCTION("""COMPUTED_VALUE"""),0.573977020761943)</f>
        <v>0.57397702076194301</v>
      </c>
      <c r="G137" s="12">
        <f ca="1">IFERROR(__xludf.DUMMYFUNCTION("""COMPUTED_VALUE"""),202)</f>
        <v>202</v>
      </c>
      <c r="H137" s="14">
        <f ca="1">IFERROR(__xludf.DUMMYFUNCTION("""COMPUTED_VALUE"""),0.0462871287128712)</f>
        <v>4.6287128712871203E-2</v>
      </c>
      <c r="I137" s="12">
        <f ca="1">IFERROR(__xludf.DUMMYFUNCTION("""COMPUTED_VALUE"""),212.4)</f>
        <v>212.4</v>
      </c>
      <c r="J137" s="14">
        <f ca="1">IFERROR(__xludf.DUMMYFUNCTION("""COMPUTED_VALUE"""),-0.00494350282485881)</f>
        <v>-4.9435028248588104E-3</v>
      </c>
      <c r="K137" s="12" t="str">
        <f ca="1">IFERROR(__xludf.DUMMYFUNCTION("""COMPUTED_VALUE"""),"IT")</f>
        <v>IT</v>
      </c>
      <c r="L137" s="12" t="str">
        <f ca="1">IFERROR(__xludf.DUMMYFUNCTION("""COMPUTED_VALUE"""),"BOM:504067")</f>
        <v>BOM:504067</v>
      </c>
      <c r="M137" s="12" t="str">
        <f ca="1">IFERROR(__xludf.DUMMYFUNCTION("""COMPUTED_VALUE"""),"No")</f>
        <v>No</v>
      </c>
      <c r="N137" s="12" t="str">
        <f ca="1">IFERROR(__xludf.DUMMYFUNCTION("""COMPUTED_VALUE"""),"No")</f>
        <v>No</v>
      </c>
      <c r="O137" s="12" t="str">
        <f ca="1">IFERROR(__xludf.DUMMYFUNCTION("""COMPUTED_VALUE"""),"Good Stock")</f>
        <v>Good Stock</v>
      </c>
      <c r="P137" s="12" t="str">
        <f ca="1">IFERROR(__xludf.DUMMYFUNCTION("""COMPUTED_VALUE"""),"Low Cap")</f>
        <v>Low Cap</v>
      </c>
    </row>
    <row r="138" spans="1:16">
      <c r="A138" s="12" t="str">
        <f ca="1">IFERROR(__xludf.DUMMYFUNCTION("""COMPUTED_VALUE"""),"Lux Industries")</f>
        <v>Lux Industries</v>
      </c>
      <c r="B138" s="13">
        <f ca="1">IFERROR(__xludf.DUMMYFUNCTION("""COMPUTED_VALUE"""),4564.43)</f>
        <v>4564.43</v>
      </c>
      <c r="C138" s="12">
        <f ca="1">IFERROR(__xludf.DUMMYFUNCTION("""COMPUTED_VALUE"""),1524.7)</f>
        <v>1524.7</v>
      </c>
      <c r="D138" s="12">
        <f ca="1">IFERROR(__xludf.DUMMYFUNCTION("""COMPUTED_VALUE"""),17.12)</f>
        <v>17.12</v>
      </c>
      <c r="E138" s="12">
        <f ca="1">IFERROR(__xludf.DUMMYFUNCTION("""COMPUTED_VALUE"""),3925)</f>
        <v>3925</v>
      </c>
      <c r="F138" s="14">
        <f ca="1">IFERROR(__xludf.DUMMYFUNCTION("""COMPUTED_VALUE"""),0.611541401273885)</f>
        <v>0.61154140127388501</v>
      </c>
      <c r="G138" s="12">
        <f ca="1">IFERROR(__xludf.DUMMYFUNCTION("""COMPUTED_VALUE"""),1515.1)</f>
        <v>1515.1</v>
      </c>
      <c r="H138" s="14">
        <f ca="1">IFERROR(__xludf.DUMMYFUNCTION("""COMPUTED_VALUE"""),0.00633621543132475)</f>
        <v>6.3362154313247503E-3</v>
      </c>
      <c r="I138" s="12">
        <f ca="1">IFERROR(__xludf.DUMMYFUNCTION("""COMPUTED_VALUE"""),1526.65)</f>
        <v>1526.65</v>
      </c>
      <c r="J138" s="14">
        <f ca="1">IFERROR(__xludf.DUMMYFUNCTION("""COMPUTED_VALUE"""),-0.00127730652081357)</f>
        <v>-1.27730652081357E-3</v>
      </c>
      <c r="K138" s="12" t="str">
        <f ca="1">IFERROR(__xludf.DUMMYFUNCTION("""COMPUTED_VALUE"""),"Textile")</f>
        <v>Textile</v>
      </c>
      <c r="L138" s="12" t="str">
        <f ca="1">IFERROR(__xludf.DUMMYFUNCTION("""COMPUTED_VALUE"""),"BOM:539542")</f>
        <v>BOM:539542</v>
      </c>
      <c r="M138" s="12" t="str">
        <f ca="1">IFERROR(__xludf.DUMMYFUNCTION("""COMPUTED_VALUE"""),"No")</f>
        <v>No</v>
      </c>
      <c r="N138" s="12" t="str">
        <f ca="1">IFERROR(__xludf.DUMMYFUNCTION("""COMPUTED_VALUE"""),"No")</f>
        <v>No</v>
      </c>
      <c r="O138" s="12" t="str">
        <f ca="1">IFERROR(__xludf.DUMMYFUNCTION("""COMPUTED_VALUE"""),"Good Stock")</f>
        <v>Good Stock</v>
      </c>
      <c r="P138" s="12" t="str">
        <f ca="1">IFERROR(__xludf.DUMMYFUNCTION("""COMPUTED_VALUE"""),"Low Cap")</f>
        <v>Low Cap</v>
      </c>
    </row>
    <row r="139" spans="1:16">
      <c r="A139" s="12" t="str">
        <f ca="1">IFERROR(__xludf.DUMMYFUNCTION("""COMPUTED_VALUE"""),"Heidelberg Cement")</f>
        <v>Heidelberg Cement</v>
      </c>
      <c r="B139" s="13">
        <f ca="1">IFERROR(__xludf.DUMMYFUNCTION("""COMPUTED_VALUE"""),4230.867)</f>
        <v>4230.8670000000002</v>
      </c>
      <c r="C139" s="12">
        <f ca="1">IFERROR(__xludf.DUMMYFUNCTION("""COMPUTED_VALUE"""),186.9)</f>
        <v>186.9</v>
      </c>
      <c r="D139" s="12">
        <f ca="1">IFERROR(__xludf.DUMMYFUNCTION("""COMPUTED_VALUE"""),23.18)</f>
        <v>23.18</v>
      </c>
      <c r="E139" s="12">
        <f ca="1">IFERROR(__xludf.DUMMYFUNCTION("""COMPUTED_VALUE"""),242)</f>
        <v>242</v>
      </c>
      <c r="F139" s="14">
        <f ca="1">IFERROR(__xludf.DUMMYFUNCTION("""COMPUTED_VALUE"""),0.227685950413223)</f>
        <v>0.22768595041322301</v>
      </c>
      <c r="G139" s="12">
        <f ca="1">IFERROR(__xludf.DUMMYFUNCTION("""COMPUTED_VALUE"""),164)</f>
        <v>164</v>
      </c>
      <c r="H139" s="14">
        <f ca="1">IFERROR(__xludf.DUMMYFUNCTION("""COMPUTED_VALUE"""),0.139634146341463)</f>
        <v>0.13963414634146301</v>
      </c>
      <c r="I139" s="12">
        <f ca="1">IFERROR(__xludf.DUMMYFUNCTION("""COMPUTED_VALUE"""),186.85)</f>
        <v>186.85</v>
      </c>
      <c r="J139" s="14">
        <f ca="1">IFERROR(__xludf.DUMMYFUNCTION("""COMPUTED_VALUE"""),0.000267594327000328)</f>
        <v>2.6759432700032798E-4</v>
      </c>
      <c r="K139" s="12" t="str">
        <f ca="1">IFERROR(__xludf.DUMMYFUNCTION("""COMPUTED_VALUE"""),"Cement")</f>
        <v>Cement</v>
      </c>
      <c r="L139" s="12" t="str">
        <f ca="1">IFERROR(__xludf.DUMMYFUNCTION("""COMPUTED_VALUE"""),"BOM:500292")</f>
        <v>BOM:500292</v>
      </c>
      <c r="M139" s="12" t="str">
        <f ca="1">IFERROR(__xludf.DUMMYFUNCTION("""COMPUTED_VALUE"""),"No")</f>
        <v>No</v>
      </c>
      <c r="N139" s="12" t="str">
        <f ca="1">IFERROR(__xludf.DUMMYFUNCTION("""COMPUTED_VALUE"""),"No")</f>
        <v>No</v>
      </c>
      <c r="O139" s="12" t="str">
        <f ca="1">IFERROR(__xludf.DUMMYFUNCTION("""COMPUTED_VALUE"""),"Good Stock")</f>
        <v>Good Stock</v>
      </c>
      <c r="P139" s="12" t="str">
        <f ca="1">IFERROR(__xludf.DUMMYFUNCTION("""COMPUTED_VALUE"""),"Low Cap")</f>
        <v>Low Cap</v>
      </c>
    </row>
    <row r="140" spans="1:16">
      <c r="A140" s="12" t="str">
        <f ca="1">IFERROR(__xludf.DUMMYFUNCTION("""COMPUTED_VALUE"""),"Aarti Drugs")</f>
        <v>Aarti Drugs</v>
      </c>
      <c r="B140" s="13">
        <f ca="1">IFERROR(__xludf.DUMMYFUNCTION("""COMPUTED_VALUE"""),4148.48)</f>
        <v>4148.4799999999996</v>
      </c>
      <c r="C140" s="12">
        <f ca="1">IFERROR(__xludf.DUMMYFUNCTION("""COMPUTED_VALUE"""),448)</f>
        <v>448</v>
      </c>
      <c r="D140" s="12">
        <f ca="1">IFERROR(__xludf.DUMMYFUNCTION("""COMPUTED_VALUE"""),22.17)</f>
        <v>22.17</v>
      </c>
      <c r="E140" s="12">
        <f ca="1">IFERROR(__xludf.DUMMYFUNCTION("""COMPUTED_VALUE"""),537.4)</f>
        <v>537.4</v>
      </c>
      <c r="F140" s="14">
        <f ca="1">IFERROR(__xludf.DUMMYFUNCTION("""COMPUTED_VALUE"""),0.166356531447711)</f>
        <v>0.16635653144771101</v>
      </c>
      <c r="G140" s="12">
        <f ca="1">IFERROR(__xludf.DUMMYFUNCTION("""COMPUTED_VALUE"""),378.4)</f>
        <v>378.4</v>
      </c>
      <c r="H140" s="14">
        <f ca="1">IFERROR(__xludf.DUMMYFUNCTION("""COMPUTED_VALUE"""),0.183932346723044)</f>
        <v>0.18393234672304401</v>
      </c>
      <c r="I140" s="12">
        <f ca="1">IFERROR(__xludf.DUMMYFUNCTION("""COMPUTED_VALUE"""),445.5)</f>
        <v>445.5</v>
      </c>
      <c r="J140" s="14">
        <f ca="1">IFERROR(__xludf.DUMMYFUNCTION("""COMPUTED_VALUE"""),0.00561167227833894)</f>
        <v>5.6116722783389403E-3</v>
      </c>
      <c r="K140" s="12" t="str">
        <f ca="1">IFERROR(__xludf.DUMMYFUNCTION("""COMPUTED_VALUE"""),"Pharma")</f>
        <v>Pharma</v>
      </c>
      <c r="L140" s="12" t="str">
        <f ca="1">IFERROR(__xludf.DUMMYFUNCTION("""COMPUTED_VALUE"""),"BOM:524348")</f>
        <v>BOM:524348</v>
      </c>
      <c r="M140" s="12" t="str">
        <f ca="1">IFERROR(__xludf.DUMMYFUNCTION("""COMPUTED_VALUE"""),"No")</f>
        <v>No</v>
      </c>
      <c r="N140" s="12" t="str">
        <f ca="1">IFERROR(__xludf.DUMMYFUNCTION("""COMPUTED_VALUE"""),"No")</f>
        <v>No</v>
      </c>
      <c r="O140" s="12" t="str">
        <f ca="1">IFERROR(__xludf.DUMMYFUNCTION("""COMPUTED_VALUE"""),"Good Stock")</f>
        <v>Good Stock</v>
      </c>
      <c r="P140" s="12" t="str">
        <f ca="1">IFERROR(__xludf.DUMMYFUNCTION("""COMPUTED_VALUE"""),"Low Cap")</f>
        <v>Low Cap</v>
      </c>
    </row>
    <row r="141" spans="1:16">
      <c r="A141" s="12" t="str">
        <f ca="1">IFERROR(__xludf.DUMMYFUNCTION("""COMPUTED_VALUE"""),"Rossari Biotech")</f>
        <v>Rossari Biotech</v>
      </c>
      <c r="B141" s="13">
        <f ca="1">IFERROR(__xludf.DUMMYFUNCTION("""COMPUTED_VALUE"""),3951.357)</f>
        <v>3951.357</v>
      </c>
      <c r="C141" s="12">
        <f ca="1">IFERROR(__xludf.DUMMYFUNCTION("""COMPUTED_VALUE"""),717)</f>
        <v>717</v>
      </c>
      <c r="D141" s="12">
        <f ca="1">IFERROR(__xludf.DUMMYFUNCTION("""COMPUTED_VALUE"""),39.87)</f>
        <v>39.869999999999997</v>
      </c>
      <c r="E141" s="12">
        <f ca="1">IFERROR(__xludf.DUMMYFUNCTION("""COMPUTED_VALUE"""),1375)</f>
        <v>1375</v>
      </c>
      <c r="F141" s="14">
        <f ca="1">IFERROR(__xludf.DUMMYFUNCTION("""COMPUTED_VALUE"""),0.478545454545454)</f>
        <v>0.478545454545454</v>
      </c>
      <c r="G141" s="12">
        <f ca="1">IFERROR(__xludf.DUMMYFUNCTION("""COMPUTED_VALUE"""),675)</f>
        <v>675</v>
      </c>
      <c r="H141" s="14">
        <f ca="1">IFERROR(__xludf.DUMMYFUNCTION("""COMPUTED_VALUE"""),0.0622222222222222)</f>
        <v>6.22222222222222E-2</v>
      </c>
      <c r="I141" s="12">
        <f ca="1">IFERROR(__xludf.DUMMYFUNCTION("""COMPUTED_VALUE"""),726.2)</f>
        <v>726.2</v>
      </c>
      <c r="J141" s="14">
        <f ca="1">IFERROR(__xludf.DUMMYFUNCTION("""COMPUTED_VALUE"""),-0.0126686863123107)</f>
        <v>-1.26686863123107E-2</v>
      </c>
      <c r="K141" s="12" t="str">
        <f ca="1">IFERROR(__xludf.DUMMYFUNCTION("""COMPUTED_VALUE"""),"Chemical")</f>
        <v>Chemical</v>
      </c>
      <c r="L141" s="12" t="str">
        <f ca="1">IFERROR(__xludf.DUMMYFUNCTION("""COMPUTED_VALUE"""),"BOM:543213")</f>
        <v>BOM:543213</v>
      </c>
      <c r="M141" s="12" t="str">
        <f ca="1">IFERROR(__xludf.DUMMYFUNCTION("""COMPUTED_VALUE"""),"No")</f>
        <v>No</v>
      </c>
      <c r="N141" s="12" t="str">
        <f ca="1">IFERROR(__xludf.DUMMYFUNCTION("""COMPUTED_VALUE"""),"No")</f>
        <v>No</v>
      </c>
      <c r="O141" s="12" t="str">
        <f ca="1">IFERROR(__xludf.DUMMYFUNCTION("""COMPUTED_VALUE"""),"Good Stock")</f>
        <v>Good Stock</v>
      </c>
      <c r="P141" s="12" t="str">
        <f ca="1">IFERROR(__xludf.DUMMYFUNCTION("""COMPUTED_VALUE"""),"Low Cap")</f>
        <v>Low Cap</v>
      </c>
    </row>
    <row r="142" spans="1:16">
      <c r="A142" s="12" t="str">
        <f ca="1">IFERROR(__xludf.DUMMYFUNCTION("""COMPUTED_VALUE"""),"Bharat Rasayan")</f>
        <v>Bharat Rasayan</v>
      </c>
      <c r="B142" s="13">
        <f ca="1">IFERROR(__xludf.DUMMYFUNCTION("""COMPUTED_VALUE"""),3941.666)</f>
        <v>3941.6660000000002</v>
      </c>
      <c r="C142" s="12">
        <f ca="1">IFERROR(__xludf.DUMMYFUNCTION("""COMPUTED_VALUE"""),9517.9)</f>
        <v>9517.9</v>
      </c>
      <c r="D142" s="12">
        <f ca="1">IFERROR(__xludf.DUMMYFUNCTION("""COMPUTED_VALUE"""),23.12)</f>
        <v>23.12</v>
      </c>
      <c r="E142" s="12">
        <f ca="1">IFERROR(__xludf.DUMMYFUNCTION("""COMPUTED_VALUE"""),14362.9)</f>
        <v>14362.9</v>
      </c>
      <c r="F142" s="14">
        <f ca="1">IFERROR(__xludf.DUMMYFUNCTION("""COMPUTED_VALUE"""),0.33732741995001)</f>
        <v>0.33732741995000998</v>
      </c>
      <c r="G142" s="12">
        <f ca="1">IFERROR(__xludf.DUMMYFUNCTION("""COMPUTED_VALUE"""),9301)</f>
        <v>9301</v>
      </c>
      <c r="H142" s="14">
        <f ca="1">IFERROR(__xludf.DUMMYFUNCTION("""COMPUTED_VALUE"""),0.0233200731104181)</f>
        <v>2.3320073110418098E-2</v>
      </c>
      <c r="I142" s="12">
        <f ca="1">IFERROR(__xludf.DUMMYFUNCTION("""COMPUTED_VALUE"""),9497.7)</f>
        <v>9497.7000000000007</v>
      </c>
      <c r="J142" s="14">
        <f ca="1">IFERROR(__xludf.DUMMYFUNCTION("""COMPUTED_VALUE"""),0.00212683070638143)</f>
        <v>2.12683070638143E-3</v>
      </c>
      <c r="K142" s="12" t="str">
        <f ca="1">IFERROR(__xludf.DUMMYFUNCTION("""COMPUTED_VALUE"""),"Agrochemical")</f>
        <v>Agrochemical</v>
      </c>
      <c r="L142" s="12" t="str">
        <f ca="1">IFERROR(__xludf.DUMMYFUNCTION("""COMPUTED_VALUE"""),"BOM:590021")</f>
        <v>BOM:590021</v>
      </c>
      <c r="M142" s="12" t="str">
        <f ca="1">IFERROR(__xludf.DUMMYFUNCTION("""COMPUTED_VALUE"""),"No")</f>
        <v>No</v>
      </c>
      <c r="N142" s="12" t="str">
        <f ca="1">IFERROR(__xludf.DUMMYFUNCTION("""COMPUTED_VALUE"""),"No")</f>
        <v>No</v>
      </c>
      <c r="O142" s="12" t="str">
        <f ca="1">IFERROR(__xludf.DUMMYFUNCTION("""COMPUTED_VALUE"""),"Good Stock")</f>
        <v>Good Stock</v>
      </c>
      <c r="P142" s="12" t="str">
        <f ca="1">IFERROR(__xludf.DUMMYFUNCTION("""COMPUTED_VALUE"""),"Low Cap")</f>
        <v>Low Cap</v>
      </c>
    </row>
    <row r="143" spans="1:16">
      <c r="A143" s="12" t="str">
        <f ca="1">IFERROR(__xludf.DUMMYFUNCTION("""COMPUTED_VALUE"""),"Dhanuka Agritech")</f>
        <v>Dhanuka Agritech</v>
      </c>
      <c r="B143" s="13">
        <f ca="1">IFERROR(__xludf.DUMMYFUNCTION("""COMPUTED_VALUE"""),3345.7206687)</f>
        <v>3345.7206686999998</v>
      </c>
      <c r="C143" s="12">
        <f ca="1">IFERROR(__xludf.DUMMYFUNCTION("""COMPUTED_VALUE"""),717.5)</f>
        <v>717.5</v>
      </c>
      <c r="D143" s="12">
        <f ca="1">IFERROR(__xludf.DUMMYFUNCTION("""COMPUTED_VALUE"""),15.26)</f>
        <v>15.26</v>
      </c>
      <c r="E143" s="12">
        <f ca="1">IFERROR(__xludf.DUMMYFUNCTION("""COMPUTED_VALUE"""),815)</f>
        <v>815</v>
      </c>
      <c r="F143" s="14">
        <f ca="1">IFERROR(__xludf.DUMMYFUNCTION("""COMPUTED_VALUE"""),0.11963190184049)</f>
        <v>0.11963190184049</v>
      </c>
      <c r="G143" s="12">
        <f ca="1">IFERROR(__xludf.DUMMYFUNCTION("""COMPUTED_VALUE"""),630.65)</f>
        <v>630.65</v>
      </c>
      <c r="H143" s="14">
        <f ca="1">IFERROR(__xludf.DUMMYFUNCTION("""COMPUTED_VALUE"""),0.137715055894711)</f>
        <v>0.137715055894711</v>
      </c>
      <c r="I143" s="12">
        <f ca="1">IFERROR(__xludf.DUMMYFUNCTION("""COMPUTED_VALUE"""),724.95)</f>
        <v>724.95</v>
      </c>
      <c r="J143" s="14">
        <f ca="1">IFERROR(__xludf.DUMMYFUNCTION("""COMPUTED_VALUE"""),-0.0102765707979861)</f>
        <v>-1.02765707979861E-2</v>
      </c>
      <c r="K143" s="12" t="str">
        <f ca="1">IFERROR(__xludf.DUMMYFUNCTION("""COMPUTED_VALUE"""),"Agrochemical")</f>
        <v>Agrochemical</v>
      </c>
      <c r="L143" s="12" t="str">
        <f ca="1">IFERROR(__xludf.DUMMYFUNCTION("""COMPUTED_VALUE"""),"BOM:507717")</f>
        <v>BOM:507717</v>
      </c>
      <c r="M143" s="12" t="str">
        <f ca="1">IFERROR(__xludf.DUMMYFUNCTION("""COMPUTED_VALUE"""),"No")</f>
        <v>No</v>
      </c>
      <c r="N143" s="12" t="str">
        <f ca="1">IFERROR(__xludf.DUMMYFUNCTION("""COMPUTED_VALUE"""),"No")</f>
        <v>No</v>
      </c>
      <c r="O143" s="12" t="str">
        <f ca="1">IFERROR(__xludf.DUMMYFUNCTION("""COMPUTED_VALUE"""),"Good Stock")</f>
        <v>Good Stock</v>
      </c>
      <c r="P143" s="12" t="str">
        <f ca="1">IFERROR(__xludf.DUMMYFUNCTION("""COMPUTED_VALUE"""),"Low Cap")</f>
        <v>Low Cap</v>
      </c>
    </row>
    <row r="144" spans="1:16">
      <c r="A144" s="12" t="str">
        <f ca="1">IFERROR(__xludf.DUMMYFUNCTION("""COMPUTED_VALUE"""),"Somany home innovation ltd")</f>
        <v>Somany home innovation ltd</v>
      </c>
      <c r="B144" s="13">
        <f ca="1">IFERROR(__xludf.DUMMYFUNCTION("""COMPUTED_VALUE"""),3335.191069)</f>
        <v>3335.191069</v>
      </c>
      <c r="C144" s="12">
        <f ca="1">IFERROR(__xludf.DUMMYFUNCTION("""COMPUTED_VALUE"""),462.25)</f>
        <v>462.25</v>
      </c>
      <c r="D144" s="12">
        <f ca="1">IFERROR(__xludf.DUMMYFUNCTION("""COMPUTED_VALUE"""),33.36)</f>
        <v>33.36</v>
      </c>
      <c r="E144" s="12">
        <f ca="1">IFERROR(__xludf.DUMMYFUNCTION("""COMPUTED_VALUE"""),480.4)</f>
        <v>480.4</v>
      </c>
      <c r="F144" s="14">
        <f ca="1">IFERROR(__xludf.DUMMYFUNCTION("""COMPUTED_VALUE"""),0.0377810158201498)</f>
        <v>3.7781015820149803E-2</v>
      </c>
      <c r="G144" s="12">
        <f ca="1">IFERROR(__xludf.DUMMYFUNCTION("""COMPUTED_VALUE"""),258.95)</f>
        <v>258.95</v>
      </c>
      <c r="H144" s="14">
        <f ca="1">IFERROR(__xludf.DUMMYFUNCTION("""COMPUTED_VALUE"""),0.785093647422282)</f>
        <v>0.78509364742228205</v>
      </c>
      <c r="I144" s="12">
        <f ca="1">IFERROR(__xludf.DUMMYFUNCTION("""COMPUTED_VALUE"""),473.2)</f>
        <v>473.2</v>
      </c>
      <c r="J144" s="14">
        <f ca="1">IFERROR(__xludf.DUMMYFUNCTION("""COMPUTED_VALUE"""),-0.0231403212172442)</f>
        <v>-2.31403212172442E-2</v>
      </c>
      <c r="K144" s="12" t="str">
        <f ca="1">IFERROR(__xludf.DUMMYFUNCTION("""COMPUTED_VALUE"""),"Kitchen Appliances")</f>
        <v>Kitchen Appliances</v>
      </c>
      <c r="L144" s="12" t="str">
        <f ca="1">IFERROR(__xludf.DUMMYFUNCTION("""COMPUTED_VALUE"""),"BOM:542905")</f>
        <v>BOM:542905</v>
      </c>
      <c r="M144" s="12" t="str">
        <f ca="1">IFERROR(__xludf.DUMMYFUNCTION("""COMPUTED_VALUE"""),"No")</f>
        <v>No</v>
      </c>
      <c r="N144" s="12" t="str">
        <f ca="1">IFERROR(__xludf.DUMMYFUNCTION("""COMPUTED_VALUE"""),"No")</f>
        <v>No</v>
      </c>
      <c r="O144" s="12" t="str">
        <f ca="1">IFERROR(__xludf.DUMMYFUNCTION("""COMPUTED_VALUE"""),"Good Stock")</f>
        <v>Good Stock</v>
      </c>
      <c r="P144" s="12" t="str">
        <f ca="1">IFERROR(__xludf.DUMMYFUNCTION("""COMPUTED_VALUE"""),"Low Cap")</f>
        <v>Low Cap</v>
      </c>
    </row>
    <row r="145" spans="1:16">
      <c r="A145" s="12" t="str">
        <f ca="1">IFERROR(__xludf.DUMMYFUNCTION("""COMPUTED_VALUE"""),"Astec Lifesciences")</f>
        <v>Astec Lifesciences</v>
      </c>
      <c r="B145" s="13">
        <f ca="1">IFERROR(__xludf.DUMMYFUNCTION("""COMPUTED_VALUE"""),3279.733)</f>
        <v>3279.7330000000002</v>
      </c>
      <c r="C145" s="12">
        <f ca="1">IFERROR(__xludf.DUMMYFUNCTION("""COMPUTED_VALUE"""),1669.3)</f>
        <v>1669.3</v>
      </c>
      <c r="D145" s="12">
        <f ca="1">IFERROR(__xludf.DUMMYFUNCTION("""COMPUTED_VALUE"""),33.56)</f>
        <v>33.56</v>
      </c>
      <c r="E145" s="12">
        <f ca="1">IFERROR(__xludf.DUMMYFUNCTION("""COMPUTED_VALUE"""),2285.65)</f>
        <v>2285.65</v>
      </c>
      <c r="F145" s="14">
        <f ca="1">IFERROR(__xludf.DUMMYFUNCTION("""COMPUTED_VALUE"""),0.269660709207446)</f>
        <v>0.269660709207446</v>
      </c>
      <c r="G145" s="12">
        <f ca="1">IFERROR(__xludf.DUMMYFUNCTION("""COMPUTED_VALUE"""),1276.15)</f>
        <v>1276.1500000000001</v>
      </c>
      <c r="H145" s="14">
        <f ca="1">IFERROR(__xludf.DUMMYFUNCTION("""COMPUTED_VALUE"""),0.308075069545116)</f>
        <v>0.30807506954511599</v>
      </c>
      <c r="I145" s="12">
        <f ca="1">IFERROR(__xludf.DUMMYFUNCTION("""COMPUTED_VALUE"""),1635.25)</f>
        <v>1635.25</v>
      </c>
      <c r="J145" s="14">
        <f ca="1">IFERROR(__xludf.DUMMYFUNCTION("""COMPUTED_VALUE"""),0.02082250420425)</f>
        <v>2.0822504204250001E-2</v>
      </c>
      <c r="K145" s="12" t="str">
        <f ca="1">IFERROR(__xludf.DUMMYFUNCTION("""COMPUTED_VALUE"""),"Pharma")</f>
        <v>Pharma</v>
      </c>
      <c r="L145" s="12" t="str">
        <f ca="1">IFERROR(__xludf.DUMMYFUNCTION("""COMPUTED_VALUE"""),"BOM:533138")</f>
        <v>BOM:533138</v>
      </c>
      <c r="M145" s="12" t="str">
        <f ca="1">IFERROR(__xludf.DUMMYFUNCTION("""COMPUTED_VALUE"""),"No")</f>
        <v>No</v>
      </c>
      <c r="N145" s="12" t="str">
        <f ca="1">IFERROR(__xludf.DUMMYFUNCTION("""COMPUTED_VALUE"""),"No")</f>
        <v>No</v>
      </c>
      <c r="O145" s="12" t="str">
        <f ca="1">IFERROR(__xludf.DUMMYFUNCTION("""COMPUTED_VALUE"""),"Good Stock")</f>
        <v>Good Stock</v>
      </c>
      <c r="P145" s="12" t="str">
        <f ca="1">IFERROR(__xludf.DUMMYFUNCTION("""COMPUTED_VALUE"""),"Low Cap")</f>
        <v>Low Cap</v>
      </c>
    </row>
    <row r="146" spans="1:16">
      <c r="A146" s="12" t="str">
        <f ca="1">IFERROR(__xludf.DUMMYFUNCTION("""COMPUTED_VALUE"""),"Mold tech")</f>
        <v>Mold tech</v>
      </c>
      <c r="B146" s="13">
        <f ca="1">IFERROR(__xludf.DUMMYFUNCTION("""COMPUTED_VALUE"""),3279.606)</f>
        <v>3279.6060000000002</v>
      </c>
      <c r="C146" s="12">
        <f ca="1">IFERROR(__xludf.DUMMYFUNCTION("""COMPUTED_VALUE"""),988.1)</f>
        <v>988.1</v>
      </c>
      <c r="D146" s="12">
        <f ca="1">IFERROR(__xludf.DUMMYFUNCTION("""COMPUTED_VALUE"""),41.73)</f>
        <v>41.73</v>
      </c>
      <c r="E146" s="12">
        <f ca="1">IFERROR(__xludf.DUMMYFUNCTION("""COMPUTED_VALUE"""),1057.85)</f>
        <v>1057.8499999999999</v>
      </c>
      <c r="F146" s="14">
        <f ca="1">IFERROR(__xludf.DUMMYFUNCTION("""COMPUTED_VALUE"""),0.0659356241433094)</f>
        <v>6.5935624143309404E-2</v>
      </c>
      <c r="G146" s="12">
        <f ca="1">IFERROR(__xludf.DUMMYFUNCTION("""COMPUTED_VALUE"""),648.05)</f>
        <v>648.04999999999995</v>
      </c>
      <c r="H146" s="14">
        <f ca="1">IFERROR(__xludf.DUMMYFUNCTION("""COMPUTED_VALUE"""),0.52472803024458)</f>
        <v>0.52472803024458003</v>
      </c>
      <c r="I146" s="12">
        <f ca="1">IFERROR(__xludf.DUMMYFUNCTION("""COMPUTED_VALUE"""),991.35)</f>
        <v>991.35</v>
      </c>
      <c r="J146" s="14">
        <f ca="1">IFERROR(__xludf.DUMMYFUNCTION("""COMPUTED_VALUE"""),-0.00327835779492611)</f>
        <v>-3.2783577949261102E-3</v>
      </c>
      <c r="K146" s="12"/>
      <c r="L146" s="12" t="str">
        <f ca="1">IFERROR(__xludf.DUMMYFUNCTION("""COMPUTED_VALUE"""),"BOM:533080")</f>
        <v>BOM:533080</v>
      </c>
      <c r="M146" s="12" t="str">
        <f ca="1">IFERROR(__xludf.DUMMYFUNCTION("""COMPUTED_VALUE"""),"No")</f>
        <v>No</v>
      </c>
      <c r="N146" s="12" t="str">
        <f ca="1">IFERROR(__xludf.DUMMYFUNCTION("""COMPUTED_VALUE"""),"No")</f>
        <v>No</v>
      </c>
      <c r="O146" s="12" t="str">
        <f ca="1">IFERROR(__xludf.DUMMYFUNCTION("""COMPUTED_VALUE"""),"Good Stock")</f>
        <v>Good Stock</v>
      </c>
      <c r="P146" s="12" t="str">
        <f ca="1">IFERROR(__xludf.DUMMYFUNCTION("""COMPUTED_VALUE"""),"Low Cap")</f>
        <v>Low Cap</v>
      </c>
    </row>
    <row r="147" spans="1:16">
      <c r="A147" s="12" t="str">
        <f ca="1">IFERROR(__xludf.DUMMYFUNCTION("""COMPUTED_VALUE"""),"Hawkins Cooker")</f>
        <v>Hawkins Cooker</v>
      </c>
      <c r="B147" s="13">
        <f ca="1">IFERROR(__xludf.DUMMYFUNCTION("""COMPUTED_VALUE"""),3273.157)</f>
        <v>3273.1570000000002</v>
      </c>
      <c r="C147" s="12">
        <f ca="1">IFERROR(__xludf.DUMMYFUNCTION("""COMPUTED_VALUE"""),6195)</f>
        <v>6195</v>
      </c>
      <c r="D147" s="12">
        <f ca="1">IFERROR(__xludf.DUMMYFUNCTION("""COMPUTED_VALUE"""),34.69)</f>
        <v>34.69</v>
      </c>
      <c r="E147" s="12">
        <f ca="1">IFERROR(__xludf.DUMMYFUNCTION("""COMPUTED_VALUE"""),6572.75)</f>
        <v>6572.75</v>
      </c>
      <c r="F147" s="14">
        <f ca="1">IFERROR(__xludf.DUMMYFUNCTION("""COMPUTED_VALUE"""),0.0574721387547069)</f>
        <v>5.74721387547069E-2</v>
      </c>
      <c r="G147" s="12">
        <f ca="1">IFERROR(__xludf.DUMMYFUNCTION("""COMPUTED_VALUE"""),4932.05)</f>
        <v>4932.05</v>
      </c>
      <c r="H147" s="14">
        <f ca="1">IFERROR(__xludf.DUMMYFUNCTION("""COMPUTED_VALUE"""),0.256069991180138)</f>
        <v>0.25606999118013801</v>
      </c>
      <c r="I147" s="12">
        <f ca="1">IFERROR(__xludf.DUMMYFUNCTION("""COMPUTED_VALUE"""),6169.85)</f>
        <v>6169.85</v>
      </c>
      <c r="J147" s="14">
        <f ca="1">IFERROR(__xludf.DUMMYFUNCTION("""COMPUTED_VALUE"""),0.00407627413956573)</f>
        <v>4.07627413956573E-3</v>
      </c>
      <c r="K147" s="12" t="str">
        <f ca="1">IFERROR(__xludf.DUMMYFUNCTION("""COMPUTED_VALUE"""),"Consumer Electrical")</f>
        <v>Consumer Electrical</v>
      </c>
      <c r="L147" s="12" t="str">
        <f ca="1">IFERROR(__xludf.DUMMYFUNCTION("""COMPUTED_VALUE"""),"BOM:508486")</f>
        <v>BOM:508486</v>
      </c>
      <c r="M147" s="12" t="str">
        <f ca="1">IFERROR(__xludf.DUMMYFUNCTION("""COMPUTED_VALUE"""),"No")</f>
        <v>No</v>
      </c>
      <c r="N147" s="12" t="str">
        <f ca="1">IFERROR(__xludf.DUMMYFUNCTION("""COMPUTED_VALUE"""),"No")</f>
        <v>No</v>
      </c>
      <c r="O147" s="12" t="str">
        <f ca="1">IFERROR(__xludf.DUMMYFUNCTION("""COMPUTED_VALUE"""),"Good Stock")</f>
        <v>Good Stock</v>
      </c>
      <c r="P147" s="12" t="str">
        <f ca="1">IFERROR(__xludf.DUMMYFUNCTION("""COMPUTED_VALUE"""),"Low Cap")</f>
        <v>Low Cap</v>
      </c>
    </row>
    <row r="148" spans="1:16">
      <c r="A148" s="12" t="str">
        <f ca="1">IFERROR(__xludf.DUMMYFUNCTION("""COMPUTED_VALUE"""),"Advance Enzymes")</f>
        <v>Advance Enzymes</v>
      </c>
      <c r="B148" s="13">
        <f ca="1">IFERROR(__xludf.DUMMYFUNCTION("""COMPUTED_VALUE"""),3094.098595)</f>
        <v>3094.0985949999999</v>
      </c>
      <c r="C148" s="12">
        <f ca="1">IFERROR(__xludf.DUMMYFUNCTION("""COMPUTED_VALUE"""),276.7)</f>
        <v>276.7</v>
      </c>
      <c r="D148" s="12">
        <f ca="1">IFERROR(__xludf.DUMMYFUNCTION("""COMPUTED_VALUE"""),32.26)</f>
        <v>32.26</v>
      </c>
      <c r="E148" s="12">
        <f ca="1">IFERROR(__xludf.DUMMYFUNCTION("""COMPUTED_VALUE"""),354.9)</f>
        <v>354.9</v>
      </c>
      <c r="F148" s="14">
        <f ca="1">IFERROR(__xludf.DUMMYFUNCTION("""COMPUTED_VALUE"""),0.220343758805297)</f>
        <v>0.220343758805297</v>
      </c>
      <c r="G148" s="12">
        <f ca="1">IFERROR(__xludf.DUMMYFUNCTION("""COMPUTED_VALUE"""),258.4)</f>
        <v>258.39999999999998</v>
      </c>
      <c r="H148" s="14">
        <f ca="1">IFERROR(__xludf.DUMMYFUNCTION("""COMPUTED_VALUE"""),0.0708204334365325)</f>
        <v>7.0820433436532507E-2</v>
      </c>
      <c r="I148" s="12">
        <f ca="1">IFERROR(__xludf.DUMMYFUNCTION("""COMPUTED_VALUE"""),278.9)</f>
        <v>278.89999999999998</v>
      </c>
      <c r="J148" s="14">
        <f ca="1">IFERROR(__xludf.DUMMYFUNCTION("""COMPUTED_VALUE"""),-0.00788813194693434)</f>
        <v>-7.8881319469343396E-3</v>
      </c>
      <c r="K148" s="12" t="str">
        <f ca="1">IFERROR(__xludf.DUMMYFUNCTION("""COMPUTED_VALUE"""),"Chemical")</f>
        <v>Chemical</v>
      </c>
      <c r="L148" s="12" t="str">
        <f ca="1">IFERROR(__xludf.DUMMYFUNCTION("""COMPUTED_VALUE"""),"ADVENZYMES")</f>
        <v>ADVENZYMES</v>
      </c>
      <c r="M148" s="12" t="str">
        <f ca="1">IFERROR(__xludf.DUMMYFUNCTION("""COMPUTED_VALUE"""),"No")</f>
        <v>No</v>
      </c>
      <c r="N148" s="12" t="str">
        <f ca="1">IFERROR(__xludf.DUMMYFUNCTION("""COMPUTED_VALUE"""),"No")</f>
        <v>No</v>
      </c>
      <c r="O148" s="12" t="str">
        <f ca="1">IFERROR(__xludf.DUMMYFUNCTION("""COMPUTED_VALUE"""),"Good Stock")</f>
        <v>Good Stock</v>
      </c>
      <c r="P148" s="12" t="str">
        <f ca="1">IFERROR(__xludf.DUMMYFUNCTION("""COMPUTED_VALUE"""),"Low Cap")</f>
        <v>Low Cap</v>
      </c>
    </row>
    <row r="149" spans="1:16">
      <c r="A149" s="12" t="str">
        <f ca="1">IFERROR(__xludf.DUMMYFUNCTION("""COMPUTED_VALUE"""),"Thyrocare")</f>
        <v>Thyrocare</v>
      </c>
      <c r="B149" s="13">
        <f ca="1">IFERROR(__xludf.DUMMYFUNCTION("""COMPUTED_VALUE"""),3024.4291291)</f>
        <v>3024.4291291</v>
      </c>
      <c r="C149" s="12">
        <f ca="1">IFERROR(__xludf.DUMMYFUNCTION("""COMPUTED_VALUE"""),571.8)</f>
        <v>571.79999999999995</v>
      </c>
      <c r="D149" s="12">
        <f ca="1">IFERROR(__xludf.DUMMYFUNCTION("""COMPUTED_VALUE"""),35.81)</f>
        <v>35.81</v>
      </c>
      <c r="E149" s="12">
        <f ca="1">IFERROR(__xludf.DUMMYFUNCTION("""COMPUTED_VALUE"""),1087)</f>
        <v>1087</v>
      </c>
      <c r="F149" s="14">
        <f ca="1">IFERROR(__xludf.DUMMYFUNCTION("""COMPUTED_VALUE"""),0.473965041398344)</f>
        <v>0.473965041398344</v>
      </c>
      <c r="G149" s="12">
        <f ca="1">IFERROR(__xludf.DUMMYFUNCTION("""COMPUTED_VALUE"""),562.1)</f>
        <v>562.1</v>
      </c>
      <c r="H149" s="14">
        <f ca="1">IFERROR(__xludf.DUMMYFUNCTION("""COMPUTED_VALUE"""),0.0172567158868527)</f>
        <v>1.7256715886852701E-2</v>
      </c>
      <c r="I149" s="12">
        <f ca="1">IFERROR(__xludf.DUMMYFUNCTION("""COMPUTED_VALUE"""),574.7)</f>
        <v>574.70000000000005</v>
      </c>
      <c r="J149" s="14">
        <f ca="1">IFERROR(__xludf.DUMMYFUNCTION("""COMPUTED_VALUE"""),-0.00504611101444247)</f>
        <v>-5.0461110144424696E-3</v>
      </c>
      <c r="K149" s="12" t="str">
        <f ca="1">IFERROR(__xludf.DUMMYFUNCTION("""COMPUTED_VALUE"""),"Healthcare")</f>
        <v>Healthcare</v>
      </c>
      <c r="L149" s="12" t="str">
        <f ca="1">IFERROR(__xludf.DUMMYFUNCTION("""COMPUTED_VALUE"""),"THYROCARE")</f>
        <v>THYROCARE</v>
      </c>
      <c r="M149" s="12" t="str">
        <f ca="1">IFERROR(__xludf.DUMMYFUNCTION("""COMPUTED_VALUE"""),"No")</f>
        <v>No</v>
      </c>
      <c r="N149" s="12" t="str">
        <f ca="1">IFERROR(__xludf.DUMMYFUNCTION("""COMPUTED_VALUE"""),"No")</f>
        <v>No</v>
      </c>
      <c r="O149" s="12" t="str">
        <f ca="1">IFERROR(__xludf.DUMMYFUNCTION("""COMPUTED_VALUE"""),"Good Stock")</f>
        <v>Good Stock</v>
      </c>
      <c r="P149" s="12" t="str">
        <f ca="1">IFERROR(__xludf.DUMMYFUNCTION("""COMPUTED_VALUE"""),"Low Cap")</f>
        <v>Low Cap</v>
      </c>
    </row>
    <row r="150" spans="1:16">
      <c r="A150" s="12" t="str">
        <f ca="1">IFERROR(__xludf.DUMMYFUNCTION("""COMPUTED_VALUE"""),"Newgen")</f>
        <v>Newgen</v>
      </c>
      <c r="B150" s="13">
        <f ca="1">IFERROR(__xludf.DUMMYFUNCTION("""COMPUTED_VALUE"""),2664.205)</f>
        <v>2664.2049999999999</v>
      </c>
      <c r="C150" s="12">
        <f ca="1">IFERROR(__xludf.DUMMYFUNCTION("""COMPUTED_VALUE"""),382.15)</f>
        <v>382.15</v>
      </c>
      <c r="D150" s="12">
        <f ca="1">IFERROR(__xludf.DUMMYFUNCTION("""COMPUTED_VALUE"""),17.49)</f>
        <v>17.489999999999998</v>
      </c>
      <c r="E150" s="12">
        <f ca="1">IFERROR(__xludf.DUMMYFUNCTION("""COMPUTED_VALUE"""),671)</f>
        <v>671</v>
      </c>
      <c r="F150" s="14">
        <f ca="1">IFERROR(__xludf.DUMMYFUNCTION("""COMPUTED_VALUE"""),0.430476900149031)</f>
        <v>0.43047690014903101</v>
      </c>
      <c r="G150" s="12">
        <f ca="1">IFERROR(__xludf.DUMMYFUNCTION("""COMPUTED_VALUE"""),320.85)</f>
        <v>320.85000000000002</v>
      </c>
      <c r="H150" s="14">
        <f ca="1">IFERROR(__xludf.DUMMYFUNCTION("""COMPUTED_VALUE"""),0.191055010129343)</f>
        <v>0.19105501012934301</v>
      </c>
      <c r="I150" s="12">
        <f ca="1">IFERROR(__xludf.DUMMYFUNCTION("""COMPUTED_VALUE"""),362.3)</f>
        <v>362.3</v>
      </c>
      <c r="J150" s="14">
        <f ca="1">IFERROR(__xludf.DUMMYFUNCTION("""COMPUTED_VALUE"""),0.0547888490201489)</f>
        <v>5.4788849020148897E-2</v>
      </c>
      <c r="K150" s="12" t="str">
        <f ca="1">IFERROR(__xludf.DUMMYFUNCTION("""COMPUTED_VALUE"""),"IT")</f>
        <v>IT</v>
      </c>
      <c r="L150" s="12" t="str">
        <f ca="1">IFERROR(__xludf.DUMMYFUNCTION("""COMPUTED_VALUE"""),"BOM:540900")</f>
        <v>BOM:540900</v>
      </c>
      <c r="M150" s="12" t="str">
        <f ca="1">IFERROR(__xludf.DUMMYFUNCTION("""COMPUTED_VALUE"""),"No")</f>
        <v>No</v>
      </c>
      <c r="N150" s="12" t="str">
        <f ca="1">IFERROR(__xludf.DUMMYFUNCTION("""COMPUTED_VALUE"""),"No")</f>
        <v>No</v>
      </c>
      <c r="O150" s="12" t="str">
        <f ca="1">IFERROR(__xludf.DUMMYFUNCTION("""COMPUTED_VALUE"""),"Good Stock")</f>
        <v>Good Stock</v>
      </c>
      <c r="P150" s="12" t="str">
        <f ca="1">IFERROR(__xludf.DUMMYFUNCTION("""COMPUTED_VALUE"""),"Low Cap")</f>
        <v>Low Cap</v>
      </c>
    </row>
    <row r="151" spans="1:16">
      <c r="A151" s="12" t="str">
        <f ca="1">IFERROR(__xludf.DUMMYFUNCTION("""COMPUTED_VALUE"""),"Wipro")</f>
        <v>Wipro</v>
      </c>
      <c r="B151" s="13">
        <f ca="1">IFERROR(__xludf.DUMMYFUNCTION("""COMPUTED_VALUE"""),2618.5195811)</f>
        <v>2618.5195810999999</v>
      </c>
      <c r="C151" s="12">
        <f ca="1">IFERROR(__xludf.DUMMYFUNCTION("""COMPUTED_VALUE"""),393.65)</f>
        <v>393.65</v>
      </c>
      <c r="D151" s="12">
        <f ca="1">IFERROR(__xludf.DUMMYFUNCTION("""COMPUTED_VALUE"""),19.15)</f>
        <v>19.149999999999999</v>
      </c>
      <c r="E151" s="12">
        <f ca="1">IFERROR(__xludf.DUMMYFUNCTION("""COMPUTED_VALUE"""),666)</f>
        <v>666</v>
      </c>
      <c r="F151" s="14">
        <f ca="1">IFERROR(__xludf.DUMMYFUNCTION("""COMPUTED_VALUE"""),0.408933933933933)</f>
        <v>0.40893393393393301</v>
      </c>
      <c r="G151" s="12">
        <f ca="1">IFERROR(__xludf.DUMMYFUNCTION("""COMPUTED_VALUE"""),372.4)</f>
        <v>372.4</v>
      </c>
      <c r="H151" s="14">
        <f ca="1">IFERROR(__xludf.DUMMYFUNCTION("""COMPUTED_VALUE"""),0.0570622986036519)</f>
        <v>5.7062298603651897E-2</v>
      </c>
      <c r="I151" s="12">
        <f ca="1">IFERROR(__xludf.DUMMYFUNCTION("""COMPUTED_VALUE"""),394.45)</f>
        <v>394.45</v>
      </c>
      <c r="J151" s="14">
        <f ca="1">IFERROR(__xludf.DUMMYFUNCTION("""COMPUTED_VALUE"""),-0.0020281404487261)</f>
        <v>-2.0281404487261E-3</v>
      </c>
      <c r="K151" s="12" t="str">
        <f ca="1">IFERROR(__xludf.DUMMYFUNCTION("""COMPUTED_VALUE"""),"IT")</f>
        <v>IT</v>
      </c>
      <c r="L151" s="12" t="str">
        <f ca="1">IFERROR(__xludf.DUMMYFUNCTION("""COMPUTED_VALUE"""),"BOM:507685")</f>
        <v>BOM:507685</v>
      </c>
      <c r="M151" s="12" t="str">
        <f ca="1">IFERROR(__xludf.DUMMYFUNCTION("""COMPUTED_VALUE"""),"No")</f>
        <v>No</v>
      </c>
      <c r="N151" s="12" t="str">
        <f ca="1">IFERROR(__xludf.DUMMYFUNCTION("""COMPUTED_VALUE"""),"No")</f>
        <v>No</v>
      </c>
      <c r="O151" s="12" t="str">
        <f ca="1">IFERROR(__xludf.DUMMYFUNCTION("""COMPUTED_VALUE"""),"Good Stock")</f>
        <v>Good Stock</v>
      </c>
      <c r="P151" s="12" t="str">
        <f ca="1">IFERROR(__xludf.DUMMYFUNCTION("""COMPUTED_VALUE"""),"Low Cap")</f>
        <v>Low Cap</v>
      </c>
    </row>
    <row r="152" spans="1:16">
      <c r="A152" s="12" t="str">
        <f ca="1">IFERROR(__xludf.DUMMYFUNCTION("""COMPUTED_VALUE"""),"Gokaldas Export")</f>
        <v>Gokaldas Export</v>
      </c>
      <c r="B152" s="13">
        <f ca="1">IFERROR(__xludf.DUMMYFUNCTION("""COMPUTED_VALUE"""),2340.128)</f>
        <v>2340.1280000000002</v>
      </c>
      <c r="C152" s="12">
        <f ca="1">IFERROR(__xludf.DUMMYFUNCTION("""COMPUTED_VALUE"""),386)</f>
        <v>386</v>
      </c>
      <c r="D152" s="12">
        <f ca="1">IFERROR(__xludf.DUMMYFUNCTION("""COMPUTED_VALUE"""),13.46)</f>
        <v>13.46</v>
      </c>
      <c r="E152" s="12">
        <f ca="1">IFERROR(__xludf.DUMMYFUNCTION("""COMPUTED_VALUE"""),519.55)</f>
        <v>519.54999999999995</v>
      </c>
      <c r="F152" s="14">
        <f ca="1">IFERROR(__xludf.DUMMYFUNCTION("""COMPUTED_VALUE"""),0.257049369646809)</f>
        <v>0.25704936964680902</v>
      </c>
      <c r="G152" s="12">
        <f ca="1">IFERROR(__xludf.DUMMYFUNCTION("""COMPUTED_VALUE"""),301.1)</f>
        <v>301.10000000000002</v>
      </c>
      <c r="H152" s="14">
        <f ca="1">IFERROR(__xludf.DUMMYFUNCTION("""COMPUTED_VALUE"""),0.281966124211225)</f>
        <v>0.28196612421122502</v>
      </c>
      <c r="I152" s="12">
        <f ca="1">IFERROR(__xludf.DUMMYFUNCTION("""COMPUTED_VALUE"""),381.5)</f>
        <v>381.5</v>
      </c>
      <c r="J152" s="14">
        <f ca="1">IFERROR(__xludf.DUMMYFUNCTION("""COMPUTED_VALUE"""),0.0117955439056356)</f>
        <v>1.17955439056356E-2</v>
      </c>
      <c r="K152" s="12"/>
      <c r="L152" s="12" t="str">
        <f ca="1">IFERROR(__xludf.DUMMYFUNCTION("""COMPUTED_VALUE"""),"BOM:532630")</f>
        <v>BOM:532630</v>
      </c>
      <c r="M152" s="12" t="str">
        <f ca="1">IFERROR(__xludf.DUMMYFUNCTION("""COMPUTED_VALUE"""),"No")</f>
        <v>No</v>
      </c>
      <c r="N152" s="12" t="str">
        <f ca="1">IFERROR(__xludf.DUMMYFUNCTION("""COMPUTED_VALUE"""),"No")</f>
        <v>No</v>
      </c>
      <c r="O152" s="12" t="str">
        <f ca="1">IFERROR(__xludf.DUMMYFUNCTION("""COMPUTED_VALUE"""),"Good Stock")</f>
        <v>Good Stock</v>
      </c>
      <c r="P152" s="12" t="str">
        <f ca="1">IFERROR(__xludf.DUMMYFUNCTION("""COMPUTED_VALUE"""),"Low Cap")</f>
        <v>Low Cap</v>
      </c>
    </row>
    <row r="153" spans="1:16">
      <c r="A153" s="12" t="str">
        <f ca="1">IFERROR(__xludf.DUMMYFUNCTION("""COMPUTED_VALUE"""),"Apollo pipes")</f>
        <v>Apollo pipes</v>
      </c>
      <c r="B153" s="13">
        <f ca="1">IFERROR(__xludf.DUMMYFUNCTION("""COMPUTED_VALUE"""),1991.1000155)</f>
        <v>1991.1000154999999</v>
      </c>
      <c r="C153" s="12">
        <f ca="1">IFERROR(__xludf.DUMMYFUNCTION("""COMPUTED_VALUE"""),510)</f>
        <v>510</v>
      </c>
      <c r="D153" s="12">
        <f ca="1">IFERROR(__xludf.DUMMYFUNCTION("""COMPUTED_VALUE"""),64.75)</f>
        <v>64.75</v>
      </c>
      <c r="E153" s="12">
        <f ca="1">IFERROR(__xludf.DUMMYFUNCTION("""COMPUTED_VALUE"""),635.7)</f>
        <v>635.70000000000005</v>
      </c>
      <c r="F153" s="14">
        <f ca="1">IFERROR(__xludf.DUMMYFUNCTION("""COMPUTED_VALUE"""),0.197734780556866)</f>
        <v>0.197734780556866</v>
      </c>
      <c r="G153" s="12">
        <f ca="1">IFERROR(__xludf.DUMMYFUNCTION("""COMPUTED_VALUE"""),395)</f>
        <v>395</v>
      </c>
      <c r="H153" s="14">
        <f ca="1">IFERROR(__xludf.DUMMYFUNCTION("""COMPUTED_VALUE"""),0.291139240506329)</f>
        <v>0.291139240506329</v>
      </c>
      <c r="I153" s="12">
        <f ca="1">IFERROR(__xludf.DUMMYFUNCTION("""COMPUTED_VALUE"""),514.85)</f>
        <v>514.85</v>
      </c>
      <c r="J153" s="14">
        <f ca="1">IFERROR(__xludf.DUMMYFUNCTION("""COMPUTED_VALUE"""),-0.00942021948140239)</f>
        <v>-9.4202194814023907E-3</v>
      </c>
      <c r="K153" s="12" t="str">
        <f ca="1">IFERROR(__xludf.DUMMYFUNCTION("""COMPUTED_VALUE"""),"Piping")</f>
        <v>Piping</v>
      </c>
      <c r="L153" s="12" t="str">
        <f ca="1">IFERROR(__xludf.DUMMYFUNCTION("""COMPUTED_VALUE"""),"BOM:531761")</f>
        <v>BOM:531761</v>
      </c>
      <c r="M153" s="12" t="str">
        <f ca="1">IFERROR(__xludf.DUMMYFUNCTION("""COMPUTED_VALUE"""),"No")</f>
        <v>No</v>
      </c>
      <c r="N153" s="12" t="str">
        <f ca="1">IFERROR(__xludf.DUMMYFUNCTION("""COMPUTED_VALUE"""),"No")</f>
        <v>No</v>
      </c>
      <c r="O153" s="12" t="str">
        <f ca="1">IFERROR(__xludf.DUMMYFUNCTION("""COMPUTED_VALUE"""),"Good Stock")</f>
        <v>Good Stock</v>
      </c>
      <c r="P153" s="12" t="str">
        <f ca="1">IFERROR(__xludf.DUMMYFUNCTION("""COMPUTED_VALUE"""),"Low Cap")</f>
        <v>Low Cap</v>
      </c>
    </row>
    <row r="154" spans="1:16">
      <c r="A154" s="12" t="str">
        <f ca="1">IFERROR(__xludf.DUMMYFUNCTION("""COMPUTED_VALUE"""),"Bhansali Engineering")</f>
        <v>Bhansali Engineering</v>
      </c>
      <c r="B154" s="13">
        <f ca="1">IFERROR(__xludf.DUMMYFUNCTION("""COMPUTED_VALUE"""),1954.368)</f>
        <v>1954.3679999999999</v>
      </c>
      <c r="C154" s="12">
        <f ca="1">IFERROR(__xludf.DUMMYFUNCTION("""COMPUTED_VALUE"""),118.6)</f>
        <v>118.6</v>
      </c>
      <c r="D154" s="12">
        <f ca="1">IFERROR(__xludf.DUMMYFUNCTION("""COMPUTED_VALUE"""),8.27)</f>
        <v>8.27</v>
      </c>
      <c r="E154" s="12">
        <f ca="1">IFERROR(__xludf.DUMMYFUNCTION("""COMPUTED_VALUE"""),182.4)</f>
        <v>182.4</v>
      </c>
      <c r="F154" s="14">
        <f ca="1">IFERROR(__xludf.DUMMYFUNCTION("""COMPUTED_VALUE"""),0.349780701754386)</f>
        <v>0.34978070175438603</v>
      </c>
      <c r="G154" s="12">
        <f ca="1">IFERROR(__xludf.DUMMYFUNCTION("""COMPUTED_VALUE"""),98)</f>
        <v>98</v>
      </c>
      <c r="H154" s="14">
        <f ca="1">IFERROR(__xludf.DUMMYFUNCTION("""COMPUTED_VALUE"""),0.210204081632653)</f>
        <v>0.210204081632653</v>
      </c>
      <c r="I154" s="12">
        <f ca="1">IFERROR(__xludf.DUMMYFUNCTION("""COMPUTED_VALUE"""),120.25)</f>
        <v>120.25</v>
      </c>
      <c r="J154" s="14">
        <f ca="1">IFERROR(__xludf.DUMMYFUNCTION("""COMPUTED_VALUE"""),-0.0137214137214137)</f>
        <v>-1.37214137214137E-2</v>
      </c>
      <c r="K154" s="12"/>
      <c r="L154" s="12" t="str">
        <f ca="1">IFERROR(__xludf.DUMMYFUNCTION("""COMPUTED_VALUE"""),"BOM:500052")</f>
        <v>BOM:500052</v>
      </c>
      <c r="M154" s="12" t="str">
        <f ca="1">IFERROR(__xludf.DUMMYFUNCTION("""COMPUTED_VALUE"""),"No")</f>
        <v>No</v>
      </c>
      <c r="N154" s="12" t="str">
        <f ca="1">IFERROR(__xludf.DUMMYFUNCTION("""COMPUTED_VALUE"""),"No")</f>
        <v>No</v>
      </c>
      <c r="O154" s="12" t="str">
        <f ca="1">IFERROR(__xludf.DUMMYFUNCTION("""COMPUTED_VALUE"""),"Good Stock")</f>
        <v>Good Stock</v>
      </c>
      <c r="P154" s="12" t="str">
        <f ca="1">IFERROR(__xludf.DUMMYFUNCTION("""COMPUTED_VALUE"""),"Low Cap")</f>
        <v>Low Cap</v>
      </c>
    </row>
    <row r="155" spans="1:16">
      <c r="A155" s="12" t="str">
        <f ca="1">IFERROR(__xludf.DUMMYFUNCTION("""COMPUTED_VALUE"""),"Heranba")</f>
        <v>Heranba</v>
      </c>
      <c r="B155" s="13">
        <f ca="1">IFERROR(__xludf.DUMMYFUNCTION("""COMPUTED_VALUE"""),1923.4465903)</f>
        <v>1923.4465903</v>
      </c>
      <c r="C155" s="12">
        <f ca="1">IFERROR(__xludf.DUMMYFUNCTION("""COMPUTED_VALUE"""),481.35)</f>
        <v>481.35</v>
      </c>
      <c r="D155" s="12">
        <f ca="1">IFERROR(__xludf.DUMMYFUNCTION("""COMPUTED_VALUE"""),10.9)</f>
        <v>10.9</v>
      </c>
      <c r="E155" s="12">
        <f ca="1">IFERROR(__xludf.DUMMYFUNCTION("""COMPUTED_VALUE"""),744.15)</f>
        <v>744.15</v>
      </c>
      <c r="F155" s="14">
        <f ca="1">IFERROR(__xludf.DUMMYFUNCTION("""COMPUTED_VALUE"""),0.353154605926224)</f>
        <v>0.353154605926224</v>
      </c>
      <c r="G155" s="12">
        <f ca="1">IFERROR(__xludf.DUMMYFUNCTION("""COMPUTED_VALUE"""),477.8)</f>
        <v>477.8</v>
      </c>
      <c r="H155" s="14">
        <f ca="1">IFERROR(__xludf.DUMMYFUNCTION("""COMPUTED_VALUE"""),0.00742988698200086)</f>
        <v>7.4298869820008601E-3</v>
      </c>
      <c r="I155" s="12">
        <f ca="1">IFERROR(__xludf.DUMMYFUNCTION("""COMPUTED_VALUE"""),481.85)</f>
        <v>481.85</v>
      </c>
      <c r="J155" s="14">
        <f ca="1">IFERROR(__xludf.DUMMYFUNCTION("""COMPUTED_VALUE"""),-0.00103766732385597)</f>
        <v>-1.03766732385597E-3</v>
      </c>
      <c r="K155" s="12" t="str">
        <f ca="1">IFERROR(__xludf.DUMMYFUNCTION("""COMPUTED_VALUE"""),"Agrochemical")</f>
        <v>Agrochemical</v>
      </c>
      <c r="L155" s="12" t="str">
        <f ca="1">IFERROR(__xludf.DUMMYFUNCTION("""COMPUTED_VALUE"""),"BOM:543266")</f>
        <v>BOM:543266</v>
      </c>
      <c r="M155" s="12" t="str">
        <f ca="1">IFERROR(__xludf.DUMMYFUNCTION("""COMPUTED_VALUE"""),"No")</f>
        <v>No</v>
      </c>
      <c r="N155" s="12" t="str">
        <f ca="1">IFERROR(__xludf.DUMMYFUNCTION("""COMPUTED_VALUE"""),"No")</f>
        <v>No</v>
      </c>
      <c r="O155" s="12" t="str">
        <f ca="1">IFERROR(__xludf.DUMMYFUNCTION("""COMPUTED_VALUE"""),"Good Stock")</f>
        <v>Good Stock</v>
      </c>
      <c r="P155" s="12" t="str">
        <f ca="1">IFERROR(__xludf.DUMMYFUNCTION("""COMPUTED_VALUE"""),"Low Cap")</f>
        <v>Low Cap</v>
      </c>
    </row>
    <row r="156" spans="1:16">
      <c r="A156" s="12" t="str">
        <f ca="1">IFERROR(__xludf.DUMMYFUNCTION("""COMPUTED_VALUE"""),"Goldiam International")</f>
        <v>Goldiam International</v>
      </c>
      <c r="B156" s="13">
        <f ca="1">IFERROR(__xludf.DUMMYFUNCTION("""COMPUTED_VALUE"""),1794.8020805)</f>
        <v>1794.8020805000001</v>
      </c>
      <c r="C156" s="12">
        <f ca="1">IFERROR(__xludf.DUMMYFUNCTION("""COMPUTED_VALUE"""),165.55)</f>
        <v>165.55</v>
      </c>
      <c r="D156" s="12">
        <f ca="1">IFERROR(__xludf.DUMMYFUNCTION("""COMPUTED_VALUE"""),17.83)</f>
        <v>17.829999999999998</v>
      </c>
      <c r="E156" s="12">
        <f ca="1">IFERROR(__xludf.DUMMYFUNCTION("""COMPUTED_VALUE"""),209.41)</f>
        <v>209.41</v>
      </c>
      <c r="F156" s="14">
        <f ca="1">IFERROR(__xludf.DUMMYFUNCTION("""COMPUTED_VALUE"""),0.209445585215605)</f>
        <v>0.209445585215605</v>
      </c>
      <c r="G156" s="12">
        <f ca="1">IFERROR(__xludf.DUMMYFUNCTION("""COMPUTED_VALUE"""),116.75)</f>
        <v>116.75</v>
      </c>
      <c r="H156" s="14">
        <f ca="1">IFERROR(__xludf.DUMMYFUNCTION("""COMPUTED_VALUE"""),0.417987152034261)</f>
        <v>0.41798715203426101</v>
      </c>
      <c r="I156" s="12">
        <f ca="1">IFERROR(__xludf.DUMMYFUNCTION("""COMPUTED_VALUE"""),165.4)</f>
        <v>165.4</v>
      </c>
      <c r="J156" s="14">
        <f ca="1">IFERROR(__xludf.DUMMYFUNCTION("""COMPUTED_VALUE"""),0.000906892382104024)</f>
        <v>9.0689238210402395E-4</v>
      </c>
      <c r="K156" s="12" t="str">
        <f ca="1">IFERROR(__xludf.DUMMYFUNCTION("""COMPUTED_VALUE"""),"Retail")</f>
        <v>Retail</v>
      </c>
      <c r="L156" s="12" t="str">
        <f ca="1">IFERROR(__xludf.DUMMYFUNCTION("""COMPUTED_VALUE"""),"BOM:526729")</f>
        <v>BOM:526729</v>
      </c>
      <c r="M156" s="12" t="str">
        <f ca="1">IFERROR(__xludf.DUMMYFUNCTION("""COMPUTED_VALUE"""),"No")</f>
        <v>No</v>
      </c>
      <c r="N156" s="12" t="str">
        <f ca="1">IFERROR(__xludf.DUMMYFUNCTION("""COMPUTED_VALUE"""),"No")</f>
        <v>No</v>
      </c>
      <c r="O156" s="12" t="str">
        <f ca="1">IFERROR(__xludf.DUMMYFUNCTION("""COMPUTED_VALUE"""),"Good Stock")</f>
        <v>Good Stock</v>
      </c>
      <c r="P156" s="12" t="str">
        <f ca="1">IFERROR(__xludf.DUMMYFUNCTION("""COMPUTED_VALUE"""),"Low Cap")</f>
        <v>Low Cap</v>
      </c>
    </row>
    <row r="157" spans="1:16">
      <c r="A157" s="12" t="str">
        <f ca="1">IFERROR(__xludf.DUMMYFUNCTION("""COMPUTED_VALUE"""),"stove kraft")</f>
        <v>stove kraft</v>
      </c>
      <c r="B157" s="13">
        <f ca="1">IFERROR(__xludf.DUMMYFUNCTION("""COMPUTED_VALUE"""),1639.276373)</f>
        <v>1639.2763729999999</v>
      </c>
      <c r="C157" s="12">
        <f ca="1">IFERROR(__xludf.DUMMYFUNCTION("""COMPUTED_VALUE"""),498.5)</f>
        <v>498.5</v>
      </c>
      <c r="D157" s="12">
        <f ca="1">IFERROR(__xludf.DUMMYFUNCTION("""COMPUTED_VALUE"""),30.76)</f>
        <v>30.76</v>
      </c>
      <c r="E157" s="12">
        <f ca="1">IFERROR(__xludf.DUMMYFUNCTION("""COMPUTED_VALUE"""),1000)</f>
        <v>1000</v>
      </c>
      <c r="F157" s="14">
        <f ca="1">IFERROR(__xludf.DUMMYFUNCTION("""COMPUTED_VALUE"""),0.5015)</f>
        <v>0.50149999999999995</v>
      </c>
      <c r="G157" s="12">
        <f ca="1">IFERROR(__xludf.DUMMYFUNCTION("""COMPUTED_VALUE"""),472.2)</f>
        <v>472.2</v>
      </c>
      <c r="H157" s="14">
        <f ca="1">IFERROR(__xludf.DUMMYFUNCTION("""COMPUTED_VALUE"""),0.055696738670055)</f>
        <v>5.5696738670055E-2</v>
      </c>
      <c r="I157" s="12">
        <f ca="1">IFERROR(__xludf.DUMMYFUNCTION("""COMPUTED_VALUE"""),503.15)</f>
        <v>503.15</v>
      </c>
      <c r="J157" s="14">
        <f ca="1">IFERROR(__xludf.DUMMYFUNCTION("""COMPUTED_VALUE"""),-0.00924177680612139)</f>
        <v>-9.2417768061213903E-3</v>
      </c>
      <c r="K157" s="12" t="str">
        <f ca="1">IFERROR(__xludf.DUMMYFUNCTION("""COMPUTED_VALUE"""),"kitchen")</f>
        <v>kitchen</v>
      </c>
      <c r="L157" s="12" t="str">
        <f ca="1">IFERROR(__xludf.DUMMYFUNCTION("""COMPUTED_VALUE"""),"BOM:543260")</f>
        <v>BOM:543260</v>
      </c>
      <c r="M157" s="12" t="str">
        <f ca="1">IFERROR(__xludf.DUMMYFUNCTION("""COMPUTED_VALUE"""),"No")</f>
        <v>No</v>
      </c>
      <c r="N157" s="12" t="str">
        <f ca="1">IFERROR(__xludf.DUMMYFUNCTION("""COMPUTED_VALUE"""),"No")</f>
        <v>No</v>
      </c>
      <c r="O157" s="12" t="str">
        <f ca="1">IFERROR(__xludf.DUMMYFUNCTION("""COMPUTED_VALUE"""),"Good Stock")</f>
        <v>Good Stock</v>
      </c>
      <c r="P157" s="12" t="str">
        <f ca="1">IFERROR(__xludf.DUMMYFUNCTION("""COMPUTED_VALUE"""),"Low Cap")</f>
        <v>Low Cap</v>
      </c>
    </row>
    <row r="158" spans="1:16">
      <c r="A158" s="12" t="str">
        <f ca="1">IFERROR(__xludf.DUMMYFUNCTION("""COMPUTED_VALUE"""),"Krisna dignostic")</f>
        <v>Krisna dignostic</v>
      </c>
      <c r="B158" s="13">
        <f ca="1">IFERROR(__xludf.DUMMYFUNCTION("""COMPUTED_VALUE"""),1347.5935652)</f>
        <v>1347.5935652000001</v>
      </c>
      <c r="C158" s="12">
        <f ca="1">IFERROR(__xludf.DUMMYFUNCTION("""COMPUTED_VALUE"""),429.35)</f>
        <v>429.35</v>
      </c>
      <c r="D158" s="12">
        <f ca="1">IFERROR(__xludf.DUMMYFUNCTION("""COMPUTED_VALUE"""),20.29)</f>
        <v>20.29</v>
      </c>
      <c r="E158" s="12">
        <f ca="1">IFERROR(__xludf.DUMMYFUNCTION("""COMPUTED_VALUE"""),778)</f>
        <v>778</v>
      </c>
      <c r="F158" s="14">
        <f ca="1">IFERROR(__xludf.DUMMYFUNCTION("""COMPUTED_VALUE"""),0.448136246786632)</f>
        <v>0.448136246786632</v>
      </c>
      <c r="G158" s="12">
        <f ca="1">IFERROR(__xludf.DUMMYFUNCTION("""COMPUTED_VALUE"""),428.9)</f>
        <v>428.9</v>
      </c>
      <c r="H158" s="14">
        <f ca="1">IFERROR(__xludf.DUMMYFUNCTION("""COMPUTED_VALUE"""),0.00104919561669397)</f>
        <v>1.0491956166939699E-3</v>
      </c>
      <c r="I158" s="12">
        <f ca="1">IFERROR(__xludf.DUMMYFUNCTION("""COMPUTED_VALUE"""),436.85)</f>
        <v>436.85</v>
      </c>
      <c r="J158" s="14">
        <f ca="1">IFERROR(__xludf.DUMMYFUNCTION("""COMPUTED_VALUE"""),-0.0171683644271489)</f>
        <v>-1.7168364427148902E-2</v>
      </c>
      <c r="K158" s="12"/>
      <c r="L158" s="12" t="str">
        <f ca="1">IFERROR(__xludf.DUMMYFUNCTION("""COMPUTED_VALUE"""),"BOM:543328")</f>
        <v>BOM:543328</v>
      </c>
      <c r="M158" s="12" t="str">
        <f ca="1">IFERROR(__xludf.DUMMYFUNCTION("""COMPUTED_VALUE"""),"No")</f>
        <v>No</v>
      </c>
      <c r="N158" s="12" t="str">
        <f ca="1">IFERROR(__xludf.DUMMYFUNCTION("""COMPUTED_VALUE"""),"No")</f>
        <v>No</v>
      </c>
      <c r="O158" s="12" t="str">
        <f ca="1">IFERROR(__xludf.DUMMYFUNCTION("""COMPUTED_VALUE"""),"Good Stock")</f>
        <v>Good Stock</v>
      </c>
      <c r="P158" s="12" t="str">
        <f ca="1">IFERROR(__xludf.DUMMYFUNCTION("""COMPUTED_VALUE"""),"Low Cap")</f>
        <v>Low Cap</v>
      </c>
    </row>
    <row r="159" spans="1:16">
      <c r="A159" s="12" t="str">
        <f ca="1">IFERROR(__xludf.DUMMYFUNCTION("""COMPUTED_VALUE"""),"Chemcom Speciality")</f>
        <v>Chemcom Speciality</v>
      </c>
      <c r="B159" s="13">
        <f ca="1">IFERROR(__xludf.DUMMYFUNCTION("""COMPUTED_VALUE"""),1059.9071153)</f>
        <v>1059.9071153</v>
      </c>
      <c r="C159" s="12">
        <f ca="1">IFERROR(__xludf.DUMMYFUNCTION("""COMPUTED_VALUE"""),288.1)</f>
        <v>288.10000000000002</v>
      </c>
      <c r="D159" s="12">
        <f ca="1">IFERROR(__xludf.DUMMYFUNCTION("""COMPUTED_VALUE"""),15.51)</f>
        <v>15.51</v>
      </c>
      <c r="E159" s="12">
        <f ca="1">IFERROR(__xludf.DUMMYFUNCTION("""COMPUTED_VALUE"""),477.95)</f>
        <v>477.95</v>
      </c>
      <c r="F159" s="14">
        <f ca="1">IFERROR(__xludf.DUMMYFUNCTION("""COMPUTED_VALUE"""),0.397217282142483)</f>
        <v>0.39721728214248297</v>
      </c>
      <c r="G159" s="12">
        <f ca="1">IFERROR(__xludf.DUMMYFUNCTION("""COMPUTED_VALUE"""),261)</f>
        <v>261</v>
      </c>
      <c r="H159" s="14">
        <f ca="1">IFERROR(__xludf.DUMMYFUNCTION("""COMPUTED_VALUE"""),0.103831417624521)</f>
        <v>0.103831417624521</v>
      </c>
      <c r="I159" s="12">
        <f ca="1">IFERROR(__xludf.DUMMYFUNCTION("""COMPUTED_VALUE"""),290.1)</f>
        <v>290.10000000000002</v>
      </c>
      <c r="J159" s="14">
        <f ca="1">IFERROR(__xludf.DUMMYFUNCTION("""COMPUTED_VALUE"""),-0.00689417442261289)</f>
        <v>-6.8941744226128903E-3</v>
      </c>
      <c r="K159" s="12" t="str">
        <f ca="1">IFERROR(__xludf.DUMMYFUNCTION("""COMPUTED_VALUE"""),"Chemical")</f>
        <v>Chemical</v>
      </c>
      <c r="L159" s="12" t="str">
        <f ca="1">IFERROR(__xludf.DUMMYFUNCTION("""COMPUTED_VALUE"""),"CHEMCON")</f>
        <v>CHEMCON</v>
      </c>
      <c r="M159" s="12" t="str">
        <f ca="1">IFERROR(__xludf.DUMMYFUNCTION("""COMPUTED_VALUE"""),"No")</f>
        <v>No</v>
      </c>
      <c r="N159" s="12" t="str">
        <f ca="1">IFERROR(__xludf.DUMMYFUNCTION("""COMPUTED_VALUE"""),"No")</f>
        <v>No</v>
      </c>
      <c r="O159" s="12" t="str">
        <f ca="1">IFERROR(__xludf.DUMMYFUNCTION("""COMPUTED_VALUE"""),"Good Stock")</f>
        <v>Good Stock</v>
      </c>
      <c r="P159" s="12" t="str">
        <f ca="1">IFERROR(__xludf.DUMMYFUNCTION("""COMPUTED_VALUE"""),"Low Cap")</f>
        <v>Low Cap</v>
      </c>
    </row>
    <row r="160" spans="1:16">
      <c r="A160" s="12" t="str">
        <f ca="1">IFERROR(__xludf.DUMMYFUNCTION("""COMPUTED_VALUE"""),"Dr Reddy")</f>
        <v>Dr Reddy</v>
      </c>
      <c r="B160" s="13">
        <f ca="1">IFERROR(__xludf.DUMMYFUNCTION("""COMPUTED_VALUE"""),880.6892469)</f>
        <v>880.68924689999994</v>
      </c>
      <c r="C160" s="12">
        <f ca="1">IFERROR(__xludf.DUMMYFUNCTION("""COMPUTED_VALUE"""),4323.5)</f>
        <v>4323.5</v>
      </c>
      <c r="D160" s="12">
        <f ca="1">IFERROR(__xludf.DUMMYFUNCTION("""COMPUTED_VALUE"""),23.13)</f>
        <v>23.13</v>
      </c>
      <c r="E160" s="12">
        <f ca="1">IFERROR(__xludf.DUMMYFUNCTION("""COMPUTED_VALUE"""),4759.6)</f>
        <v>4759.6000000000004</v>
      </c>
      <c r="F160" s="14">
        <f ca="1">IFERROR(__xludf.DUMMYFUNCTION("""COMPUTED_VALUE"""),0.0916253466677872)</f>
        <v>9.1625346667787197E-2</v>
      </c>
      <c r="G160" s="12">
        <f ca="1">IFERROR(__xludf.DUMMYFUNCTION("""COMPUTED_VALUE"""),3654)</f>
        <v>3654</v>
      </c>
      <c r="H160" s="14">
        <f ca="1">IFERROR(__xludf.DUMMYFUNCTION("""COMPUTED_VALUE"""),0.183223864258347)</f>
        <v>0.183223864258347</v>
      </c>
      <c r="I160" s="12">
        <f ca="1">IFERROR(__xludf.DUMMYFUNCTION("""COMPUTED_VALUE"""),4310.6)</f>
        <v>4310.6000000000004</v>
      </c>
      <c r="J160" s="14">
        <f ca="1">IFERROR(__xludf.DUMMYFUNCTION("""COMPUTED_VALUE"""),0.00299262283672798)</f>
        <v>2.9926228367279802E-3</v>
      </c>
      <c r="K160" s="12" t="str">
        <f ca="1">IFERROR(__xludf.DUMMYFUNCTION("""COMPUTED_VALUE"""),"Pharma")</f>
        <v>Pharma</v>
      </c>
      <c r="L160" s="12" t="str">
        <f ca="1">IFERROR(__xludf.DUMMYFUNCTION("""COMPUTED_VALUE"""),"DRREDDY")</f>
        <v>DRREDDY</v>
      </c>
      <c r="M160" s="12" t="str">
        <f ca="1">IFERROR(__xludf.DUMMYFUNCTION("""COMPUTED_VALUE"""),"No")</f>
        <v>No</v>
      </c>
      <c r="N160" s="12" t="str">
        <f ca="1">IFERROR(__xludf.DUMMYFUNCTION("""COMPUTED_VALUE"""),"No")</f>
        <v>No</v>
      </c>
      <c r="O160" s="12" t="str">
        <f ca="1">IFERROR(__xludf.DUMMYFUNCTION("""COMPUTED_VALUE"""),"Good Stock")</f>
        <v>Good Stock</v>
      </c>
      <c r="P160" s="12" t="str">
        <f ca="1">IFERROR(__xludf.DUMMYFUNCTION("""COMPUTED_VALUE"""),"Low Cap")</f>
        <v>Low Cap</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0F45E-EBBE-448E-A5B4-D1C4D6005961}">
  <dimension ref="A1:AD163"/>
  <sheetViews>
    <sheetView showGridLines="0" zoomScale="30" zoomScaleNormal="45" workbookViewId="0"/>
  </sheetViews>
  <sheetFormatPr defaultRowHeight="13.2"/>
  <cols>
    <col min="1" max="1" width="15.21875" bestFit="1" customWidth="1"/>
    <col min="2" max="2" width="23.6640625" bestFit="1" customWidth="1"/>
    <col min="3" max="3" width="14.88671875" bestFit="1" customWidth="1"/>
    <col min="4" max="5" width="17.21875" customWidth="1"/>
    <col min="6" max="6" width="20.6640625" bestFit="1" customWidth="1"/>
    <col min="7" max="7" width="14.77734375" bestFit="1" customWidth="1"/>
    <col min="8" max="8" width="28.21875" bestFit="1" customWidth="1"/>
    <col min="9" max="9" width="17.21875" bestFit="1" customWidth="1"/>
    <col min="10" max="10" width="21.5546875" bestFit="1" customWidth="1"/>
    <col min="11" max="11" width="20.21875" bestFit="1" customWidth="1"/>
    <col min="12" max="12" width="17.21875" bestFit="1" customWidth="1"/>
    <col min="13" max="13" width="14" bestFit="1" customWidth="1"/>
    <col min="14" max="14" width="20.21875" bestFit="1" customWidth="1"/>
    <col min="15" max="15" width="9.6640625" customWidth="1"/>
    <col min="16" max="16" width="21.109375" bestFit="1" customWidth="1"/>
    <col min="17" max="17" width="37.109375" bestFit="1" customWidth="1"/>
    <col min="18" max="18" width="24.77734375" bestFit="1" customWidth="1"/>
    <col min="19" max="19" width="16" bestFit="1" customWidth="1"/>
    <col min="20" max="20" width="28" bestFit="1" customWidth="1"/>
    <col min="21" max="21" width="25.5546875" bestFit="1" customWidth="1"/>
    <col min="22" max="22" width="24.77734375" bestFit="1" customWidth="1"/>
    <col min="23" max="23" width="17.21875" bestFit="1" customWidth="1"/>
    <col min="24" max="24" width="25.77734375" bestFit="1" customWidth="1"/>
    <col min="25" max="26" width="32.6640625" bestFit="1" customWidth="1"/>
    <col min="27" max="27" width="17.21875" bestFit="1" customWidth="1"/>
    <col min="28" max="28" width="26.33203125" bestFit="1" customWidth="1"/>
    <col min="29" max="29" width="25.77734375" bestFit="1" customWidth="1"/>
    <col min="30" max="30" width="25" bestFit="1" customWidth="1"/>
    <col min="31" max="157" width="17.21875" bestFit="1" customWidth="1"/>
    <col min="158" max="158" width="11.5546875" bestFit="1" customWidth="1"/>
  </cols>
  <sheetData>
    <row r="1" spans="1:30" ht="14.4" thickBot="1">
      <c r="A1" s="24" t="s">
        <v>508</v>
      </c>
      <c r="B1" s="24"/>
      <c r="C1" s="24"/>
      <c r="D1" s="24"/>
      <c r="E1" s="24"/>
      <c r="G1" s="24" t="s">
        <v>502</v>
      </c>
      <c r="H1" s="24"/>
      <c r="I1" s="24"/>
      <c r="J1" s="24"/>
      <c r="K1" s="24"/>
      <c r="M1" s="24" t="s">
        <v>513</v>
      </c>
      <c r="N1" s="24"/>
      <c r="O1" s="24"/>
      <c r="P1" s="24"/>
      <c r="Q1" s="24"/>
      <c r="T1" s="24" t="s">
        <v>514</v>
      </c>
      <c r="U1" s="24"/>
      <c r="X1" s="24" t="s">
        <v>516</v>
      </c>
      <c r="Y1" s="24"/>
      <c r="AB1" s="24" t="s">
        <v>515</v>
      </c>
      <c r="AC1" s="24"/>
    </row>
    <row r="3" spans="1:30">
      <c r="A3" t="s">
        <v>495</v>
      </c>
      <c r="C3" t="s">
        <v>496</v>
      </c>
      <c r="G3" s="19" t="s">
        <v>0</v>
      </c>
      <c r="H3" t="s">
        <v>497</v>
      </c>
      <c r="J3" s="19" t="s">
        <v>228</v>
      </c>
      <c r="K3" t="s">
        <v>500</v>
      </c>
      <c r="M3" s="19" t="s">
        <v>504</v>
      </c>
      <c r="N3" t="s">
        <v>500</v>
      </c>
      <c r="P3" s="19" t="s">
        <v>466</v>
      </c>
      <c r="Q3" t="s">
        <v>503</v>
      </c>
      <c r="R3" t="s">
        <v>500</v>
      </c>
      <c r="T3" s="19" t="s">
        <v>0</v>
      </c>
      <c r="U3" t="s">
        <v>501</v>
      </c>
      <c r="V3" t="s">
        <v>500</v>
      </c>
      <c r="X3" s="19" t="s">
        <v>0</v>
      </c>
      <c r="Y3" t="s">
        <v>510</v>
      </c>
      <c r="Z3" t="s">
        <v>511</v>
      </c>
      <c r="AB3" s="19" t="s">
        <v>504</v>
      </c>
      <c r="AC3" t="s">
        <v>501</v>
      </c>
      <c r="AD3" t="s">
        <v>512</v>
      </c>
    </row>
    <row r="4" spans="1:30" ht="13.8">
      <c r="A4" s="27">
        <v>64.75</v>
      </c>
      <c r="C4" s="26">
        <v>3.39</v>
      </c>
      <c r="G4" s="26" t="s">
        <v>184</v>
      </c>
      <c r="H4" s="26">
        <v>1620922.4391001</v>
      </c>
      <c r="J4" s="26" t="s">
        <v>307</v>
      </c>
      <c r="K4" s="26">
        <v>44843.399999999994</v>
      </c>
      <c r="M4" s="26" t="s">
        <v>505</v>
      </c>
      <c r="N4" s="26">
        <v>200530.65000000005</v>
      </c>
      <c r="P4" s="26" t="s">
        <v>307</v>
      </c>
      <c r="Q4" s="26">
        <v>45226.05</v>
      </c>
      <c r="R4" s="26">
        <v>44843.399999999994</v>
      </c>
      <c r="T4" s="26" t="s">
        <v>51</v>
      </c>
      <c r="U4" s="26">
        <v>54349.1</v>
      </c>
      <c r="V4" s="26">
        <v>40260</v>
      </c>
      <c r="X4" s="26" t="s">
        <v>105</v>
      </c>
      <c r="Y4" s="26">
        <v>0.65054430863254298</v>
      </c>
      <c r="Z4" s="26">
        <v>0.25153898768809801</v>
      </c>
      <c r="AA4" s="26"/>
      <c r="AB4" s="26" t="s">
        <v>51</v>
      </c>
      <c r="AC4" s="26">
        <v>54349.1</v>
      </c>
      <c r="AD4" s="26">
        <v>37825</v>
      </c>
    </row>
    <row r="5" spans="1:30" ht="13.8">
      <c r="G5" s="26" t="s">
        <v>10</v>
      </c>
      <c r="H5" s="26">
        <v>1234544.5174748001</v>
      </c>
      <c r="J5" s="26" t="s">
        <v>255</v>
      </c>
      <c r="K5" s="26">
        <v>42351.55</v>
      </c>
      <c r="M5" s="26" t="s">
        <v>507</v>
      </c>
      <c r="N5" s="26">
        <v>84267.900000000009</v>
      </c>
      <c r="P5" s="26" t="s">
        <v>255</v>
      </c>
      <c r="Q5" s="26">
        <v>42255.95</v>
      </c>
      <c r="R5" s="26">
        <v>42351.55</v>
      </c>
      <c r="T5" s="26" t="s">
        <v>182</v>
      </c>
      <c r="U5" s="26">
        <v>27936.75</v>
      </c>
      <c r="V5" s="26">
        <v>24025</v>
      </c>
      <c r="X5" s="26" t="s">
        <v>20</v>
      </c>
      <c r="Y5" s="26">
        <v>0.62649696579130998</v>
      </c>
      <c r="Z5" s="26">
        <v>1.2114817913923E-2</v>
      </c>
      <c r="AA5" s="26"/>
      <c r="AB5" s="26" t="s">
        <v>182</v>
      </c>
      <c r="AC5" s="26">
        <v>27936.75</v>
      </c>
      <c r="AD5" s="26">
        <v>17865.2</v>
      </c>
    </row>
    <row r="6" spans="1:30" ht="13.8">
      <c r="G6" s="26" t="s">
        <v>11</v>
      </c>
      <c r="H6" s="26">
        <v>616301.32687500003</v>
      </c>
      <c r="J6" s="26" t="s">
        <v>260</v>
      </c>
      <c r="K6" s="26">
        <v>34876</v>
      </c>
      <c r="M6" s="26" t="s">
        <v>506</v>
      </c>
      <c r="N6" s="26">
        <v>55492.35</v>
      </c>
      <c r="P6" s="26" t="s">
        <v>260</v>
      </c>
      <c r="Q6" s="26">
        <v>34611.35</v>
      </c>
      <c r="R6" s="26">
        <v>34876</v>
      </c>
      <c r="T6" s="26" t="s">
        <v>177</v>
      </c>
      <c r="U6" s="26">
        <v>22499</v>
      </c>
      <c r="V6" s="26">
        <v>22241</v>
      </c>
      <c r="X6" s="26" t="s">
        <v>199</v>
      </c>
      <c r="Y6" s="26">
        <v>0.61482001616343596</v>
      </c>
      <c r="Z6" s="26">
        <v>2.5172413793103999E-3</v>
      </c>
      <c r="AA6" s="26"/>
      <c r="AB6" s="26" t="s">
        <v>177</v>
      </c>
      <c r="AC6" s="26">
        <v>22499</v>
      </c>
      <c r="AD6" s="26">
        <v>15514</v>
      </c>
    </row>
    <row r="7" spans="1:30" ht="13.8">
      <c r="A7" t="s">
        <v>503</v>
      </c>
      <c r="C7" t="s">
        <v>501</v>
      </c>
      <c r="G7" s="26" t="s">
        <v>180</v>
      </c>
      <c r="H7" s="26">
        <v>535431.32466749998</v>
      </c>
      <c r="J7" s="26" t="s">
        <v>334</v>
      </c>
      <c r="K7" s="26">
        <v>32296.65</v>
      </c>
      <c r="M7" s="26" t="s">
        <v>499</v>
      </c>
      <c r="N7" s="26">
        <v>340290.9</v>
      </c>
      <c r="P7" s="26" t="s">
        <v>334</v>
      </c>
      <c r="Q7" s="26">
        <v>32419.45</v>
      </c>
      <c r="R7" s="26">
        <v>32296.65</v>
      </c>
      <c r="T7" s="26" t="s">
        <v>149</v>
      </c>
      <c r="U7" s="26">
        <v>14362.9</v>
      </c>
      <c r="V7" s="26">
        <v>9517.9</v>
      </c>
      <c r="X7" s="26" t="s">
        <v>226</v>
      </c>
      <c r="Y7" s="26">
        <v>0.61154140127388501</v>
      </c>
      <c r="Z7" s="26">
        <v>6.3362154313247503E-3</v>
      </c>
      <c r="AA7" s="26"/>
      <c r="AB7" s="26" t="s">
        <v>149</v>
      </c>
      <c r="AC7" s="26">
        <v>14362.9</v>
      </c>
      <c r="AD7" s="26">
        <v>9301</v>
      </c>
    </row>
    <row r="8" spans="1:30" ht="13.8">
      <c r="A8" s="25">
        <v>340108.95000000007</v>
      </c>
      <c r="C8" s="25">
        <v>444228.17000000004</v>
      </c>
      <c r="G8" s="26" t="s">
        <v>212</v>
      </c>
      <c r="H8" s="26">
        <v>478914.7</v>
      </c>
      <c r="J8" s="26" t="s">
        <v>253</v>
      </c>
      <c r="K8" s="26">
        <v>23745.7</v>
      </c>
      <c r="P8" s="26" t="s">
        <v>253</v>
      </c>
      <c r="Q8" s="26">
        <v>23523.9</v>
      </c>
      <c r="R8" s="26">
        <v>23745.7</v>
      </c>
      <c r="T8" s="26" t="s">
        <v>203</v>
      </c>
      <c r="U8" s="26">
        <v>10859</v>
      </c>
      <c r="V8" s="26">
        <v>7701.2</v>
      </c>
      <c r="X8" s="26" t="s">
        <v>140</v>
      </c>
      <c r="Y8" s="26">
        <v>0.57397702076194301</v>
      </c>
      <c r="Z8" s="26">
        <v>4.6287128712871203E-2</v>
      </c>
      <c r="AA8" s="26"/>
      <c r="AB8" s="26" t="s">
        <v>203</v>
      </c>
      <c r="AC8" s="26">
        <v>10859</v>
      </c>
      <c r="AD8" s="26">
        <v>7602.15</v>
      </c>
    </row>
    <row r="9" spans="1:30" ht="13.8">
      <c r="G9" s="26" t="s">
        <v>227</v>
      </c>
      <c r="H9" s="26">
        <v>450686.75702929997</v>
      </c>
      <c r="J9" s="26" t="s">
        <v>300</v>
      </c>
      <c r="K9" s="26">
        <v>23191.05</v>
      </c>
      <c r="P9" s="26" t="s">
        <v>300</v>
      </c>
      <c r="Q9" s="26">
        <v>23283.5</v>
      </c>
      <c r="R9" s="26">
        <v>23191.05</v>
      </c>
      <c r="T9" s="26" t="s">
        <v>47</v>
      </c>
      <c r="U9" s="26">
        <v>10760</v>
      </c>
      <c r="V9" s="26">
        <v>6223</v>
      </c>
      <c r="X9" s="26" t="s">
        <v>222</v>
      </c>
      <c r="Y9" s="26">
        <v>0.56077339274347504</v>
      </c>
      <c r="Z9" s="26">
        <v>8.9183536561303803E-2</v>
      </c>
      <c r="AA9" s="26"/>
      <c r="AB9" s="26" t="s">
        <v>17</v>
      </c>
      <c r="AC9" s="26">
        <v>9769</v>
      </c>
      <c r="AD9" s="26">
        <v>6536.55</v>
      </c>
    </row>
    <row r="10" spans="1:30" ht="13.8">
      <c r="B10" t="s">
        <v>498</v>
      </c>
      <c r="G10" s="26" t="s">
        <v>13</v>
      </c>
      <c r="H10" s="26">
        <v>361172.63514019997</v>
      </c>
      <c r="J10" s="26" t="s">
        <v>234</v>
      </c>
      <c r="K10" s="26">
        <v>20865.3</v>
      </c>
      <c r="P10" s="26" t="s">
        <v>294</v>
      </c>
      <c r="Q10" s="26">
        <v>20733.55</v>
      </c>
      <c r="R10" s="26">
        <v>20731.449999999997</v>
      </c>
      <c r="T10" s="26" t="s">
        <v>17</v>
      </c>
      <c r="U10" s="26">
        <v>9769</v>
      </c>
      <c r="V10" s="26">
        <v>8454.2000000000007</v>
      </c>
      <c r="X10" s="26" t="s">
        <v>130</v>
      </c>
      <c r="Y10" s="26">
        <v>0.53524784710399698</v>
      </c>
      <c r="Z10" s="26">
        <v>1.40172979421413E-2</v>
      </c>
      <c r="AA10" s="26"/>
      <c r="AB10" s="26" t="s">
        <v>47</v>
      </c>
      <c r="AC10" s="26">
        <v>10760</v>
      </c>
      <c r="AD10" s="26">
        <v>5709.05</v>
      </c>
    </row>
    <row r="11" spans="1:30" ht="13.8">
      <c r="B11" s="20">
        <v>11077977.44731549</v>
      </c>
      <c r="G11" s="26" t="s">
        <v>216</v>
      </c>
      <c r="H11" s="26">
        <v>354002.53595559997</v>
      </c>
      <c r="J11" s="26" t="s">
        <v>294</v>
      </c>
      <c r="K11" s="26">
        <v>20731.449999999997</v>
      </c>
      <c r="P11" s="26" t="s">
        <v>234</v>
      </c>
      <c r="Q11" s="26">
        <v>20696.000000000004</v>
      </c>
      <c r="R11" s="26">
        <v>20865.3</v>
      </c>
      <c r="T11" s="26" t="s">
        <v>13</v>
      </c>
      <c r="U11" s="26">
        <v>8045</v>
      </c>
      <c r="V11" s="26">
        <v>5977</v>
      </c>
      <c r="X11" s="26" t="s">
        <v>96</v>
      </c>
      <c r="Y11" s="26">
        <v>0.52397743300423105</v>
      </c>
      <c r="Z11" s="26">
        <v>0.108374384236453</v>
      </c>
      <c r="AA11" s="26"/>
      <c r="AB11" s="26" t="s">
        <v>13</v>
      </c>
      <c r="AC11" s="26">
        <v>8045</v>
      </c>
      <c r="AD11" s="26">
        <v>5220</v>
      </c>
    </row>
    <row r="12" spans="1:30" ht="13.8">
      <c r="G12" s="26" t="s">
        <v>19</v>
      </c>
      <c r="H12" s="26">
        <v>302617.16662500001</v>
      </c>
      <c r="J12" s="26" t="s">
        <v>283</v>
      </c>
      <c r="K12" s="26">
        <v>12240.5</v>
      </c>
      <c r="P12" s="26" t="s">
        <v>283</v>
      </c>
      <c r="Q12" s="26">
        <v>12222.400000000001</v>
      </c>
      <c r="R12" s="26">
        <v>12240.5</v>
      </c>
      <c r="T12" s="26" t="s">
        <v>22</v>
      </c>
      <c r="U12" s="26">
        <v>7946</v>
      </c>
      <c r="V12" s="26">
        <v>7244.95</v>
      </c>
      <c r="X12" s="26" t="s">
        <v>217</v>
      </c>
      <c r="Y12" s="26">
        <v>0.50149999999999995</v>
      </c>
      <c r="Z12" s="26">
        <v>5.5696738670055E-2</v>
      </c>
      <c r="AA12" s="26"/>
      <c r="AB12" s="26" t="s">
        <v>22</v>
      </c>
      <c r="AC12" s="26">
        <v>7946</v>
      </c>
      <c r="AD12" s="26">
        <v>5157.05</v>
      </c>
    </row>
    <row r="13" spans="1:30" ht="13.8">
      <c r="G13" s="26" t="s">
        <v>178</v>
      </c>
      <c r="H13" s="26">
        <v>287213.2945283</v>
      </c>
      <c r="J13" s="26" t="s">
        <v>320</v>
      </c>
      <c r="K13" s="26">
        <v>7681</v>
      </c>
      <c r="P13" s="26" t="s">
        <v>320</v>
      </c>
      <c r="Q13" s="26">
        <v>7654.3499999999995</v>
      </c>
      <c r="R13" s="26">
        <v>7681</v>
      </c>
      <c r="T13" s="26" t="s">
        <v>102</v>
      </c>
      <c r="U13" s="26">
        <v>7328.75</v>
      </c>
      <c r="V13" s="26">
        <v>5630</v>
      </c>
      <c r="X13" s="26" t="s">
        <v>141</v>
      </c>
      <c r="Y13" s="26">
        <v>0.497280736473313</v>
      </c>
      <c r="Z13" s="26">
        <v>0.14926273458445</v>
      </c>
      <c r="AA13" s="26"/>
      <c r="AB13" s="26" t="s">
        <v>200</v>
      </c>
      <c r="AC13" s="26">
        <v>6572.75</v>
      </c>
      <c r="AD13" s="26">
        <v>4932.05</v>
      </c>
    </row>
    <row r="14" spans="1:30" ht="13.8">
      <c r="G14" s="26" t="s">
        <v>499</v>
      </c>
      <c r="H14" s="26">
        <v>6241806.6973958006</v>
      </c>
      <c r="J14" s="26" t="s">
        <v>499</v>
      </c>
      <c r="K14" s="26">
        <v>262822.59999999998</v>
      </c>
      <c r="P14" s="26" t="s">
        <v>245</v>
      </c>
      <c r="Q14" s="26">
        <v>7482.0499999999993</v>
      </c>
      <c r="R14" s="26">
        <v>7566.95</v>
      </c>
      <c r="T14" s="26" t="s">
        <v>108</v>
      </c>
      <c r="U14" s="26">
        <v>6898.75</v>
      </c>
      <c r="V14" s="26">
        <v>4477</v>
      </c>
      <c r="X14" s="26" t="s">
        <v>223</v>
      </c>
      <c r="Y14" s="26">
        <v>0.47960644007155601</v>
      </c>
      <c r="Z14" s="26">
        <v>4.8359240069083802E-3</v>
      </c>
      <c r="AA14" s="26"/>
      <c r="AB14" s="26" t="s">
        <v>86</v>
      </c>
      <c r="AC14" s="26">
        <v>5667.75</v>
      </c>
      <c r="AD14" s="26">
        <v>4218.05</v>
      </c>
    </row>
    <row r="15" spans="1:30" ht="13.8">
      <c r="P15" s="26" t="s">
        <v>238</v>
      </c>
      <c r="Q15" s="26">
        <v>6346.6500000000005</v>
      </c>
      <c r="R15" s="26">
        <v>6369.9500000000007</v>
      </c>
      <c r="T15" s="26" t="s">
        <v>200</v>
      </c>
      <c r="U15" s="26">
        <v>6572.75</v>
      </c>
      <c r="V15" s="26">
        <v>6195</v>
      </c>
      <c r="X15" s="26" t="s">
        <v>100</v>
      </c>
      <c r="Y15" s="26">
        <v>0.47949990807133602</v>
      </c>
      <c r="Z15" s="26">
        <v>9.5164410058027102E-2</v>
      </c>
      <c r="AA15" s="26"/>
      <c r="AB15" s="26" t="s">
        <v>36</v>
      </c>
      <c r="AC15" s="26">
        <v>4293.25</v>
      </c>
      <c r="AD15" s="26">
        <v>4147.45</v>
      </c>
    </row>
    <row r="16" spans="1:30" ht="13.8">
      <c r="P16" s="26" t="s">
        <v>420</v>
      </c>
      <c r="Q16" s="26">
        <v>5320</v>
      </c>
      <c r="R16" s="26">
        <v>5294</v>
      </c>
      <c r="T16" s="26" t="s">
        <v>147</v>
      </c>
      <c r="U16" s="26">
        <v>6067.95</v>
      </c>
      <c r="V16" s="26">
        <v>5294</v>
      </c>
      <c r="X16" s="26" t="s">
        <v>193</v>
      </c>
      <c r="Y16" s="26">
        <v>0.478545454545454</v>
      </c>
      <c r="Z16" s="26">
        <v>6.22222222222222E-2</v>
      </c>
      <c r="AA16" s="26"/>
      <c r="AB16" s="26" t="s">
        <v>95</v>
      </c>
      <c r="AC16" s="26">
        <v>4946.1000000000004</v>
      </c>
      <c r="AD16" s="26">
        <v>4056</v>
      </c>
    </row>
    <row r="17" spans="16:30" ht="13.8">
      <c r="P17" s="26" t="s">
        <v>240</v>
      </c>
      <c r="Q17" s="26">
        <v>4780.8500000000004</v>
      </c>
      <c r="R17" s="26">
        <v>4796.3</v>
      </c>
      <c r="T17" s="26" t="s">
        <v>82</v>
      </c>
      <c r="U17" s="26">
        <v>5862.1</v>
      </c>
      <c r="V17" s="26">
        <v>3868.05</v>
      </c>
      <c r="X17" s="26" t="s">
        <v>154</v>
      </c>
      <c r="Y17" s="26">
        <v>0.473965041398344</v>
      </c>
      <c r="Z17" s="26">
        <v>1.7256715886852701E-2</v>
      </c>
      <c r="AA17" s="26"/>
      <c r="AB17" s="26" t="s">
        <v>108</v>
      </c>
      <c r="AC17" s="26">
        <v>6898.75</v>
      </c>
      <c r="AD17" s="26">
        <v>3676</v>
      </c>
    </row>
    <row r="18" spans="16:30" ht="13.8">
      <c r="P18" s="26" t="s">
        <v>236</v>
      </c>
      <c r="Q18" s="26">
        <v>4551.5</v>
      </c>
      <c r="R18" s="26">
        <v>4578.8500000000004</v>
      </c>
      <c r="T18" s="26" t="s">
        <v>46</v>
      </c>
      <c r="U18" s="26">
        <v>5790</v>
      </c>
      <c r="V18" s="26">
        <v>3731.8</v>
      </c>
      <c r="X18" s="26" t="s">
        <v>202</v>
      </c>
      <c r="Y18" s="26">
        <v>0.472197705207413</v>
      </c>
      <c r="Z18" s="26">
        <v>3.8194444444444399E-2</v>
      </c>
      <c r="AA18" s="26"/>
      <c r="AB18" s="26" t="s">
        <v>173</v>
      </c>
      <c r="AC18" s="26">
        <v>4759.6000000000004</v>
      </c>
      <c r="AD18" s="26">
        <v>3654</v>
      </c>
    </row>
    <row r="19" spans="16:30" ht="13.8">
      <c r="P19" s="26" t="s">
        <v>318</v>
      </c>
      <c r="Q19" s="26">
        <v>4340.1499999999996</v>
      </c>
      <c r="R19" s="26">
        <v>4338</v>
      </c>
      <c r="T19" s="26" t="s">
        <v>197</v>
      </c>
      <c r="U19" s="26">
        <v>5714</v>
      </c>
      <c r="V19" s="26">
        <v>3446.95</v>
      </c>
      <c r="X19" s="26" t="s">
        <v>132</v>
      </c>
      <c r="Y19" s="26">
        <v>0.45818815331010398</v>
      </c>
      <c r="Z19" s="26">
        <v>6.2666575548417994E-2</v>
      </c>
      <c r="AA19" s="26"/>
      <c r="AB19" s="26" t="s">
        <v>147</v>
      </c>
      <c r="AC19" s="26">
        <v>6067.95</v>
      </c>
      <c r="AD19" s="26">
        <v>3518.6</v>
      </c>
    </row>
    <row r="20" spans="16:30" ht="13.8">
      <c r="P20" s="26" t="s">
        <v>358</v>
      </c>
      <c r="Q20" s="26">
        <v>4302.95</v>
      </c>
      <c r="R20" s="26">
        <v>4289.8</v>
      </c>
      <c r="T20" s="26" t="s">
        <v>86</v>
      </c>
      <c r="U20" s="26">
        <v>5667.75</v>
      </c>
      <c r="V20" s="26">
        <v>4669.05</v>
      </c>
      <c r="X20" s="26" t="s">
        <v>221</v>
      </c>
      <c r="Y20" s="26">
        <v>0.448136246786632</v>
      </c>
      <c r="Z20" s="26">
        <v>1.0491956166939699E-3</v>
      </c>
      <c r="AA20" s="26"/>
      <c r="AB20" s="26" t="s">
        <v>102</v>
      </c>
      <c r="AC20" s="26">
        <v>7328.75</v>
      </c>
      <c r="AD20" s="26">
        <v>3457.1</v>
      </c>
    </row>
    <row r="21" spans="16:30" ht="13.8">
      <c r="P21" s="26" t="s">
        <v>304</v>
      </c>
      <c r="Q21" s="26">
        <v>3215.55</v>
      </c>
      <c r="R21" s="26">
        <v>3207.8</v>
      </c>
      <c r="T21" s="26" t="s">
        <v>78</v>
      </c>
      <c r="U21" s="26">
        <v>4954</v>
      </c>
      <c r="V21" s="26">
        <v>4009</v>
      </c>
      <c r="X21" s="26" t="s">
        <v>101</v>
      </c>
      <c r="Y21" s="26">
        <v>0.44226371951219501</v>
      </c>
      <c r="Z21" s="26">
        <v>3.78696546344231E-2</v>
      </c>
      <c r="AA21" s="26"/>
      <c r="AB21" s="26" t="s">
        <v>46</v>
      </c>
      <c r="AC21" s="26">
        <v>5790</v>
      </c>
      <c r="AD21" s="26">
        <v>3314</v>
      </c>
    </row>
    <row r="22" spans="16:30" ht="13.8">
      <c r="P22" s="26" t="s">
        <v>354</v>
      </c>
      <c r="Q22" s="26">
        <v>3044.5</v>
      </c>
      <c r="R22" s="26">
        <v>3020</v>
      </c>
      <c r="T22" s="26" t="s">
        <v>95</v>
      </c>
      <c r="U22" s="26">
        <v>4946.1000000000004</v>
      </c>
      <c r="V22" s="26">
        <v>4224.8999999999996</v>
      </c>
      <c r="X22" s="26" t="s">
        <v>159</v>
      </c>
      <c r="Y22" s="26">
        <v>0.43047690014903101</v>
      </c>
      <c r="Z22" s="26">
        <v>0.19105501012934301</v>
      </c>
      <c r="AA22" s="26"/>
      <c r="AB22" s="26" t="s">
        <v>82</v>
      </c>
      <c r="AC22" s="26">
        <v>5862.1</v>
      </c>
      <c r="AD22" s="26">
        <v>3210</v>
      </c>
    </row>
    <row r="23" spans="16:30" ht="13.8">
      <c r="P23" s="26" t="s">
        <v>372</v>
      </c>
      <c r="Q23" s="26">
        <v>2854.95</v>
      </c>
      <c r="R23" s="26">
        <v>2843.3500000000004</v>
      </c>
      <c r="T23" s="26" t="s">
        <v>173</v>
      </c>
      <c r="U23" s="26">
        <v>4759.6000000000004</v>
      </c>
      <c r="V23" s="26">
        <v>4323.5</v>
      </c>
      <c r="X23" s="26" t="s">
        <v>75</v>
      </c>
      <c r="Y23" s="26">
        <v>0.42934695832668002</v>
      </c>
      <c r="Z23" s="26">
        <v>9.6045197740112307E-3</v>
      </c>
      <c r="AA23" s="26"/>
      <c r="AB23" s="26" t="s">
        <v>28</v>
      </c>
      <c r="AC23" s="26">
        <v>4668</v>
      </c>
      <c r="AD23" s="26">
        <v>3195.15</v>
      </c>
    </row>
    <row r="24" spans="16:30" ht="13.8">
      <c r="P24" s="26" t="s">
        <v>248</v>
      </c>
      <c r="Q24" s="26">
        <v>2483.9</v>
      </c>
      <c r="R24" s="26">
        <v>2480.75</v>
      </c>
      <c r="T24" s="26" t="s">
        <v>28</v>
      </c>
      <c r="U24" s="26">
        <v>4668</v>
      </c>
      <c r="V24" s="26">
        <v>3352.15</v>
      </c>
      <c r="X24" s="26" t="s">
        <v>29</v>
      </c>
      <c r="Y24" s="26">
        <v>0.42729868646487701</v>
      </c>
      <c r="Z24" s="26">
        <v>6.2625834481296896E-2</v>
      </c>
      <c r="AA24" s="26"/>
      <c r="AB24" s="26" t="s">
        <v>24</v>
      </c>
      <c r="AC24" s="26">
        <v>4131.75</v>
      </c>
      <c r="AD24" s="26">
        <v>3125</v>
      </c>
    </row>
    <row r="25" spans="16:30" ht="13.8">
      <c r="P25" s="26" t="s">
        <v>487</v>
      </c>
      <c r="Q25" s="26">
        <v>2471.6</v>
      </c>
      <c r="R25" s="26">
        <v>2467.9</v>
      </c>
      <c r="T25" s="26" t="s">
        <v>215</v>
      </c>
      <c r="U25" s="26">
        <v>4535.95</v>
      </c>
      <c r="V25" s="26">
        <v>4338</v>
      </c>
      <c r="X25" s="26" t="s">
        <v>126</v>
      </c>
      <c r="Y25" s="26">
        <v>0.42304625199362</v>
      </c>
      <c r="Z25" s="26">
        <v>5.4856934572625998E-2</v>
      </c>
      <c r="AA25" s="26"/>
      <c r="AB25" s="26" t="s">
        <v>78</v>
      </c>
      <c r="AC25" s="26">
        <v>4954</v>
      </c>
      <c r="AD25" s="26">
        <v>3092.05</v>
      </c>
    </row>
    <row r="26" spans="16:30" ht="13.8">
      <c r="P26" s="26" t="s">
        <v>330</v>
      </c>
      <c r="Q26" s="26">
        <v>2452.6999999999998</v>
      </c>
      <c r="R26" s="26">
        <v>2461</v>
      </c>
      <c r="T26" s="26" t="s">
        <v>36</v>
      </c>
      <c r="U26" s="26">
        <v>4293.25</v>
      </c>
      <c r="V26" s="26">
        <v>4289.8</v>
      </c>
      <c r="X26" s="26" t="s">
        <v>47</v>
      </c>
      <c r="Y26" s="26">
        <v>0.42165427509293602</v>
      </c>
      <c r="Z26" s="26">
        <v>9.0023734246503298E-2</v>
      </c>
      <c r="AA26" s="26"/>
      <c r="AB26" s="26" t="s">
        <v>10</v>
      </c>
      <c r="AC26" s="26">
        <v>4045.5</v>
      </c>
      <c r="AD26" s="26">
        <v>2926</v>
      </c>
    </row>
    <row r="27" spans="16:30" ht="13.8">
      <c r="P27" s="26" t="s">
        <v>309</v>
      </c>
      <c r="Q27" s="26">
        <v>2214.25</v>
      </c>
      <c r="R27" s="26">
        <v>2229</v>
      </c>
      <c r="T27" s="26" t="s">
        <v>69</v>
      </c>
      <c r="U27" s="26">
        <v>4172.95</v>
      </c>
      <c r="V27" s="26">
        <v>2793.5</v>
      </c>
      <c r="X27" s="26" t="s">
        <v>53</v>
      </c>
      <c r="Y27" s="26">
        <v>0.41277694438033602</v>
      </c>
      <c r="Z27" s="26">
        <v>7.2838432550662705E-2</v>
      </c>
      <c r="AA27" s="26"/>
      <c r="AB27" s="26" t="s">
        <v>197</v>
      </c>
      <c r="AC27" s="26">
        <v>5714</v>
      </c>
      <c r="AD27" s="26">
        <v>2923.35</v>
      </c>
    </row>
    <row r="28" spans="16:30" ht="13.8">
      <c r="P28" s="26" t="s">
        <v>296</v>
      </c>
      <c r="Q28" s="26">
        <v>2174.75</v>
      </c>
      <c r="R28" s="26">
        <v>2157.85</v>
      </c>
      <c r="T28" s="26" t="s">
        <v>24</v>
      </c>
      <c r="U28" s="26">
        <v>4131.75</v>
      </c>
      <c r="V28" s="26">
        <v>3602.45</v>
      </c>
      <c r="X28" s="26" t="s">
        <v>158</v>
      </c>
      <c r="Y28" s="26">
        <v>0.40893393393393301</v>
      </c>
      <c r="Z28" s="26">
        <v>5.7062298603651897E-2</v>
      </c>
      <c r="AA28" s="26"/>
      <c r="AB28" s="26" t="s">
        <v>142</v>
      </c>
      <c r="AC28" s="26">
        <v>3754.85</v>
      </c>
      <c r="AD28" s="26">
        <v>2619.8000000000002</v>
      </c>
    </row>
    <row r="29" spans="16:30" ht="13.8">
      <c r="P29" s="26" t="s">
        <v>509</v>
      </c>
      <c r="Q29" s="26">
        <v>2166.65</v>
      </c>
      <c r="R29" s="26">
        <v>2163.5499999999997</v>
      </c>
      <c r="T29" s="26" t="s">
        <v>10</v>
      </c>
      <c r="U29" s="26">
        <v>4045.5</v>
      </c>
      <c r="V29" s="26">
        <v>3374.2</v>
      </c>
      <c r="X29" s="26" t="s">
        <v>135</v>
      </c>
      <c r="Y29" s="26">
        <v>0.405166828636216</v>
      </c>
      <c r="Z29" s="26">
        <v>0.20311220311220299</v>
      </c>
      <c r="AA29" s="26"/>
      <c r="AB29" s="26" t="s">
        <v>225</v>
      </c>
      <c r="AC29" s="26">
        <v>3863.55</v>
      </c>
      <c r="AD29" s="26">
        <v>2540</v>
      </c>
    </row>
    <row r="30" spans="16:30" ht="13.8">
      <c r="P30" s="26" t="s">
        <v>418</v>
      </c>
      <c r="Q30" s="26">
        <v>1807.4</v>
      </c>
      <c r="R30" s="26">
        <v>1795</v>
      </c>
      <c r="T30" s="26" t="s">
        <v>130</v>
      </c>
      <c r="U30" s="26">
        <v>4023.65</v>
      </c>
      <c r="V30" s="26">
        <v>1870</v>
      </c>
      <c r="X30" s="26" t="s">
        <v>66</v>
      </c>
      <c r="Y30" s="26">
        <v>0.40201936946218803</v>
      </c>
      <c r="Z30" s="26">
        <v>1.4212488350419401E-2</v>
      </c>
      <c r="AA30" s="26"/>
      <c r="AB30" s="26" t="s">
        <v>119</v>
      </c>
      <c r="AC30" s="26">
        <v>3841.85</v>
      </c>
      <c r="AD30" s="26">
        <v>2530</v>
      </c>
    </row>
    <row r="31" spans="16:30" ht="13.8">
      <c r="P31" s="26" t="s">
        <v>332</v>
      </c>
      <c r="Q31" s="26">
        <v>1747.9</v>
      </c>
      <c r="R31" s="26">
        <v>1720.1</v>
      </c>
      <c r="T31" s="26" t="s">
        <v>226</v>
      </c>
      <c r="U31" s="26">
        <v>3925</v>
      </c>
      <c r="V31" s="26">
        <v>1524.7</v>
      </c>
      <c r="X31" s="26" t="s">
        <v>122</v>
      </c>
      <c r="Y31" s="26">
        <v>0.40054021608643398</v>
      </c>
      <c r="Z31" s="26">
        <v>6.6987179487179499E-2</v>
      </c>
      <c r="AA31" s="26"/>
      <c r="AB31" s="26" t="s">
        <v>211</v>
      </c>
      <c r="AC31" s="26">
        <v>3797.6</v>
      </c>
      <c r="AD31" s="26">
        <v>2506.1999999999998</v>
      </c>
    </row>
    <row r="32" spans="16:30" ht="13.8">
      <c r="P32" s="26" t="s">
        <v>281</v>
      </c>
      <c r="Q32" s="26">
        <v>1576</v>
      </c>
      <c r="R32" s="26">
        <v>1524.1999999999998</v>
      </c>
      <c r="T32" s="26" t="s">
        <v>32</v>
      </c>
      <c r="U32" s="26">
        <v>3889.65</v>
      </c>
      <c r="V32" s="26">
        <v>3164.9</v>
      </c>
      <c r="X32" s="26" t="s">
        <v>171</v>
      </c>
      <c r="Y32" s="26">
        <v>0.39721728214248297</v>
      </c>
      <c r="Z32" s="26">
        <v>0.103831417624521</v>
      </c>
      <c r="AA32" s="26"/>
      <c r="AB32" s="26" t="s">
        <v>60</v>
      </c>
      <c r="AC32" s="26">
        <v>3698.45</v>
      </c>
      <c r="AD32" s="26">
        <v>2333.5500000000002</v>
      </c>
    </row>
    <row r="33" spans="16:30" ht="13.8">
      <c r="P33" s="26" t="s">
        <v>435</v>
      </c>
      <c r="Q33" s="26">
        <v>1559.1</v>
      </c>
      <c r="R33" s="26">
        <v>1555</v>
      </c>
      <c r="T33" s="26" t="s">
        <v>225</v>
      </c>
      <c r="U33" s="26">
        <v>3863.55</v>
      </c>
      <c r="V33" s="26">
        <v>3020</v>
      </c>
      <c r="X33" s="26" t="s">
        <v>197</v>
      </c>
      <c r="Y33" s="26">
        <v>0.39675358767938401</v>
      </c>
      <c r="Z33" s="26">
        <v>0.17910958318367601</v>
      </c>
      <c r="AA33" s="26"/>
      <c r="AB33" s="26" t="s">
        <v>117</v>
      </c>
      <c r="AC33" s="26">
        <v>3447.55</v>
      </c>
      <c r="AD33" s="26">
        <v>2310.1</v>
      </c>
    </row>
    <row r="34" spans="16:30" ht="13.8">
      <c r="P34" s="26" t="s">
        <v>315</v>
      </c>
      <c r="Q34" s="26">
        <v>1261.05</v>
      </c>
      <c r="R34" s="26">
        <v>1273.7</v>
      </c>
      <c r="T34" s="26" t="s">
        <v>119</v>
      </c>
      <c r="U34" s="26">
        <v>3841.85</v>
      </c>
      <c r="V34" s="26">
        <v>2562.6999999999998</v>
      </c>
      <c r="X34" s="26" t="s">
        <v>146</v>
      </c>
      <c r="Y34" s="26">
        <v>0.39041953663118301</v>
      </c>
      <c r="Z34" s="26">
        <v>6.9486404833836696E-2</v>
      </c>
      <c r="AA34" s="26"/>
      <c r="AB34" s="26" t="s">
        <v>184</v>
      </c>
      <c r="AC34" s="26">
        <v>2856.15</v>
      </c>
      <c r="AD34" s="26">
        <v>2180</v>
      </c>
    </row>
    <row r="35" spans="16:30" ht="13.8">
      <c r="P35" s="26" t="s">
        <v>387</v>
      </c>
      <c r="Q35" s="26">
        <v>1251.3</v>
      </c>
      <c r="R35" s="26">
        <v>1260</v>
      </c>
      <c r="T35" s="26" t="s">
        <v>211</v>
      </c>
      <c r="U35" s="26">
        <v>3797.6</v>
      </c>
      <c r="V35" s="26">
        <v>2714.9</v>
      </c>
      <c r="X35" s="26" t="s">
        <v>185</v>
      </c>
      <c r="Y35" s="26">
        <v>0.386822394312555</v>
      </c>
      <c r="Z35" s="26">
        <v>0.42688330871491798</v>
      </c>
      <c r="AA35" s="26"/>
      <c r="AB35" s="26" t="s">
        <v>215</v>
      </c>
      <c r="AC35" s="26">
        <v>4535.95</v>
      </c>
      <c r="AD35" s="26">
        <v>2160.0500000000002</v>
      </c>
    </row>
    <row r="36" spans="16:30" ht="13.8">
      <c r="P36" s="26" t="s">
        <v>328</v>
      </c>
      <c r="Q36" s="26">
        <v>1127.95</v>
      </c>
      <c r="R36" s="26">
        <v>1136</v>
      </c>
      <c r="T36" s="26" t="s">
        <v>199</v>
      </c>
      <c r="U36" s="26">
        <v>3773.95</v>
      </c>
      <c r="V36" s="26">
        <v>1453.65</v>
      </c>
      <c r="X36" s="26" t="s">
        <v>125</v>
      </c>
      <c r="Y36" s="26">
        <v>0.379468473163105</v>
      </c>
      <c r="Z36" s="26">
        <v>0.13129393881816401</v>
      </c>
      <c r="AA36" s="26"/>
      <c r="AB36" s="26" t="s">
        <v>32</v>
      </c>
      <c r="AC36" s="26">
        <v>3889.65</v>
      </c>
      <c r="AD36" s="26">
        <v>2159.5500000000002</v>
      </c>
    </row>
    <row r="37" spans="16:30" ht="13.8">
      <c r="P37" s="26" t="s">
        <v>374</v>
      </c>
      <c r="Q37" s="26">
        <v>1112.5</v>
      </c>
      <c r="R37" s="26">
        <v>1118</v>
      </c>
      <c r="T37" s="26" t="s">
        <v>142</v>
      </c>
      <c r="U37" s="26">
        <v>3754.85</v>
      </c>
      <c r="V37" s="26">
        <v>3024.95</v>
      </c>
      <c r="X37" s="26" t="s">
        <v>107</v>
      </c>
      <c r="Y37" s="26">
        <v>0.378391711889491</v>
      </c>
      <c r="Z37" s="26">
        <v>4.6381264792592199E-2</v>
      </c>
      <c r="AA37" s="26"/>
      <c r="AB37" s="26" t="s">
        <v>44</v>
      </c>
      <c r="AC37" s="26">
        <v>2938.6</v>
      </c>
      <c r="AD37" s="26">
        <v>2146.85</v>
      </c>
    </row>
    <row r="38" spans="16:30" ht="13.8">
      <c r="P38" s="26" t="s">
        <v>251</v>
      </c>
      <c r="Q38" s="26">
        <v>975</v>
      </c>
      <c r="R38" s="26">
        <v>979</v>
      </c>
      <c r="T38" s="26" t="s">
        <v>20</v>
      </c>
      <c r="U38" s="26">
        <v>3724.2</v>
      </c>
      <c r="V38" s="26">
        <v>1391</v>
      </c>
      <c r="X38" s="26" t="s">
        <v>70</v>
      </c>
      <c r="Y38" s="26">
        <v>0.37628151842615598</v>
      </c>
      <c r="Z38" s="26">
        <v>0.11559905835708</v>
      </c>
      <c r="AA38" s="26"/>
      <c r="AB38" s="26" t="s">
        <v>69</v>
      </c>
      <c r="AC38" s="26">
        <v>4172.95</v>
      </c>
      <c r="AD38" s="26">
        <v>2105.15</v>
      </c>
    </row>
    <row r="39" spans="16:30" ht="13.8">
      <c r="P39" s="26" t="s">
        <v>289</v>
      </c>
      <c r="Q39" s="26">
        <v>857.75</v>
      </c>
      <c r="R39" s="26">
        <v>846.75</v>
      </c>
      <c r="T39" s="26" t="s">
        <v>148</v>
      </c>
      <c r="U39" s="26">
        <v>3709.95</v>
      </c>
      <c r="V39" s="26">
        <v>3465.1</v>
      </c>
      <c r="X39" s="26" t="s">
        <v>46</v>
      </c>
      <c r="Y39" s="26">
        <v>0.355474956822107</v>
      </c>
      <c r="Z39" s="26">
        <v>0.12607121303560601</v>
      </c>
      <c r="AA39" s="26"/>
      <c r="AB39" s="26" t="s">
        <v>65</v>
      </c>
      <c r="AC39" s="26">
        <v>3025</v>
      </c>
      <c r="AD39" s="26">
        <v>2043.85</v>
      </c>
    </row>
    <row r="40" spans="16:30" ht="13.8">
      <c r="P40" s="26" t="s">
        <v>241</v>
      </c>
      <c r="Q40" s="26">
        <v>705.55</v>
      </c>
      <c r="R40" s="26">
        <v>712.7</v>
      </c>
      <c r="T40" s="26" t="s">
        <v>60</v>
      </c>
      <c r="U40" s="26">
        <v>3698.45</v>
      </c>
      <c r="V40" s="26">
        <v>3262</v>
      </c>
      <c r="X40" s="26" t="s">
        <v>163</v>
      </c>
      <c r="Y40" s="26">
        <v>0.353154605926224</v>
      </c>
      <c r="Z40" s="26">
        <v>7.4298869820008601E-3</v>
      </c>
      <c r="AA40" s="26"/>
      <c r="AB40" s="26" t="s">
        <v>114</v>
      </c>
      <c r="AC40" s="26">
        <v>2971.5</v>
      </c>
      <c r="AD40" s="26">
        <v>2037.15</v>
      </c>
    </row>
    <row r="41" spans="16:30" ht="13.8">
      <c r="P41" s="26" t="s">
        <v>298</v>
      </c>
      <c r="Q41" s="26">
        <v>640.65</v>
      </c>
      <c r="R41" s="26">
        <v>641</v>
      </c>
      <c r="T41" s="26" t="s">
        <v>188</v>
      </c>
      <c r="U41" s="26">
        <v>3646.25</v>
      </c>
      <c r="V41" s="26">
        <v>2900.45</v>
      </c>
      <c r="X41" s="26" t="s">
        <v>108</v>
      </c>
      <c r="Y41" s="26">
        <v>0.35104185540858801</v>
      </c>
      <c r="Z41" s="26">
        <v>0.217899891186071</v>
      </c>
      <c r="AA41" s="26"/>
      <c r="AB41" s="26" t="s">
        <v>212</v>
      </c>
      <c r="AC41" s="26">
        <v>2933.8</v>
      </c>
      <c r="AD41" s="26">
        <v>2026</v>
      </c>
    </row>
    <row r="42" spans="16:30" ht="13.8">
      <c r="P42" s="26" t="s">
        <v>313</v>
      </c>
      <c r="Q42" s="26">
        <v>628.15</v>
      </c>
      <c r="R42" s="26">
        <v>619</v>
      </c>
      <c r="T42" s="26" t="s">
        <v>53</v>
      </c>
      <c r="U42" s="26">
        <v>3466.4</v>
      </c>
      <c r="V42" s="26">
        <v>2035.55</v>
      </c>
      <c r="X42" s="26" t="s">
        <v>168</v>
      </c>
      <c r="Y42" s="26">
        <v>0.34978070175438603</v>
      </c>
      <c r="Z42" s="26">
        <v>0.210204081632653</v>
      </c>
      <c r="AA42" s="26"/>
      <c r="AB42" s="26" t="s">
        <v>188</v>
      </c>
      <c r="AC42" s="26">
        <v>3646.25</v>
      </c>
      <c r="AD42" s="26">
        <v>2005</v>
      </c>
    </row>
    <row r="43" spans="16:30" ht="13.8">
      <c r="P43" s="26" t="s">
        <v>389</v>
      </c>
      <c r="Q43" s="26">
        <v>517.65</v>
      </c>
      <c r="R43" s="26">
        <v>523.9</v>
      </c>
      <c r="T43" s="26" t="s">
        <v>117</v>
      </c>
      <c r="U43" s="26">
        <v>3447.55</v>
      </c>
      <c r="V43" s="26">
        <v>2358</v>
      </c>
      <c r="X43" s="26" t="s">
        <v>109</v>
      </c>
      <c r="Y43" s="26">
        <v>0.34915615692907298</v>
      </c>
      <c r="Z43" s="26">
        <v>0.12666284768633401</v>
      </c>
      <c r="AA43" s="26"/>
      <c r="AB43" s="26" t="s">
        <v>11</v>
      </c>
      <c r="AC43" s="26">
        <v>2741.6</v>
      </c>
      <c r="AD43" s="26">
        <v>1901.55</v>
      </c>
    </row>
    <row r="44" spans="16:30" ht="13.8">
      <c r="P44" s="26" t="s">
        <v>460</v>
      </c>
      <c r="Q44" s="26">
        <v>503.15</v>
      </c>
      <c r="R44" s="26">
        <v>498.5</v>
      </c>
      <c r="T44" s="26" t="s">
        <v>141</v>
      </c>
      <c r="U44" s="26">
        <v>3410.85</v>
      </c>
      <c r="V44" s="26">
        <v>1714.7</v>
      </c>
      <c r="X44" s="26" t="s">
        <v>110</v>
      </c>
      <c r="Y44" s="26">
        <v>0.34830713422007198</v>
      </c>
      <c r="Z44" s="26">
        <v>6.1970443349753698E-2</v>
      </c>
      <c r="AA44" s="26"/>
      <c r="AB44" s="26" t="s">
        <v>53</v>
      </c>
      <c r="AC44" s="26">
        <v>3466.4</v>
      </c>
      <c r="AD44" s="26">
        <v>1897.35</v>
      </c>
    </row>
    <row r="45" spans="16:30" ht="13.8">
      <c r="P45" s="26" t="s">
        <v>444</v>
      </c>
      <c r="Q45" s="26">
        <v>473.2</v>
      </c>
      <c r="R45" s="26">
        <v>462.25</v>
      </c>
      <c r="T45" s="26" t="s">
        <v>222</v>
      </c>
      <c r="U45" s="26">
        <v>3142</v>
      </c>
      <c r="V45" s="26">
        <v>1380.05</v>
      </c>
      <c r="X45" s="26" t="s">
        <v>82</v>
      </c>
      <c r="Y45" s="26">
        <v>0.340159669742924</v>
      </c>
      <c r="Z45" s="26">
        <v>0.20499999999999999</v>
      </c>
      <c r="AA45" s="26"/>
      <c r="AB45" s="26" t="s">
        <v>148</v>
      </c>
      <c r="AC45" s="26">
        <v>3709.95</v>
      </c>
      <c r="AD45" s="26">
        <v>1845</v>
      </c>
    </row>
    <row r="46" spans="16:30" ht="13.8">
      <c r="P46" s="26" t="s">
        <v>258</v>
      </c>
      <c r="Q46" s="26">
        <v>462.75</v>
      </c>
      <c r="R46" s="26">
        <v>464.55</v>
      </c>
      <c r="T46" s="26" t="s">
        <v>65</v>
      </c>
      <c r="U46" s="26">
        <v>3025</v>
      </c>
      <c r="V46" s="26">
        <v>2662</v>
      </c>
      <c r="X46" s="26" t="s">
        <v>149</v>
      </c>
      <c r="Y46" s="26">
        <v>0.33732741995000998</v>
      </c>
      <c r="Z46" s="26">
        <v>2.3320073110418098E-2</v>
      </c>
      <c r="AA46" s="26"/>
      <c r="AB46" s="26" t="s">
        <v>130</v>
      </c>
      <c r="AC46" s="26">
        <v>4023.65</v>
      </c>
      <c r="AD46" s="26">
        <v>1844.15</v>
      </c>
    </row>
    <row r="47" spans="16:30" ht="13.8">
      <c r="P47" s="26" t="s">
        <v>243</v>
      </c>
      <c r="Q47" s="26">
        <v>72.400000000000006</v>
      </c>
      <c r="R47" s="26">
        <v>73.599999999999994</v>
      </c>
      <c r="T47" s="26" t="s">
        <v>114</v>
      </c>
      <c r="U47" s="26">
        <v>2971.5</v>
      </c>
      <c r="V47" s="26">
        <v>2274</v>
      </c>
      <c r="X47" s="26" t="s">
        <v>194</v>
      </c>
      <c r="Y47" s="26">
        <v>0.33493589743589702</v>
      </c>
      <c r="Z47" s="26">
        <v>0.15873237470333601</v>
      </c>
      <c r="AA47" s="26"/>
      <c r="AB47" s="26" t="s">
        <v>55</v>
      </c>
      <c r="AC47" s="26">
        <v>2537.4499999999998</v>
      </c>
      <c r="AD47" s="26">
        <v>1690.55</v>
      </c>
    </row>
    <row r="48" spans="16:30" ht="13.8">
      <c r="P48" s="23" t="s">
        <v>499</v>
      </c>
      <c r="Q48">
        <v>340108.95</v>
      </c>
      <c r="R48">
        <v>340290.89999999997</v>
      </c>
      <c r="T48" s="26" t="s">
        <v>44</v>
      </c>
      <c r="U48" s="26">
        <v>2938.6</v>
      </c>
      <c r="V48" s="26">
        <v>2732</v>
      </c>
      <c r="X48" s="26" t="s">
        <v>119</v>
      </c>
      <c r="Y48" s="26">
        <v>0.33295157280997401</v>
      </c>
      <c r="Z48" s="26">
        <v>1.2924901185770599E-2</v>
      </c>
      <c r="AA48" s="26"/>
      <c r="AB48" s="26" t="s">
        <v>59</v>
      </c>
      <c r="AC48" s="26">
        <v>2507.35</v>
      </c>
      <c r="AD48" s="26">
        <v>1690</v>
      </c>
    </row>
    <row r="49" spans="20:30">
      <c r="T49" s="23" t="s">
        <v>212</v>
      </c>
      <c r="U49">
        <v>2933.8</v>
      </c>
      <c r="V49">
        <v>2619.25</v>
      </c>
      <c r="X49" s="23" t="s">
        <v>69</v>
      </c>
      <c r="Y49">
        <v>0.33056950119220202</v>
      </c>
      <c r="Z49">
        <v>0.32698382538061399</v>
      </c>
      <c r="AA49" s="23"/>
      <c r="AB49" t="s">
        <v>76</v>
      </c>
      <c r="AC49">
        <v>2690.05</v>
      </c>
      <c r="AD49" s="23">
        <v>1681.15</v>
      </c>
    </row>
    <row r="50" spans="20:30" ht="13.8">
      <c r="T50" s="26" t="s">
        <v>132</v>
      </c>
      <c r="U50" s="26">
        <v>2870</v>
      </c>
      <c r="V50" s="26">
        <v>1555</v>
      </c>
      <c r="X50" s="26" t="s">
        <v>176</v>
      </c>
      <c r="Y50" s="26">
        <v>0.32675906183368802</v>
      </c>
      <c r="Z50" s="26">
        <v>4.7915370255133698E-2</v>
      </c>
      <c r="AA50" s="26"/>
      <c r="AB50" s="26" t="s">
        <v>90</v>
      </c>
      <c r="AC50" s="26">
        <v>2377</v>
      </c>
      <c r="AD50" s="26">
        <v>1674.2</v>
      </c>
    </row>
    <row r="51" spans="20:30" ht="13.8">
      <c r="T51" s="26" t="s">
        <v>184</v>
      </c>
      <c r="U51" s="26">
        <v>2856.15</v>
      </c>
      <c r="V51" s="26">
        <v>2467.9</v>
      </c>
      <c r="X51" s="26" t="s">
        <v>103</v>
      </c>
      <c r="Y51" s="26">
        <v>0.32547399124939203</v>
      </c>
      <c r="Z51" s="26">
        <v>2.77777777777777E-2</v>
      </c>
      <c r="AA51" s="26"/>
      <c r="AB51" s="26" t="s">
        <v>85</v>
      </c>
      <c r="AC51" s="26">
        <v>2607.65</v>
      </c>
      <c r="AD51" s="26">
        <v>1666.25</v>
      </c>
    </row>
    <row r="52" spans="20:30" ht="13.8">
      <c r="T52" s="26" t="s">
        <v>11</v>
      </c>
      <c r="U52" s="26">
        <v>2741.6</v>
      </c>
      <c r="V52" s="26">
        <v>2620.6</v>
      </c>
      <c r="X52" s="26" t="s">
        <v>104</v>
      </c>
      <c r="Y52" s="26">
        <v>0.322303110522832</v>
      </c>
      <c r="Z52" s="26">
        <v>0.174918249096437</v>
      </c>
      <c r="AA52" s="26"/>
      <c r="AB52" s="26" t="s">
        <v>216</v>
      </c>
      <c r="AC52" s="26">
        <v>1997.55</v>
      </c>
      <c r="AD52" s="26">
        <v>1631</v>
      </c>
    </row>
    <row r="53" spans="20:30" ht="13.8">
      <c r="T53" s="26" t="s">
        <v>76</v>
      </c>
      <c r="U53" s="26">
        <v>2690.05</v>
      </c>
      <c r="V53" s="26">
        <v>1944.05</v>
      </c>
      <c r="X53" s="26" t="s">
        <v>50</v>
      </c>
      <c r="Y53" s="26">
        <v>0.31983979402088403</v>
      </c>
      <c r="Z53" s="26">
        <v>0.13457408732999199</v>
      </c>
      <c r="AA53" s="26"/>
      <c r="AB53" s="26" t="s">
        <v>226</v>
      </c>
      <c r="AC53" s="26">
        <v>3925</v>
      </c>
      <c r="AD53" s="26">
        <v>1515.1</v>
      </c>
    </row>
    <row r="54" spans="20:30" ht="13.8">
      <c r="T54" s="26" t="s">
        <v>101</v>
      </c>
      <c r="U54" s="26">
        <v>2624</v>
      </c>
      <c r="V54" s="26">
        <v>1463.5</v>
      </c>
      <c r="X54" s="26" t="s">
        <v>117</v>
      </c>
      <c r="Y54" s="26">
        <v>0.31603602558338501</v>
      </c>
      <c r="Z54" s="26">
        <v>2.0735033115449501E-2</v>
      </c>
      <c r="AA54" s="26"/>
      <c r="AB54" s="26" t="s">
        <v>141</v>
      </c>
      <c r="AC54" s="26">
        <v>3410.85</v>
      </c>
      <c r="AD54" s="26">
        <v>1492</v>
      </c>
    </row>
    <row r="55" spans="20:30" ht="13.8">
      <c r="T55" s="26" t="s">
        <v>85</v>
      </c>
      <c r="U55" s="26">
        <v>2607.65</v>
      </c>
      <c r="V55" s="26">
        <v>2461</v>
      </c>
      <c r="X55" s="26" t="s">
        <v>40</v>
      </c>
      <c r="Y55" s="26">
        <v>0.30687919463087199</v>
      </c>
      <c r="Z55" s="26">
        <v>8.7105263157894797E-2</v>
      </c>
      <c r="AA55" s="26"/>
      <c r="AB55" s="26" t="s">
        <v>132</v>
      </c>
      <c r="AC55" s="26">
        <v>2870</v>
      </c>
      <c r="AD55" s="26">
        <v>1463.3</v>
      </c>
    </row>
    <row r="56" spans="20:30" ht="13.8">
      <c r="T56" s="26" t="s">
        <v>55</v>
      </c>
      <c r="U56" s="26">
        <v>2537.4499999999998</v>
      </c>
      <c r="V56" s="26">
        <v>2229</v>
      </c>
      <c r="X56" s="26" t="s">
        <v>49</v>
      </c>
      <c r="Y56" s="26">
        <v>0.30223697817449502</v>
      </c>
      <c r="Z56" s="26">
        <v>0.1508078994614</v>
      </c>
      <c r="AA56" s="26"/>
      <c r="AB56" s="26" t="s">
        <v>19</v>
      </c>
      <c r="AC56" s="26">
        <v>2210.5</v>
      </c>
      <c r="AD56" s="26">
        <v>1456.8</v>
      </c>
    </row>
    <row r="57" spans="20:30" ht="13.8">
      <c r="T57" s="26" t="s">
        <v>59</v>
      </c>
      <c r="U57" s="26">
        <v>2507.35</v>
      </c>
      <c r="V57" s="26">
        <v>2148</v>
      </c>
      <c r="X57" s="26" t="s">
        <v>57</v>
      </c>
      <c r="Y57" s="26">
        <v>0.301952306079664</v>
      </c>
      <c r="Z57" s="26">
        <v>0.121342875184171</v>
      </c>
      <c r="AA57" s="26"/>
      <c r="AB57" s="26" t="s">
        <v>199</v>
      </c>
      <c r="AC57" s="26">
        <v>3773.95</v>
      </c>
      <c r="AD57" s="26">
        <v>1450</v>
      </c>
    </row>
    <row r="58" spans="20:30" ht="13.8">
      <c r="T58" s="26" t="s">
        <v>90</v>
      </c>
      <c r="U58" s="26">
        <v>2377</v>
      </c>
      <c r="V58" s="26">
        <v>2000</v>
      </c>
      <c r="X58" s="26" t="s">
        <v>112</v>
      </c>
      <c r="Y58" s="26">
        <v>0.30053404539385797</v>
      </c>
      <c r="Z58" s="26">
        <v>8.0874767897668606E-2</v>
      </c>
      <c r="AA58" s="26"/>
      <c r="AB58" s="26" t="s">
        <v>139</v>
      </c>
      <c r="AC58" s="26">
        <v>2249</v>
      </c>
      <c r="AD58" s="26">
        <v>1444.5</v>
      </c>
    </row>
    <row r="59" spans="20:30" ht="13.8">
      <c r="T59" s="26" t="s">
        <v>151</v>
      </c>
      <c r="U59" s="26">
        <v>2285.65</v>
      </c>
      <c r="V59" s="26">
        <v>1669.3</v>
      </c>
      <c r="X59" s="26" t="s">
        <v>129</v>
      </c>
      <c r="Y59" s="26">
        <v>0.30043165467625899</v>
      </c>
      <c r="Z59" s="26">
        <v>0.49141104294478499</v>
      </c>
      <c r="AA59" s="26"/>
      <c r="AB59" s="26" t="s">
        <v>101</v>
      </c>
      <c r="AC59" s="26">
        <v>2624</v>
      </c>
      <c r="AD59" s="26">
        <v>1410.1</v>
      </c>
    </row>
    <row r="60" spans="20:30" ht="13.8">
      <c r="T60" s="26" t="s">
        <v>139</v>
      </c>
      <c r="U60" s="26">
        <v>2249</v>
      </c>
      <c r="V60" s="26">
        <v>1795</v>
      </c>
      <c r="X60" s="26" t="s">
        <v>203</v>
      </c>
      <c r="Y60" s="26">
        <v>0.29080025785063002</v>
      </c>
      <c r="Z60" s="26">
        <v>1.30292088422354E-2</v>
      </c>
      <c r="AA60" s="26"/>
      <c r="AB60" s="26" t="s">
        <v>20</v>
      </c>
      <c r="AC60" s="26">
        <v>3724.2</v>
      </c>
      <c r="AD60" s="26">
        <v>1374.35</v>
      </c>
    </row>
    <row r="61" spans="20:30" ht="13.8">
      <c r="T61" s="26" t="s">
        <v>19</v>
      </c>
      <c r="U61" s="26">
        <v>2210.5</v>
      </c>
      <c r="V61" s="26">
        <v>2153.75</v>
      </c>
      <c r="X61" s="26" t="s">
        <v>42</v>
      </c>
      <c r="Y61" s="26">
        <v>0.28882163797994997</v>
      </c>
      <c r="Z61" s="26">
        <v>3.7527593818984503E-2</v>
      </c>
      <c r="AA61" s="26"/>
      <c r="AB61" s="26" t="s">
        <v>183</v>
      </c>
      <c r="AC61" s="26">
        <v>1953.7</v>
      </c>
      <c r="AD61" s="26">
        <v>1355.5</v>
      </c>
    </row>
    <row r="62" spans="20:30" ht="13.8">
      <c r="T62" s="26" t="s">
        <v>143</v>
      </c>
      <c r="U62" s="26">
        <v>2110</v>
      </c>
      <c r="V62" s="26">
        <v>1567.45</v>
      </c>
      <c r="X62" s="26" t="s">
        <v>211</v>
      </c>
      <c r="Y62" s="26">
        <v>0.28510111649462799</v>
      </c>
      <c r="Z62" s="26">
        <v>8.3273481765222299E-2</v>
      </c>
      <c r="AA62" s="26"/>
      <c r="AB62" s="26" t="s">
        <v>151</v>
      </c>
      <c r="AC62" s="26">
        <v>2285.65</v>
      </c>
      <c r="AD62" s="26">
        <v>1276.1500000000001</v>
      </c>
    </row>
    <row r="63" spans="20:30" ht="13.8">
      <c r="T63" s="26" t="s">
        <v>105</v>
      </c>
      <c r="U63" s="26">
        <v>2094.4</v>
      </c>
      <c r="V63" s="26">
        <v>731.9</v>
      </c>
      <c r="X63" s="26" t="s">
        <v>145</v>
      </c>
      <c r="Y63" s="26">
        <v>0.28210639441160601</v>
      </c>
      <c r="Z63" s="26">
        <v>9.5081967213114696E-2</v>
      </c>
      <c r="AA63" s="26"/>
      <c r="AB63" s="26" t="s">
        <v>174</v>
      </c>
      <c r="AC63" s="26">
        <v>1722.1</v>
      </c>
      <c r="AD63" s="26">
        <v>1271.5999999999999</v>
      </c>
    </row>
    <row r="64" spans="20:30" ht="13.8">
      <c r="T64" s="26" t="s">
        <v>107</v>
      </c>
      <c r="U64" s="26">
        <v>2027</v>
      </c>
      <c r="V64" s="26">
        <v>1260</v>
      </c>
      <c r="X64" s="26" t="s">
        <v>28</v>
      </c>
      <c r="Y64" s="26">
        <v>0.28188731790916799</v>
      </c>
      <c r="Z64" s="26">
        <v>4.9136973225044199E-2</v>
      </c>
      <c r="AA64" s="26"/>
      <c r="AB64" s="26" t="s">
        <v>222</v>
      </c>
      <c r="AC64" s="26">
        <v>3142</v>
      </c>
      <c r="AD64" s="26">
        <v>1267.05</v>
      </c>
    </row>
    <row r="65" spans="20:30" ht="13.8">
      <c r="T65" s="26" t="s">
        <v>216</v>
      </c>
      <c r="U65" s="26">
        <v>1997.55</v>
      </c>
      <c r="V65" s="26">
        <v>1780.5</v>
      </c>
      <c r="X65" s="26" t="s">
        <v>76</v>
      </c>
      <c r="Y65" s="26">
        <v>0.27731826545974902</v>
      </c>
      <c r="Z65" s="26">
        <v>0.15638104868691</v>
      </c>
      <c r="AA65" s="26"/>
      <c r="AB65" s="26" t="s">
        <v>143</v>
      </c>
      <c r="AC65" s="26">
        <v>2110</v>
      </c>
      <c r="AD65" s="26">
        <v>1256.67</v>
      </c>
    </row>
    <row r="66" spans="20:30" ht="13.8">
      <c r="T66" s="26" t="s">
        <v>183</v>
      </c>
      <c r="U66" s="26">
        <v>1953.7</v>
      </c>
      <c r="V66" s="26">
        <v>1503.5</v>
      </c>
      <c r="X66" s="26" t="s">
        <v>127</v>
      </c>
      <c r="Y66" s="26">
        <v>0.27380365071534202</v>
      </c>
      <c r="Z66" s="26">
        <v>0.42774005819592598</v>
      </c>
      <c r="AA66" s="26"/>
      <c r="AB66" s="26" t="s">
        <v>107</v>
      </c>
      <c r="AC66" s="26">
        <v>2027</v>
      </c>
      <c r="AD66" s="26">
        <v>1204.1500000000001</v>
      </c>
    </row>
    <row r="67" spans="20:30" ht="13.8">
      <c r="T67" s="26" t="s">
        <v>125</v>
      </c>
      <c r="U67" s="26">
        <v>1919</v>
      </c>
      <c r="V67" s="26">
        <v>1190.8</v>
      </c>
      <c r="X67" s="26" t="s">
        <v>151</v>
      </c>
      <c r="Y67" s="26">
        <v>0.269660709207446</v>
      </c>
      <c r="Z67" s="26">
        <v>0.30807506954511599</v>
      </c>
      <c r="AA67" s="26"/>
      <c r="AB67" s="26" t="s">
        <v>125</v>
      </c>
      <c r="AC67" s="26">
        <v>1919</v>
      </c>
      <c r="AD67" s="26">
        <v>1052.5999999999999</v>
      </c>
    </row>
    <row r="68" spans="20:30" ht="13.8">
      <c r="T68" s="26" t="s">
        <v>29</v>
      </c>
      <c r="U68" s="26">
        <v>1751</v>
      </c>
      <c r="V68" s="26">
        <v>1002.8</v>
      </c>
      <c r="X68" s="26" t="s">
        <v>123</v>
      </c>
      <c r="Y68" s="26">
        <v>0.26353724738834899</v>
      </c>
      <c r="Z68" s="26">
        <v>0.35663865546218398</v>
      </c>
      <c r="AA68" s="26"/>
      <c r="AB68" s="26" t="s">
        <v>94</v>
      </c>
      <c r="AC68" s="26">
        <v>1736.15</v>
      </c>
      <c r="AD68" s="26">
        <v>1047.2</v>
      </c>
    </row>
    <row r="69" spans="20:30" ht="13.8">
      <c r="T69" s="26" t="s">
        <v>94</v>
      </c>
      <c r="U69" s="26">
        <v>1736.15</v>
      </c>
      <c r="V69" s="26">
        <v>1398.5</v>
      </c>
      <c r="X69" s="26" t="s">
        <v>51</v>
      </c>
      <c r="Y69" s="26">
        <v>0.25923336356995702</v>
      </c>
      <c r="Z69" s="26">
        <v>6.43754130865829E-2</v>
      </c>
      <c r="AA69" s="26"/>
      <c r="AB69" s="26" t="s">
        <v>110</v>
      </c>
      <c r="AC69" s="26">
        <v>1654</v>
      </c>
      <c r="AD69" s="26">
        <v>1015</v>
      </c>
    </row>
    <row r="70" spans="20:30" ht="13.8">
      <c r="T70" s="26" t="s">
        <v>174</v>
      </c>
      <c r="U70" s="26">
        <v>1722.1</v>
      </c>
      <c r="V70" s="26">
        <v>1601</v>
      </c>
      <c r="X70" s="26" t="s">
        <v>143</v>
      </c>
      <c r="Y70" s="26">
        <v>0.2571327014218</v>
      </c>
      <c r="Z70" s="26">
        <v>0.24730438380799999</v>
      </c>
      <c r="AA70" s="26"/>
      <c r="AB70" s="26" t="s">
        <v>57</v>
      </c>
      <c r="AC70" s="26">
        <v>1526.4</v>
      </c>
      <c r="AD70" s="26">
        <v>950.2</v>
      </c>
    </row>
    <row r="71" spans="20:30" ht="13.8">
      <c r="T71" s="26" t="s">
        <v>116</v>
      </c>
      <c r="U71" s="26">
        <v>1662.45</v>
      </c>
      <c r="V71" s="26">
        <v>1436.05</v>
      </c>
      <c r="X71" s="26" t="s">
        <v>13</v>
      </c>
      <c r="Y71" s="26">
        <v>0.25705407085145998</v>
      </c>
      <c r="Z71" s="26">
        <v>0.14501915708812199</v>
      </c>
      <c r="AA71" s="26"/>
      <c r="AB71" s="26" t="s">
        <v>29</v>
      </c>
      <c r="AC71" s="26">
        <v>1751</v>
      </c>
      <c r="AD71" s="26">
        <v>943.7</v>
      </c>
    </row>
    <row r="72" spans="20:30" ht="13.8">
      <c r="T72" s="26" t="s">
        <v>110</v>
      </c>
      <c r="U72" s="26">
        <v>1654</v>
      </c>
      <c r="V72" s="26">
        <v>1077.9000000000001</v>
      </c>
      <c r="X72" s="26" t="s">
        <v>165</v>
      </c>
      <c r="Y72" s="26">
        <v>0.25704936964680902</v>
      </c>
      <c r="Z72" s="26">
        <v>0.28196612421122502</v>
      </c>
      <c r="AA72" s="26"/>
      <c r="AB72" s="26" t="s">
        <v>116</v>
      </c>
      <c r="AC72" s="26">
        <v>1662.45</v>
      </c>
      <c r="AD72" s="26">
        <v>905.2</v>
      </c>
    </row>
    <row r="73" spans="20:30" ht="13.8">
      <c r="T73" s="26" t="s">
        <v>57</v>
      </c>
      <c r="U73" s="26">
        <v>1526.4</v>
      </c>
      <c r="V73" s="26">
        <v>1065.5</v>
      </c>
      <c r="X73" s="26" t="s">
        <v>84</v>
      </c>
      <c r="Y73" s="26">
        <v>0.25356787255227298</v>
      </c>
      <c r="Z73" s="26">
        <v>8.1250000000000003E-2</v>
      </c>
      <c r="AA73" s="26"/>
      <c r="AB73" s="26" t="s">
        <v>220</v>
      </c>
      <c r="AC73" s="26">
        <v>1374.55</v>
      </c>
      <c r="AD73" s="26">
        <v>885.3</v>
      </c>
    </row>
    <row r="74" spans="20:30" ht="13.8">
      <c r="T74" s="26" t="s">
        <v>104</v>
      </c>
      <c r="U74" s="26">
        <v>1511</v>
      </c>
      <c r="V74" s="26">
        <v>1024</v>
      </c>
      <c r="X74" s="26" t="s">
        <v>113</v>
      </c>
      <c r="Y74" s="26">
        <v>0.24802362129726599</v>
      </c>
      <c r="Z74" s="26">
        <v>6.0158453068349597E-2</v>
      </c>
      <c r="AA74" s="26"/>
      <c r="AB74" s="26" t="s">
        <v>104</v>
      </c>
      <c r="AC74" s="26">
        <v>1511</v>
      </c>
      <c r="AD74" s="26">
        <v>871.55</v>
      </c>
    </row>
    <row r="75" spans="20:30" ht="13.8">
      <c r="T75" s="26" t="s">
        <v>153</v>
      </c>
      <c r="U75" s="26">
        <v>1480</v>
      </c>
      <c r="V75" s="26">
        <v>1227.0999999999999</v>
      </c>
      <c r="X75" s="26" t="s">
        <v>35</v>
      </c>
      <c r="Y75" s="26">
        <v>0.23584309531910699</v>
      </c>
      <c r="Z75" s="26">
        <v>0.19879518072289101</v>
      </c>
      <c r="AA75" s="26"/>
      <c r="AB75" s="26" t="s">
        <v>33</v>
      </c>
      <c r="AC75" s="26">
        <v>1185.25</v>
      </c>
      <c r="AD75" s="26">
        <v>860</v>
      </c>
    </row>
    <row r="76" spans="20:30" ht="13.8">
      <c r="T76" s="26" t="s">
        <v>208</v>
      </c>
      <c r="U76" s="26">
        <v>1432.05</v>
      </c>
      <c r="V76" s="26">
        <v>1134.8</v>
      </c>
      <c r="X76" s="26" t="s">
        <v>136</v>
      </c>
      <c r="Y76" s="26">
        <v>0.23510292524376999</v>
      </c>
      <c r="Z76" s="26">
        <v>0.22124199965403901</v>
      </c>
      <c r="AA76" s="26"/>
      <c r="AB76" s="26" t="s">
        <v>80</v>
      </c>
      <c r="AC76" s="26">
        <v>1095</v>
      </c>
      <c r="AD76" s="26">
        <v>830</v>
      </c>
    </row>
    <row r="77" spans="20:30" ht="13.8">
      <c r="T77" s="26" t="s">
        <v>193</v>
      </c>
      <c r="U77" s="26">
        <v>1375</v>
      </c>
      <c r="V77" s="26">
        <v>717</v>
      </c>
      <c r="X77" s="26" t="s">
        <v>114</v>
      </c>
      <c r="Y77" s="26">
        <v>0.23472993437657699</v>
      </c>
      <c r="Z77" s="26">
        <v>0.11626537073853099</v>
      </c>
      <c r="AA77" s="26"/>
      <c r="AB77" s="26" t="s">
        <v>109</v>
      </c>
      <c r="AC77" s="26">
        <v>1359.85</v>
      </c>
      <c r="AD77" s="26">
        <v>785.55</v>
      </c>
    </row>
    <row r="78" spans="20:30" ht="13.8">
      <c r="T78" s="26" t="s">
        <v>220</v>
      </c>
      <c r="U78" s="26">
        <v>1374.55</v>
      </c>
      <c r="V78" s="26">
        <v>1118</v>
      </c>
      <c r="X78" s="26" t="s">
        <v>102</v>
      </c>
      <c r="Y78" s="26">
        <v>0.23179259764625601</v>
      </c>
      <c r="Z78" s="26">
        <v>0.62853258511469101</v>
      </c>
      <c r="AA78" s="26"/>
      <c r="AB78" s="26" t="s">
        <v>205</v>
      </c>
      <c r="AC78" s="26">
        <v>1070.95</v>
      </c>
      <c r="AD78" s="26">
        <v>784.8</v>
      </c>
    </row>
    <row r="79" spans="20:30" ht="13.8">
      <c r="T79" s="26" t="s">
        <v>23</v>
      </c>
      <c r="U79" s="26">
        <v>1366.55</v>
      </c>
      <c r="V79" s="26">
        <v>1327.55</v>
      </c>
      <c r="X79" s="26" t="s">
        <v>183</v>
      </c>
      <c r="Y79" s="26">
        <v>0.23043456006551599</v>
      </c>
      <c r="Z79" s="26">
        <v>0.109184802655846</v>
      </c>
      <c r="AA79" s="26"/>
      <c r="AB79" s="26" t="s">
        <v>89</v>
      </c>
      <c r="AC79" s="26">
        <v>1214.6500000000001</v>
      </c>
      <c r="AD79" s="26">
        <v>773.9</v>
      </c>
    </row>
    <row r="80" spans="20:30" ht="13.8">
      <c r="T80" s="26" t="s">
        <v>109</v>
      </c>
      <c r="U80" s="26">
        <v>1359.85</v>
      </c>
      <c r="V80" s="26">
        <v>885.05</v>
      </c>
      <c r="X80" s="26" t="s">
        <v>150</v>
      </c>
      <c r="Y80" s="26">
        <v>0.22768595041322301</v>
      </c>
      <c r="Z80" s="26">
        <v>0.13963414634146301</v>
      </c>
      <c r="AA80" s="26"/>
      <c r="AB80" s="26" t="s">
        <v>83</v>
      </c>
      <c r="AC80" s="26">
        <v>1193.8499999999999</v>
      </c>
      <c r="AD80" s="26">
        <v>771</v>
      </c>
    </row>
    <row r="81" spans="20:30" ht="13.8">
      <c r="T81" s="26" t="s">
        <v>89</v>
      </c>
      <c r="U81" s="26">
        <v>1214.6500000000001</v>
      </c>
      <c r="V81" s="26">
        <v>975.8</v>
      </c>
      <c r="X81" s="26" t="s">
        <v>227</v>
      </c>
      <c r="Y81" s="26">
        <v>0.22532608695652101</v>
      </c>
      <c r="Z81" s="26">
        <v>0.21207482993197199</v>
      </c>
      <c r="AA81" s="26"/>
      <c r="AB81" s="26" t="s">
        <v>113</v>
      </c>
      <c r="AC81" s="26">
        <v>1049.9000000000001</v>
      </c>
      <c r="AD81" s="26">
        <v>744.7</v>
      </c>
    </row>
    <row r="82" spans="20:30" ht="13.8">
      <c r="T82" s="26" t="s">
        <v>83</v>
      </c>
      <c r="U82" s="26">
        <v>1193.8499999999999</v>
      </c>
      <c r="V82" s="26">
        <v>1136</v>
      </c>
      <c r="X82" s="26" t="s">
        <v>157</v>
      </c>
      <c r="Y82" s="26">
        <v>0.220343758805297</v>
      </c>
      <c r="Z82" s="26">
        <v>7.0820433436532507E-2</v>
      </c>
      <c r="AA82" s="26"/>
      <c r="AB82" s="26" t="s">
        <v>72</v>
      </c>
      <c r="AC82" s="26">
        <v>1094</v>
      </c>
      <c r="AD82" s="26">
        <v>729.55</v>
      </c>
    </row>
    <row r="83" spans="20:30" ht="13.8">
      <c r="T83" s="26" t="s">
        <v>33</v>
      </c>
      <c r="U83" s="26">
        <v>1185.25</v>
      </c>
      <c r="V83" s="26">
        <v>1068.8499999999999</v>
      </c>
      <c r="X83" s="26" t="s">
        <v>225</v>
      </c>
      <c r="Y83" s="26">
        <v>0.218335468675182</v>
      </c>
      <c r="Z83" s="26">
        <v>0.18897637795275499</v>
      </c>
      <c r="AA83" s="26"/>
      <c r="AB83" s="26" t="s">
        <v>207</v>
      </c>
      <c r="AC83" s="26">
        <v>1051.8499999999999</v>
      </c>
      <c r="AD83" s="26">
        <v>720</v>
      </c>
    </row>
    <row r="84" spans="20:30" ht="13.8">
      <c r="T84" s="26" t="s">
        <v>61</v>
      </c>
      <c r="U84" s="26">
        <v>1177</v>
      </c>
      <c r="V84" s="26">
        <v>999.5</v>
      </c>
      <c r="X84" s="26" t="s">
        <v>209</v>
      </c>
      <c r="Y84" s="26">
        <v>0.21029411764705799</v>
      </c>
      <c r="Z84" s="26">
        <v>0.15123757552134001</v>
      </c>
      <c r="AA84" s="26"/>
      <c r="AB84" s="26" t="s">
        <v>192</v>
      </c>
      <c r="AC84" s="26">
        <v>958</v>
      </c>
      <c r="AD84" s="26">
        <v>712</v>
      </c>
    </row>
    <row r="85" spans="20:30" ht="13.8">
      <c r="T85" s="26" t="s">
        <v>223</v>
      </c>
      <c r="U85" s="26">
        <v>1118</v>
      </c>
      <c r="V85" s="26">
        <v>581.79999999999995</v>
      </c>
      <c r="X85" s="26" t="s">
        <v>191</v>
      </c>
      <c r="Y85" s="26">
        <v>0.209445585215605</v>
      </c>
      <c r="Z85" s="26">
        <v>0.41798715203426101</v>
      </c>
      <c r="AA85" s="26"/>
      <c r="AB85" s="26" t="s">
        <v>193</v>
      </c>
      <c r="AC85" s="26">
        <v>1375</v>
      </c>
      <c r="AD85" s="26">
        <v>675</v>
      </c>
    </row>
    <row r="86" spans="20:30" ht="13.8">
      <c r="T86" s="26" t="s">
        <v>123</v>
      </c>
      <c r="U86" s="26">
        <v>1096.05</v>
      </c>
      <c r="V86" s="26">
        <v>807.2</v>
      </c>
      <c r="X86" s="26" t="s">
        <v>208</v>
      </c>
      <c r="Y86" s="26">
        <v>0.20756956810167199</v>
      </c>
      <c r="Z86" s="26">
        <v>1.0365019830231601</v>
      </c>
      <c r="AA86" s="26"/>
      <c r="AB86" s="26" t="s">
        <v>23</v>
      </c>
      <c r="AC86" s="26">
        <v>1366.55</v>
      </c>
      <c r="AD86" s="26">
        <v>671.15</v>
      </c>
    </row>
    <row r="87" spans="20:30" ht="13.8">
      <c r="T87" s="26" t="s">
        <v>80</v>
      </c>
      <c r="U87" s="26">
        <v>1095</v>
      </c>
      <c r="V87" s="26">
        <v>872.85</v>
      </c>
      <c r="X87" s="26" t="s">
        <v>188</v>
      </c>
      <c r="Y87" s="26">
        <v>0.20453890983887499</v>
      </c>
      <c r="Z87" s="26">
        <v>0.44660847880299198</v>
      </c>
      <c r="AA87" s="26"/>
      <c r="AB87" s="26" t="s">
        <v>128</v>
      </c>
      <c r="AC87" s="26">
        <v>925</v>
      </c>
      <c r="AD87" s="26">
        <v>666.35</v>
      </c>
    </row>
    <row r="88" spans="20:30" ht="13.8">
      <c r="T88" s="26" t="s">
        <v>72</v>
      </c>
      <c r="U88" s="26">
        <v>1094</v>
      </c>
      <c r="V88" s="26">
        <v>872</v>
      </c>
      <c r="X88" s="26" t="s">
        <v>72</v>
      </c>
      <c r="Y88" s="26">
        <v>0.20292504570383901</v>
      </c>
      <c r="Z88" s="26">
        <v>0.195257350421492</v>
      </c>
      <c r="AA88" s="26"/>
      <c r="AB88" s="26" t="s">
        <v>218</v>
      </c>
      <c r="AC88" s="26">
        <v>955.65</v>
      </c>
      <c r="AD88" s="26">
        <v>660.2</v>
      </c>
    </row>
    <row r="89" spans="20:30" ht="13.8">
      <c r="T89" s="26" t="s">
        <v>154</v>
      </c>
      <c r="U89" s="26">
        <v>1087</v>
      </c>
      <c r="V89" s="26">
        <v>571.79999999999995</v>
      </c>
      <c r="X89" s="26" t="s">
        <v>80</v>
      </c>
      <c r="Y89" s="26">
        <v>0.202876712328767</v>
      </c>
      <c r="Z89" s="26">
        <v>5.1626506024096401E-2</v>
      </c>
      <c r="AA89" s="26"/>
      <c r="AB89" s="26" t="s">
        <v>35</v>
      </c>
      <c r="AC89" s="26">
        <v>1028.6500000000001</v>
      </c>
      <c r="AD89" s="26">
        <v>655.7</v>
      </c>
    </row>
    <row r="90" spans="20:30" ht="13.8">
      <c r="T90" s="26" t="s">
        <v>205</v>
      </c>
      <c r="U90" s="26">
        <v>1070.95</v>
      </c>
      <c r="V90" s="26">
        <v>1031.05</v>
      </c>
      <c r="X90" s="26" t="s">
        <v>139</v>
      </c>
      <c r="Y90" s="26">
        <v>0.201867496665184</v>
      </c>
      <c r="Z90" s="26">
        <v>0.24264451367255099</v>
      </c>
      <c r="AA90" s="26"/>
      <c r="AB90" s="26" t="s">
        <v>131</v>
      </c>
      <c r="AC90" s="26">
        <v>1044.4000000000001</v>
      </c>
      <c r="AD90" s="26">
        <v>652.29999999999995</v>
      </c>
    </row>
    <row r="91" spans="20:30" ht="13.8">
      <c r="T91" s="26" t="s">
        <v>161</v>
      </c>
      <c r="U91" s="26">
        <v>1057.8499999999999</v>
      </c>
      <c r="V91" s="26">
        <v>988.1</v>
      </c>
      <c r="X91" s="26" t="s">
        <v>169</v>
      </c>
      <c r="Y91" s="26">
        <v>0.197734780556866</v>
      </c>
      <c r="Z91" s="26">
        <v>0.291139240506329</v>
      </c>
      <c r="AA91" s="26"/>
      <c r="AB91" s="26" t="s">
        <v>161</v>
      </c>
      <c r="AC91" s="26">
        <v>1057.8499999999999</v>
      </c>
      <c r="AD91" s="26">
        <v>648.04999999999995</v>
      </c>
    </row>
    <row r="92" spans="20:30" ht="13.8">
      <c r="T92" s="26" t="s">
        <v>207</v>
      </c>
      <c r="U92" s="26">
        <v>1051.8499999999999</v>
      </c>
      <c r="V92" s="26">
        <v>876</v>
      </c>
      <c r="X92" s="26" t="s">
        <v>89</v>
      </c>
      <c r="Y92" s="26">
        <v>0.19664100769769</v>
      </c>
      <c r="Z92" s="26">
        <v>0.26088641943403501</v>
      </c>
      <c r="AA92" s="26"/>
      <c r="AB92" s="26" t="s">
        <v>137</v>
      </c>
      <c r="AC92" s="26">
        <v>958</v>
      </c>
      <c r="AD92" s="26">
        <v>642</v>
      </c>
    </row>
    <row r="93" spans="20:30" ht="13.8">
      <c r="T93" s="26" t="s">
        <v>113</v>
      </c>
      <c r="U93" s="26">
        <v>1049.9000000000001</v>
      </c>
      <c r="V93" s="26">
        <v>789.5</v>
      </c>
      <c r="X93" s="26" t="s">
        <v>94</v>
      </c>
      <c r="Y93" s="26">
        <v>0.19448204360222299</v>
      </c>
      <c r="Z93" s="26">
        <v>0.335466004583651</v>
      </c>
      <c r="AA93" s="26"/>
      <c r="AB93" s="26" t="s">
        <v>156</v>
      </c>
      <c r="AC93" s="26">
        <v>815</v>
      </c>
      <c r="AD93" s="26">
        <v>630.65</v>
      </c>
    </row>
    <row r="94" spans="20:30">
      <c r="T94" s="23" t="s">
        <v>131</v>
      </c>
      <c r="U94">
        <v>1044.4000000000001</v>
      </c>
      <c r="V94">
        <v>891.5</v>
      </c>
      <c r="X94" s="23" t="s">
        <v>142</v>
      </c>
      <c r="Y94">
        <v>0.19438859075595499</v>
      </c>
      <c r="Z94">
        <v>0.15464920986334799</v>
      </c>
      <c r="AA94" s="23"/>
      <c r="AB94" t="s">
        <v>178</v>
      </c>
      <c r="AC94">
        <v>970</v>
      </c>
      <c r="AD94" s="23">
        <v>618.25</v>
      </c>
    </row>
    <row r="95" spans="20:30" ht="13.8">
      <c r="T95" s="26" t="s">
        <v>35</v>
      </c>
      <c r="U95" s="26">
        <v>1028.6500000000001</v>
      </c>
      <c r="V95" s="26">
        <v>786.05</v>
      </c>
      <c r="X95" s="26" t="s">
        <v>78</v>
      </c>
      <c r="Y95" s="26">
        <v>0.19075494549858699</v>
      </c>
      <c r="Z95" s="26">
        <v>0.29655083197231602</v>
      </c>
      <c r="AA95" s="26"/>
      <c r="AB95" s="26" t="s">
        <v>48</v>
      </c>
      <c r="AC95" s="26">
        <v>848</v>
      </c>
      <c r="AD95" s="26">
        <v>607.79999999999995</v>
      </c>
    </row>
    <row r="96" spans="20:30" ht="13.8">
      <c r="T96" s="26" t="s">
        <v>217</v>
      </c>
      <c r="U96" s="26">
        <v>1000</v>
      </c>
      <c r="V96" s="26">
        <v>498.5</v>
      </c>
      <c r="X96" s="26" t="s">
        <v>220</v>
      </c>
      <c r="Y96" s="26">
        <v>0.186642901313157</v>
      </c>
      <c r="Z96" s="26">
        <v>0.26284875183553602</v>
      </c>
      <c r="AA96" s="26"/>
      <c r="AB96" s="26" t="s">
        <v>123</v>
      </c>
      <c r="AC96" s="26">
        <v>1096.05</v>
      </c>
      <c r="AD96" s="26">
        <v>595</v>
      </c>
    </row>
    <row r="97" spans="20:30" ht="13.8">
      <c r="T97" s="26" t="s">
        <v>178</v>
      </c>
      <c r="U97" s="26">
        <v>970</v>
      </c>
      <c r="V97" s="26">
        <v>933.9</v>
      </c>
      <c r="X97" s="26" t="s">
        <v>32</v>
      </c>
      <c r="Y97" s="26">
        <v>0.18632781869834</v>
      </c>
      <c r="Z97" s="26">
        <v>0.46553680164849098</v>
      </c>
      <c r="AA97" s="26"/>
      <c r="AB97" s="26" t="s">
        <v>227</v>
      </c>
      <c r="AC97" s="26">
        <v>920</v>
      </c>
      <c r="AD97" s="26">
        <v>588</v>
      </c>
    </row>
    <row r="98" spans="20:30" ht="13.8">
      <c r="T98" s="26" t="s">
        <v>192</v>
      </c>
      <c r="U98" s="26">
        <v>958</v>
      </c>
      <c r="V98" s="26">
        <v>846.75</v>
      </c>
      <c r="X98" s="26" t="s">
        <v>198</v>
      </c>
      <c r="Y98" s="26">
        <v>0.185858585858585</v>
      </c>
      <c r="Z98" s="26">
        <v>0.66391412056151899</v>
      </c>
      <c r="AA98" s="26"/>
      <c r="AB98" s="26" t="s">
        <v>105</v>
      </c>
      <c r="AC98" s="26">
        <v>2094.4</v>
      </c>
      <c r="AD98" s="26">
        <v>584.79999999999995</v>
      </c>
    </row>
    <row r="99" spans="20:30" ht="13.8">
      <c r="T99" s="26" t="s">
        <v>137</v>
      </c>
      <c r="U99" s="26">
        <v>958</v>
      </c>
      <c r="V99" s="26">
        <v>873.25</v>
      </c>
      <c r="X99" s="26" t="s">
        <v>86</v>
      </c>
      <c r="Y99" s="26">
        <v>0.17620748974460701</v>
      </c>
      <c r="Z99" s="26">
        <v>0.10692144474342399</v>
      </c>
      <c r="AA99" s="26"/>
      <c r="AB99" s="26" t="s">
        <v>223</v>
      </c>
      <c r="AC99" s="26">
        <v>1118</v>
      </c>
      <c r="AD99" s="26">
        <v>579</v>
      </c>
    </row>
    <row r="100" spans="20:30" ht="13.8">
      <c r="T100" s="26" t="s">
        <v>218</v>
      </c>
      <c r="U100" s="26">
        <v>955.65</v>
      </c>
      <c r="V100" s="26">
        <v>916.75</v>
      </c>
      <c r="X100" s="26" t="s">
        <v>153</v>
      </c>
      <c r="Y100" s="26">
        <v>0.17087837837837799</v>
      </c>
      <c r="Z100" s="26">
        <v>1.13408695652173</v>
      </c>
      <c r="AA100" s="26"/>
      <c r="AB100" s="26" t="s">
        <v>153</v>
      </c>
      <c r="AC100" s="26">
        <v>1480</v>
      </c>
      <c r="AD100" s="26">
        <v>575</v>
      </c>
    </row>
    <row r="101" spans="20:30" ht="13.8">
      <c r="T101" s="26" t="s">
        <v>128</v>
      </c>
      <c r="U101" s="26">
        <v>925</v>
      </c>
      <c r="V101" s="26">
        <v>853.05</v>
      </c>
      <c r="X101" s="26" t="s">
        <v>207</v>
      </c>
      <c r="Y101" s="26">
        <v>0.16718163236202799</v>
      </c>
      <c r="Z101" s="26">
        <v>0.21666666666666601</v>
      </c>
      <c r="AA101" s="26"/>
      <c r="AB101" s="26" t="s">
        <v>154</v>
      </c>
      <c r="AC101" s="26">
        <v>1087</v>
      </c>
      <c r="AD101" s="26">
        <v>562.1</v>
      </c>
    </row>
    <row r="102" spans="20:30" ht="13.8">
      <c r="T102" s="26" t="s">
        <v>227</v>
      </c>
      <c r="U102" s="26">
        <v>920</v>
      </c>
      <c r="V102" s="26">
        <v>712.7</v>
      </c>
      <c r="X102" s="26" t="s">
        <v>152</v>
      </c>
      <c r="Y102" s="26">
        <v>0.16635653144771101</v>
      </c>
      <c r="Z102" s="26">
        <v>0.18393234672304401</v>
      </c>
      <c r="AA102" s="26"/>
      <c r="AB102" s="26" t="s">
        <v>208</v>
      </c>
      <c r="AC102" s="26">
        <v>1432.05</v>
      </c>
      <c r="AD102" s="26">
        <v>557.23</v>
      </c>
    </row>
    <row r="103" spans="20:30" ht="13.8">
      <c r="T103" s="26" t="s">
        <v>49</v>
      </c>
      <c r="U103" s="26">
        <v>918.65</v>
      </c>
      <c r="V103" s="26">
        <v>641</v>
      </c>
      <c r="X103" s="26" t="s">
        <v>10</v>
      </c>
      <c r="Y103" s="26">
        <v>0.16593746137683801</v>
      </c>
      <c r="Z103" s="26">
        <v>0.153178400546821</v>
      </c>
      <c r="AA103" s="26"/>
      <c r="AB103" s="26" t="s">
        <v>49</v>
      </c>
      <c r="AC103" s="26">
        <v>918.65</v>
      </c>
      <c r="AD103" s="26">
        <v>557</v>
      </c>
    </row>
    <row r="104" spans="20:30" ht="13.8">
      <c r="T104" s="26" t="s">
        <v>48</v>
      </c>
      <c r="U104" s="26">
        <v>848</v>
      </c>
      <c r="V104" s="26">
        <v>718.45</v>
      </c>
      <c r="X104" s="26" t="s">
        <v>138</v>
      </c>
      <c r="Y104" s="26">
        <v>0.16432786885245801</v>
      </c>
      <c r="Z104" s="26">
        <v>0.40352422907489</v>
      </c>
      <c r="AA104" s="26"/>
      <c r="AB104" s="26" t="s">
        <v>42</v>
      </c>
      <c r="AC104" s="26">
        <v>793.05</v>
      </c>
      <c r="AD104" s="26">
        <v>543.6</v>
      </c>
    </row>
    <row r="105" spans="20:30" ht="13.8">
      <c r="T105" s="26" t="s">
        <v>122</v>
      </c>
      <c r="U105" s="26">
        <v>833</v>
      </c>
      <c r="V105" s="26">
        <v>499.35</v>
      </c>
      <c r="X105" s="26" t="s">
        <v>133</v>
      </c>
      <c r="Y105" s="26">
        <v>0.16198704103671699</v>
      </c>
      <c r="Z105" s="26">
        <v>0.27190873726998499</v>
      </c>
      <c r="AA105" s="26"/>
      <c r="AB105" s="26" t="s">
        <v>103</v>
      </c>
      <c r="AC105" s="26">
        <v>822.8</v>
      </c>
      <c r="AD105" s="26">
        <v>540</v>
      </c>
    </row>
    <row r="106" spans="20:30" ht="13.8">
      <c r="T106" s="26" t="s">
        <v>103</v>
      </c>
      <c r="U106" s="26">
        <v>822.8</v>
      </c>
      <c r="V106" s="26">
        <v>555</v>
      </c>
      <c r="X106" s="26" t="s">
        <v>90</v>
      </c>
      <c r="Y106" s="26">
        <v>0.15860328144720201</v>
      </c>
      <c r="Z106" s="26">
        <v>0.19460040616413801</v>
      </c>
      <c r="AA106" s="26"/>
      <c r="AB106" s="26" t="s">
        <v>213</v>
      </c>
      <c r="AC106" s="26">
        <v>732.98</v>
      </c>
      <c r="AD106" s="26">
        <v>525</v>
      </c>
    </row>
    <row r="107" spans="20:30" ht="13.8">
      <c r="T107" s="26" t="s">
        <v>156</v>
      </c>
      <c r="U107" s="26">
        <v>815</v>
      </c>
      <c r="V107" s="26">
        <v>717.5</v>
      </c>
      <c r="X107" s="26" t="s">
        <v>213</v>
      </c>
      <c r="Y107" s="26">
        <v>0.15550219651286501</v>
      </c>
      <c r="Z107" s="26">
        <v>0.17904761904761901</v>
      </c>
      <c r="AA107" s="26"/>
      <c r="AB107" s="26" t="s">
        <v>209</v>
      </c>
      <c r="AC107" s="26">
        <v>748</v>
      </c>
      <c r="AD107" s="26">
        <v>513.1</v>
      </c>
    </row>
    <row r="108" spans="20:30" ht="13.8">
      <c r="T108" s="26" t="s">
        <v>42</v>
      </c>
      <c r="U108" s="26">
        <v>793.05</v>
      </c>
      <c r="V108" s="26">
        <v>564</v>
      </c>
      <c r="X108" s="26" t="s">
        <v>121</v>
      </c>
      <c r="Y108" s="26">
        <v>0.15403422982885001</v>
      </c>
      <c r="Z108" s="26">
        <v>0.3515625</v>
      </c>
      <c r="AA108" s="26"/>
      <c r="AB108" s="26" t="s">
        <v>61</v>
      </c>
      <c r="AC108" s="26">
        <v>1177</v>
      </c>
      <c r="AD108" s="26">
        <v>513</v>
      </c>
    </row>
    <row r="109" spans="20:30" ht="13.8">
      <c r="T109" s="26" t="s">
        <v>221</v>
      </c>
      <c r="U109" s="26">
        <v>778</v>
      </c>
      <c r="V109" s="26">
        <v>429.35</v>
      </c>
      <c r="X109" s="26" t="s">
        <v>48</v>
      </c>
      <c r="Y109" s="26">
        <v>0.152771226415094</v>
      </c>
      <c r="Z109" s="26">
        <v>0.18205001645277999</v>
      </c>
      <c r="AA109" s="26"/>
      <c r="AB109" s="26" t="s">
        <v>112</v>
      </c>
      <c r="AC109" s="26">
        <v>749</v>
      </c>
      <c r="AD109" s="26">
        <v>484.7</v>
      </c>
    </row>
    <row r="110" spans="20:30" ht="13.8">
      <c r="T110" s="26" t="s">
        <v>106</v>
      </c>
      <c r="U110" s="26">
        <v>764.25</v>
      </c>
      <c r="V110" s="26">
        <v>696.3</v>
      </c>
      <c r="X110" s="26" t="s">
        <v>61</v>
      </c>
      <c r="Y110" s="26">
        <v>0.15080713678844501</v>
      </c>
      <c r="Z110" s="26">
        <v>0.94834307992202704</v>
      </c>
      <c r="AA110" s="26"/>
      <c r="AB110" s="26" t="s">
        <v>30</v>
      </c>
      <c r="AC110" s="26">
        <v>610.75</v>
      </c>
      <c r="AD110" s="26">
        <v>482.25</v>
      </c>
    </row>
    <row r="111" spans="20:30" ht="13.8">
      <c r="T111" s="26" t="s">
        <v>112</v>
      </c>
      <c r="U111" s="26">
        <v>749</v>
      </c>
      <c r="V111" s="26">
        <v>523.9</v>
      </c>
      <c r="X111" s="26" t="s">
        <v>131</v>
      </c>
      <c r="Y111" s="26">
        <v>0.146399846801991</v>
      </c>
      <c r="Z111" s="26">
        <v>0.36670243752874399</v>
      </c>
      <c r="AA111" s="26"/>
      <c r="AB111" s="26" t="s">
        <v>163</v>
      </c>
      <c r="AC111" s="26">
        <v>744.15</v>
      </c>
      <c r="AD111" s="26">
        <v>477.8</v>
      </c>
    </row>
    <row r="112" spans="20:30" ht="13.8">
      <c r="T112" s="26" t="s">
        <v>209</v>
      </c>
      <c r="U112" s="26">
        <v>748</v>
      </c>
      <c r="V112" s="26">
        <v>590.70000000000005</v>
      </c>
      <c r="X112" s="26" t="s">
        <v>95</v>
      </c>
      <c r="Y112" s="26">
        <v>0.14581185176199399</v>
      </c>
      <c r="Z112" s="26">
        <v>4.1642011834319398E-2</v>
      </c>
      <c r="AA112" s="26"/>
      <c r="AB112" s="26" t="s">
        <v>217</v>
      </c>
      <c r="AC112" s="26">
        <v>1000</v>
      </c>
      <c r="AD112" s="26">
        <v>472.2</v>
      </c>
    </row>
    <row r="113" spans="20:30" ht="13.8">
      <c r="T113" s="26" t="s">
        <v>163</v>
      </c>
      <c r="U113" s="26">
        <v>744.15</v>
      </c>
      <c r="V113" s="26">
        <v>481.35</v>
      </c>
      <c r="X113" s="26" t="s">
        <v>59</v>
      </c>
      <c r="Y113" s="26">
        <v>0.14331864318902399</v>
      </c>
      <c r="Z113" s="26">
        <v>0.27100591715976302</v>
      </c>
      <c r="AA113" s="26"/>
      <c r="AB113" s="26" t="s">
        <v>122</v>
      </c>
      <c r="AC113" s="26">
        <v>833</v>
      </c>
      <c r="AD113" s="26">
        <v>468</v>
      </c>
    </row>
    <row r="114" spans="20:30" ht="13.8">
      <c r="T114" s="26" t="s">
        <v>213</v>
      </c>
      <c r="U114" s="26">
        <v>732.98</v>
      </c>
      <c r="V114" s="26">
        <v>619</v>
      </c>
      <c r="X114" s="26" t="s">
        <v>182</v>
      </c>
      <c r="Y114" s="26">
        <v>0.140021656062355</v>
      </c>
      <c r="Z114" s="26">
        <v>0.34479322929494199</v>
      </c>
      <c r="AA114" s="26"/>
      <c r="AB114" s="26" t="s">
        <v>133</v>
      </c>
      <c r="AC114" s="26">
        <v>694.5</v>
      </c>
      <c r="AD114" s="26">
        <v>457.58</v>
      </c>
    </row>
    <row r="115" spans="20:30" ht="13.8">
      <c r="T115" s="26" t="s">
        <v>66</v>
      </c>
      <c r="U115" s="26">
        <v>727.95</v>
      </c>
      <c r="V115" s="26">
        <v>435.3</v>
      </c>
      <c r="X115" s="26" t="s">
        <v>124</v>
      </c>
      <c r="Y115" s="26">
        <v>0.13716979720122699</v>
      </c>
      <c r="Z115" s="26">
        <v>0.31605981052391202</v>
      </c>
      <c r="AA115" s="26"/>
      <c r="AB115" s="26" t="s">
        <v>41</v>
      </c>
      <c r="AC115" s="26">
        <v>554.35</v>
      </c>
      <c r="AD115" s="26">
        <v>455.65</v>
      </c>
    </row>
    <row r="116" spans="20:30" ht="13.8">
      <c r="T116" s="26" t="s">
        <v>70</v>
      </c>
      <c r="U116" s="26">
        <v>721.8</v>
      </c>
      <c r="V116" s="26">
        <v>450.2</v>
      </c>
      <c r="X116" s="26" t="s">
        <v>116</v>
      </c>
      <c r="Y116" s="26">
        <v>0.13618454690366599</v>
      </c>
      <c r="Z116" s="26">
        <v>0.586444984533804</v>
      </c>
      <c r="AA116" s="26"/>
      <c r="AB116" s="26" t="s">
        <v>106</v>
      </c>
      <c r="AC116" s="26">
        <v>764.25</v>
      </c>
      <c r="AD116" s="26">
        <v>440</v>
      </c>
    </row>
    <row r="117" spans="20:30" ht="13.8">
      <c r="T117" s="26" t="s">
        <v>133</v>
      </c>
      <c r="U117" s="26">
        <v>694.5</v>
      </c>
      <c r="V117" s="26">
        <v>582</v>
      </c>
      <c r="X117" s="26" t="s">
        <v>184</v>
      </c>
      <c r="Y117" s="26">
        <v>0.135934737321219</v>
      </c>
      <c r="Z117" s="26">
        <v>0.13206422018348599</v>
      </c>
      <c r="AA117" s="26"/>
      <c r="AB117" s="26" t="s">
        <v>124</v>
      </c>
      <c r="AC117" s="26">
        <v>668.15</v>
      </c>
      <c r="AD117" s="26">
        <v>438.05</v>
      </c>
    </row>
    <row r="118" spans="20:30" ht="13.8">
      <c r="T118" s="26" t="s">
        <v>159</v>
      </c>
      <c r="U118" s="26">
        <v>671</v>
      </c>
      <c r="V118" s="26">
        <v>382.15</v>
      </c>
      <c r="X118" s="26" t="s">
        <v>17</v>
      </c>
      <c r="Y118" s="26">
        <v>0.13458900603951199</v>
      </c>
      <c r="Z118" s="26">
        <v>0.293373415639748</v>
      </c>
      <c r="AA118" s="26"/>
      <c r="AB118" s="26" t="s">
        <v>66</v>
      </c>
      <c r="AC118" s="26">
        <v>727.95</v>
      </c>
      <c r="AD118" s="26">
        <v>429.2</v>
      </c>
    </row>
    <row r="119" spans="20:30" ht="13.8">
      <c r="T119" s="26" t="s">
        <v>124</v>
      </c>
      <c r="U119" s="26">
        <v>668.15</v>
      </c>
      <c r="V119" s="26">
        <v>576.5</v>
      </c>
      <c r="X119" s="26" t="s">
        <v>34</v>
      </c>
      <c r="Y119" s="26">
        <v>0.132826214160327</v>
      </c>
      <c r="Z119" s="26">
        <v>0.893065693430657</v>
      </c>
      <c r="AA119" s="26"/>
      <c r="AB119" s="26" t="s">
        <v>221</v>
      </c>
      <c r="AC119" s="26">
        <v>778</v>
      </c>
      <c r="AD119" s="26">
        <v>428.9</v>
      </c>
    </row>
    <row r="120" spans="20:30" ht="13.8">
      <c r="T120" s="26" t="s">
        <v>158</v>
      </c>
      <c r="U120" s="26">
        <v>666</v>
      </c>
      <c r="V120" s="26">
        <v>393.65</v>
      </c>
      <c r="X120" s="26" t="s">
        <v>27</v>
      </c>
      <c r="Y120" s="26">
        <v>0.13114044579095399</v>
      </c>
      <c r="Z120" s="26">
        <v>0.456293072179905</v>
      </c>
      <c r="AA120" s="26"/>
      <c r="AB120" s="26" t="s">
        <v>180</v>
      </c>
      <c r="AC120" s="26">
        <v>629.65</v>
      </c>
      <c r="AD120" s="26">
        <v>425</v>
      </c>
    </row>
    <row r="121" spans="20:30" ht="13.8">
      <c r="T121" s="26" t="s">
        <v>146</v>
      </c>
      <c r="U121" s="26">
        <v>638.79999999999995</v>
      </c>
      <c r="V121" s="26">
        <v>389.4</v>
      </c>
      <c r="X121" s="26" t="s">
        <v>24</v>
      </c>
      <c r="Y121" s="26">
        <v>0.12810552429357999</v>
      </c>
      <c r="Z121" s="26">
        <v>0.152783999999999</v>
      </c>
      <c r="AA121" s="26"/>
      <c r="AB121" s="26" t="s">
        <v>70</v>
      </c>
      <c r="AC121" s="26">
        <v>721.8</v>
      </c>
      <c r="AD121" s="26">
        <v>403.55</v>
      </c>
    </row>
    <row r="122" spans="20:30" ht="13.8">
      <c r="T122" s="26" t="s">
        <v>169</v>
      </c>
      <c r="U122" s="26">
        <v>635.70000000000005</v>
      </c>
      <c r="V122" s="26">
        <v>510</v>
      </c>
      <c r="X122" s="26" t="s">
        <v>147</v>
      </c>
      <c r="Y122" s="26">
        <v>0.12754719468683801</v>
      </c>
      <c r="Z122" s="26">
        <v>0.50457568351048698</v>
      </c>
      <c r="AA122" s="26"/>
      <c r="AB122" s="26" t="s">
        <v>169</v>
      </c>
      <c r="AC122" s="26">
        <v>635.70000000000005</v>
      </c>
      <c r="AD122" s="26">
        <v>395</v>
      </c>
    </row>
    <row r="123" spans="20:30" ht="13.8">
      <c r="T123" s="26" t="s">
        <v>180</v>
      </c>
      <c r="U123" s="26">
        <v>629.65</v>
      </c>
      <c r="V123" s="26">
        <v>600.04999999999995</v>
      </c>
      <c r="X123" s="26" t="s">
        <v>55</v>
      </c>
      <c r="Y123" s="26">
        <v>0.12155904549843299</v>
      </c>
      <c r="Z123" s="26">
        <v>0.31850581171807901</v>
      </c>
      <c r="AA123" s="26"/>
      <c r="AB123" s="26" t="s">
        <v>152</v>
      </c>
      <c r="AC123" s="26">
        <v>537.4</v>
      </c>
      <c r="AD123" s="26">
        <v>378.4</v>
      </c>
    </row>
    <row r="124" spans="20:30" ht="13.8">
      <c r="T124" s="26" t="s">
        <v>75</v>
      </c>
      <c r="U124" s="26">
        <v>626.29999999999995</v>
      </c>
      <c r="V124" s="26">
        <v>357.4</v>
      </c>
      <c r="X124" s="26" t="s">
        <v>65</v>
      </c>
      <c r="Y124" s="26">
        <v>0.12</v>
      </c>
      <c r="Z124" s="26">
        <v>0.30244391711720497</v>
      </c>
      <c r="AA124" s="26"/>
      <c r="AB124" s="26" t="s">
        <v>158</v>
      </c>
      <c r="AC124" s="26">
        <v>666</v>
      </c>
      <c r="AD124" s="26">
        <v>372.4</v>
      </c>
    </row>
    <row r="125" spans="20:30" ht="13.8">
      <c r="T125" s="26" t="s">
        <v>194</v>
      </c>
      <c r="U125" s="26">
        <v>624</v>
      </c>
      <c r="V125" s="26">
        <v>415</v>
      </c>
      <c r="X125" s="26" t="s">
        <v>156</v>
      </c>
      <c r="Y125" s="26">
        <v>0.11963190184049</v>
      </c>
      <c r="Z125" s="26">
        <v>0.137715055894711</v>
      </c>
      <c r="AA125" s="26"/>
      <c r="AB125" s="26" t="s">
        <v>146</v>
      </c>
      <c r="AC125" s="26">
        <v>638.79999999999995</v>
      </c>
      <c r="AD125" s="26">
        <v>364.1</v>
      </c>
    </row>
    <row r="126" spans="20:30" ht="13.8">
      <c r="T126" s="26" t="s">
        <v>135</v>
      </c>
      <c r="U126" s="26">
        <v>617.4</v>
      </c>
      <c r="V126" s="26">
        <v>367.25</v>
      </c>
      <c r="X126" s="26" t="s">
        <v>60</v>
      </c>
      <c r="Y126" s="26">
        <v>0.118008895618434</v>
      </c>
      <c r="Z126" s="26">
        <v>0.39787019776735</v>
      </c>
      <c r="AA126" s="26"/>
      <c r="AB126" s="26" t="s">
        <v>194</v>
      </c>
      <c r="AC126" s="26">
        <v>624</v>
      </c>
      <c r="AD126" s="26">
        <v>358.15</v>
      </c>
    </row>
    <row r="127" spans="20:30" ht="13.8">
      <c r="T127" s="26" t="s">
        <v>30</v>
      </c>
      <c r="U127" s="26">
        <v>610.75</v>
      </c>
      <c r="V127" s="26">
        <v>544</v>
      </c>
      <c r="X127" s="26" t="s">
        <v>192</v>
      </c>
      <c r="Y127" s="26">
        <v>0.116127348643006</v>
      </c>
      <c r="Z127" s="26">
        <v>0.18925561797752799</v>
      </c>
      <c r="AA127" s="26"/>
      <c r="AB127" s="26" t="s">
        <v>75</v>
      </c>
      <c r="AC127" s="26">
        <v>626.29999999999995</v>
      </c>
      <c r="AD127" s="26">
        <v>354</v>
      </c>
    </row>
    <row r="128" spans="20:30" ht="13.8">
      <c r="T128" s="26" t="s">
        <v>34</v>
      </c>
      <c r="U128" s="26">
        <v>598.15</v>
      </c>
      <c r="V128" s="26">
        <v>518.70000000000005</v>
      </c>
      <c r="X128" s="26" t="s">
        <v>30</v>
      </c>
      <c r="Y128" s="26">
        <v>0.109291854277527</v>
      </c>
      <c r="Z128" s="26">
        <v>0.128045619491964</v>
      </c>
      <c r="AA128" s="26"/>
      <c r="AB128" s="26" t="s">
        <v>87</v>
      </c>
      <c r="AC128" s="26">
        <v>540.79999999999995</v>
      </c>
      <c r="AD128" s="26">
        <v>351.5</v>
      </c>
    </row>
    <row r="129" spans="20:30" ht="13.8">
      <c r="T129" s="26" t="s">
        <v>175</v>
      </c>
      <c r="U129" s="26">
        <v>593.9</v>
      </c>
      <c r="V129" s="26">
        <v>553.4</v>
      </c>
      <c r="X129" s="26" t="s">
        <v>216</v>
      </c>
      <c r="Y129" s="26">
        <v>0.10865810618007</v>
      </c>
      <c r="Z129" s="26">
        <v>9.1661557326793305E-2</v>
      </c>
      <c r="AA129" s="26"/>
      <c r="AB129" s="26" t="s">
        <v>175</v>
      </c>
      <c r="AC129" s="26">
        <v>593.9</v>
      </c>
      <c r="AD129" s="26">
        <v>343.5</v>
      </c>
    </row>
    <row r="130" spans="20:30" ht="13.8">
      <c r="T130" s="26" t="s">
        <v>202</v>
      </c>
      <c r="U130" s="26">
        <v>566.5</v>
      </c>
      <c r="V130" s="26">
        <v>299</v>
      </c>
      <c r="X130" s="26" t="s">
        <v>212</v>
      </c>
      <c r="Y130" s="26">
        <v>0.107215897470856</v>
      </c>
      <c r="Z130" s="26">
        <v>0.29281836130305999</v>
      </c>
      <c r="AA130" s="26"/>
      <c r="AB130" s="26" t="s">
        <v>74</v>
      </c>
      <c r="AC130" s="26">
        <v>466.65</v>
      </c>
      <c r="AD130" s="26">
        <v>322.10000000000002</v>
      </c>
    </row>
    <row r="131" spans="20:30" ht="13.8">
      <c r="T131" s="26" t="s">
        <v>41</v>
      </c>
      <c r="U131" s="26">
        <v>554.35</v>
      </c>
      <c r="V131" s="26">
        <v>497.5</v>
      </c>
      <c r="X131" s="26" t="s">
        <v>74</v>
      </c>
      <c r="Y131" s="26">
        <v>0.106718097074895</v>
      </c>
      <c r="Z131" s="26">
        <v>0.29416330332194901</v>
      </c>
      <c r="AA131" s="26"/>
      <c r="AB131" s="26" t="s">
        <v>159</v>
      </c>
      <c r="AC131" s="26">
        <v>671</v>
      </c>
      <c r="AD131" s="26">
        <v>320.85000000000002</v>
      </c>
    </row>
    <row r="132" spans="20:30" ht="13.8">
      <c r="T132" s="26" t="s">
        <v>87</v>
      </c>
      <c r="U132" s="26">
        <v>540.79999999999995</v>
      </c>
      <c r="V132" s="26">
        <v>493.2</v>
      </c>
      <c r="X132" s="26" t="s">
        <v>41</v>
      </c>
      <c r="Y132" s="26">
        <v>0.10255253900965</v>
      </c>
      <c r="Z132" s="26">
        <v>9.1846812246241694E-2</v>
      </c>
      <c r="AA132" s="26"/>
      <c r="AB132" s="26" t="s">
        <v>84</v>
      </c>
      <c r="AC132" s="26">
        <v>451.95</v>
      </c>
      <c r="AD132" s="26">
        <v>312</v>
      </c>
    </row>
    <row r="133" spans="20:30" ht="13.8">
      <c r="T133" s="26" t="s">
        <v>152</v>
      </c>
      <c r="U133" s="26">
        <v>537.4</v>
      </c>
      <c r="V133" s="26">
        <v>448</v>
      </c>
      <c r="X133" s="26" t="s">
        <v>33</v>
      </c>
      <c r="Y133" s="26">
        <v>9.8207129297616602E-2</v>
      </c>
      <c r="Z133" s="26">
        <v>0.242848837209302</v>
      </c>
      <c r="AA133" s="26"/>
      <c r="AB133" s="26" t="s">
        <v>135</v>
      </c>
      <c r="AC133" s="26">
        <v>617.4</v>
      </c>
      <c r="AD133" s="26">
        <v>305.25</v>
      </c>
    </row>
    <row r="134" spans="20:30" ht="13.8">
      <c r="T134" s="26" t="s">
        <v>165</v>
      </c>
      <c r="U134" s="26">
        <v>519.54999999999995</v>
      </c>
      <c r="V134" s="26">
        <v>386</v>
      </c>
      <c r="X134" s="26" t="s">
        <v>173</v>
      </c>
      <c r="Y134" s="26">
        <v>9.1625346667787197E-2</v>
      </c>
      <c r="Z134" s="26">
        <v>0.183223864258347</v>
      </c>
      <c r="AA134" s="26"/>
      <c r="AB134" s="26" t="s">
        <v>165</v>
      </c>
      <c r="AC134" s="26">
        <v>519.54999999999995</v>
      </c>
      <c r="AD134" s="26">
        <v>301.10000000000002</v>
      </c>
    </row>
    <row r="135" spans="20:30" ht="13.8">
      <c r="T135" s="26" t="s">
        <v>126</v>
      </c>
      <c r="U135" s="26">
        <v>501.6</v>
      </c>
      <c r="V135" s="26">
        <v>289.39999999999998</v>
      </c>
      <c r="X135" s="26" t="s">
        <v>98</v>
      </c>
      <c r="Y135" s="26">
        <v>9.15445321307779E-2</v>
      </c>
      <c r="Z135" s="26">
        <v>0.38097686375321299</v>
      </c>
      <c r="AA135" s="26"/>
      <c r="AB135" s="26" t="s">
        <v>98</v>
      </c>
      <c r="AC135" s="26">
        <v>443.5</v>
      </c>
      <c r="AD135" s="26">
        <v>291.75</v>
      </c>
    </row>
    <row r="136" spans="20:30" ht="13.8">
      <c r="T136" s="26" t="s">
        <v>140</v>
      </c>
      <c r="U136" s="26">
        <v>496.1</v>
      </c>
      <c r="V136" s="26">
        <v>211.35</v>
      </c>
      <c r="X136" s="26" t="s">
        <v>106</v>
      </c>
      <c r="Y136" s="26">
        <v>8.8910696761530905E-2</v>
      </c>
      <c r="Z136" s="26">
        <v>0.58249999999999902</v>
      </c>
      <c r="AA136" s="26"/>
      <c r="AB136" s="26" t="s">
        <v>136</v>
      </c>
      <c r="AC136" s="26">
        <v>461.5</v>
      </c>
      <c r="AD136" s="26">
        <v>289.05</v>
      </c>
    </row>
    <row r="137" spans="20:30" ht="13.8">
      <c r="T137" s="26" t="s">
        <v>166</v>
      </c>
      <c r="U137" s="26">
        <v>480.4</v>
      </c>
      <c r="V137" s="26">
        <v>462.25</v>
      </c>
      <c r="X137" s="26" t="s">
        <v>137</v>
      </c>
      <c r="Y137" s="26">
        <v>8.8465553235908101E-2</v>
      </c>
      <c r="Z137" s="26">
        <v>0.36020249221183798</v>
      </c>
      <c r="AA137" s="26"/>
      <c r="AB137" s="26" t="s">
        <v>202</v>
      </c>
      <c r="AC137" s="26">
        <v>566.5</v>
      </c>
      <c r="AD137" s="26">
        <v>288</v>
      </c>
    </row>
    <row r="138" spans="20:30" ht="13.8">
      <c r="T138" s="26" t="s">
        <v>171</v>
      </c>
      <c r="U138" s="26">
        <v>477.95</v>
      </c>
      <c r="V138" s="26">
        <v>288.10000000000002</v>
      </c>
      <c r="X138" s="26" t="s">
        <v>22</v>
      </c>
      <c r="Y138" s="26">
        <v>8.8226780770198798E-2</v>
      </c>
      <c r="Z138" s="26">
        <v>0.404863245460098</v>
      </c>
      <c r="AA138" s="26"/>
      <c r="AB138" s="26" t="s">
        <v>126</v>
      </c>
      <c r="AC138" s="26">
        <v>501.6</v>
      </c>
      <c r="AD138" s="26">
        <v>274.35000000000002</v>
      </c>
    </row>
    <row r="139" spans="20:30">
      <c r="T139" s="23" t="s">
        <v>74</v>
      </c>
      <c r="U139">
        <v>466.65</v>
      </c>
      <c r="V139">
        <v>416.85</v>
      </c>
      <c r="X139" s="23" t="s">
        <v>87</v>
      </c>
      <c r="Y139">
        <v>8.8017751479289794E-2</v>
      </c>
      <c r="Z139">
        <v>0.40312944523470801</v>
      </c>
      <c r="AA139" s="23"/>
      <c r="AB139" t="s">
        <v>34</v>
      </c>
      <c r="AC139">
        <v>598.15</v>
      </c>
      <c r="AD139" s="23">
        <v>274</v>
      </c>
    </row>
    <row r="140" spans="20:30" ht="13.8">
      <c r="T140" s="26" t="s">
        <v>136</v>
      </c>
      <c r="U140" s="26">
        <v>461.5</v>
      </c>
      <c r="V140" s="26">
        <v>353</v>
      </c>
      <c r="X140" s="26" t="s">
        <v>128</v>
      </c>
      <c r="Y140" s="26">
        <v>7.7783783783783797E-2</v>
      </c>
      <c r="Z140" s="26">
        <v>0.280183086966308</v>
      </c>
      <c r="AA140" s="26"/>
      <c r="AB140" s="26" t="s">
        <v>171</v>
      </c>
      <c r="AC140" s="26">
        <v>477.95</v>
      </c>
      <c r="AD140" s="26">
        <v>261</v>
      </c>
    </row>
    <row r="141" spans="20:30" ht="13.8">
      <c r="T141" s="26" t="s">
        <v>84</v>
      </c>
      <c r="U141" s="26">
        <v>451.95</v>
      </c>
      <c r="V141" s="26">
        <v>337.35</v>
      </c>
      <c r="X141" s="26" t="s">
        <v>174</v>
      </c>
      <c r="Y141" s="26">
        <v>7.0321119563323806E-2</v>
      </c>
      <c r="Z141" s="26">
        <v>0.25904372444164803</v>
      </c>
      <c r="AA141" s="26"/>
      <c r="AB141" s="26" t="s">
        <v>166</v>
      </c>
      <c r="AC141" s="26">
        <v>480.4</v>
      </c>
      <c r="AD141" s="26">
        <v>258.95</v>
      </c>
    </row>
    <row r="142" spans="20:30" ht="13.8">
      <c r="T142" s="26" t="s">
        <v>98</v>
      </c>
      <c r="U142" s="26">
        <v>443.5</v>
      </c>
      <c r="V142" s="26">
        <v>402.9</v>
      </c>
      <c r="X142" s="26" t="s">
        <v>44</v>
      </c>
      <c r="Y142" s="26">
        <v>7.0305587694820607E-2</v>
      </c>
      <c r="Z142" s="26">
        <v>0.27256212590539602</v>
      </c>
      <c r="AA142" s="26"/>
      <c r="AB142" s="26" t="s">
        <v>157</v>
      </c>
      <c r="AC142" s="26">
        <v>354.9</v>
      </c>
      <c r="AD142" s="26">
        <v>258.39999999999998</v>
      </c>
    </row>
    <row r="143" spans="20:30" ht="13.8">
      <c r="T143" s="26" t="s">
        <v>185</v>
      </c>
      <c r="U143" s="26">
        <v>393.85</v>
      </c>
      <c r="V143" s="26">
        <v>241.5</v>
      </c>
      <c r="X143" s="26" t="s">
        <v>175</v>
      </c>
      <c r="Y143" s="26">
        <v>6.8193298535106903E-2</v>
      </c>
      <c r="Z143" s="26">
        <v>0.61106259097525395</v>
      </c>
      <c r="AA143" s="26"/>
      <c r="AB143" s="26" t="s">
        <v>145</v>
      </c>
      <c r="AC143" s="26">
        <v>372.2</v>
      </c>
      <c r="AD143" s="26">
        <v>244</v>
      </c>
    </row>
    <row r="144" spans="20:30" ht="13.8">
      <c r="T144" s="26" t="s">
        <v>138</v>
      </c>
      <c r="U144" s="26">
        <v>381.25</v>
      </c>
      <c r="V144" s="26">
        <v>318.60000000000002</v>
      </c>
      <c r="X144" s="26" t="s">
        <v>148</v>
      </c>
      <c r="Y144" s="26">
        <v>6.5998194045741795E-2</v>
      </c>
      <c r="Z144" s="26">
        <v>0.87810298102980999</v>
      </c>
      <c r="AA144" s="26"/>
      <c r="AB144" s="26" t="s">
        <v>176</v>
      </c>
      <c r="AC144" s="26">
        <v>375.2</v>
      </c>
      <c r="AD144" s="26">
        <v>241.05</v>
      </c>
    </row>
    <row r="145" spans="20:30" ht="13.8">
      <c r="T145" s="26" t="s">
        <v>176</v>
      </c>
      <c r="U145" s="26">
        <v>375.2</v>
      </c>
      <c r="V145" s="26">
        <v>252.6</v>
      </c>
      <c r="X145" s="26" t="s">
        <v>161</v>
      </c>
      <c r="Y145" s="26">
        <v>6.5935624143309404E-2</v>
      </c>
      <c r="Z145" s="26">
        <v>0.52472803024458003</v>
      </c>
      <c r="AA145" s="26"/>
      <c r="AB145" s="26" t="s">
        <v>138</v>
      </c>
      <c r="AC145" s="26">
        <v>381.25</v>
      </c>
      <c r="AD145" s="26">
        <v>227</v>
      </c>
    </row>
    <row r="146" spans="20:30" ht="13.8">
      <c r="T146" s="26" t="s">
        <v>145</v>
      </c>
      <c r="U146" s="26">
        <v>372.2</v>
      </c>
      <c r="V146" s="26">
        <v>267.2</v>
      </c>
      <c r="X146" s="26" t="s">
        <v>179</v>
      </c>
      <c r="Y146" s="26">
        <v>6.2373225152129702E-2</v>
      </c>
      <c r="Z146" s="26">
        <v>1.05672969966629</v>
      </c>
      <c r="AA146" s="26"/>
      <c r="AB146" s="26" t="s">
        <v>50</v>
      </c>
      <c r="AC146" s="26">
        <v>349.55</v>
      </c>
      <c r="AD146" s="26">
        <v>209.55</v>
      </c>
    </row>
    <row r="147" spans="20:30" ht="13.8">
      <c r="T147" s="26" t="s">
        <v>157</v>
      </c>
      <c r="U147" s="26">
        <v>354.9</v>
      </c>
      <c r="V147" s="26">
        <v>276.7</v>
      </c>
      <c r="X147" s="26" t="s">
        <v>111</v>
      </c>
      <c r="Y147" s="26">
        <v>5.8444902162718797E-2</v>
      </c>
      <c r="Z147" s="26">
        <v>0.40383877159309001</v>
      </c>
      <c r="AA147" s="26"/>
      <c r="AB147" s="26" t="s">
        <v>140</v>
      </c>
      <c r="AC147" s="26">
        <v>496.1</v>
      </c>
      <c r="AD147" s="26">
        <v>202</v>
      </c>
    </row>
    <row r="148" spans="20:30" ht="13.8">
      <c r="T148" s="26" t="s">
        <v>50</v>
      </c>
      <c r="U148" s="26">
        <v>349.55</v>
      </c>
      <c r="V148" s="26">
        <v>237.75</v>
      </c>
      <c r="X148" s="26" t="s">
        <v>200</v>
      </c>
      <c r="Y148" s="26">
        <v>5.74721387547069E-2</v>
      </c>
      <c r="Z148" s="26">
        <v>0.25606999118013801</v>
      </c>
      <c r="AA148" s="26"/>
      <c r="AB148" s="26" t="s">
        <v>40</v>
      </c>
      <c r="AC148" s="26">
        <v>298</v>
      </c>
      <c r="AD148" s="26">
        <v>190</v>
      </c>
    </row>
    <row r="149" spans="20:30" ht="13.8">
      <c r="T149" s="26" t="s">
        <v>40</v>
      </c>
      <c r="U149" s="26">
        <v>298</v>
      </c>
      <c r="V149" s="26">
        <v>206.55</v>
      </c>
      <c r="X149" s="26" t="s">
        <v>85</v>
      </c>
      <c r="Y149" s="26">
        <v>5.62383755488658E-2</v>
      </c>
      <c r="Z149" s="26">
        <v>0.47696924231057702</v>
      </c>
      <c r="AA149" s="26"/>
      <c r="AB149" s="26" t="s">
        <v>185</v>
      </c>
      <c r="AC149" s="26">
        <v>393.85</v>
      </c>
      <c r="AD149" s="26">
        <v>169.25</v>
      </c>
    </row>
    <row r="150" spans="20:30" ht="13.8">
      <c r="T150" s="26" t="s">
        <v>100</v>
      </c>
      <c r="U150" s="26">
        <v>271.95</v>
      </c>
      <c r="V150" s="26">
        <v>141.55000000000001</v>
      </c>
      <c r="X150" s="26" t="s">
        <v>83</v>
      </c>
      <c r="Y150" s="26">
        <v>4.8456673786488998E-2</v>
      </c>
      <c r="Z150" s="26">
        <v>0.47341115434500602</v>
      </c>
      <c r="AA150" s="26"/>
      <c r="AB150" s="26" t="s">
        <v>150</v>
      </c>
      <c r="AC150" s="26">
        <v>242</v>
      </c>
      <c r="AD150" s="26">
        <v>164</v>
      </c>
    </row>
    <row r="151" spans="20:30" ht="13.8">
      <c r="T151" s="26" t="s">
        <v>150</v>
      </c>
      <c r="U151" s="26">
        <v>242</v>
      </c>
      <c r="V151" s="26">
        <v>186.9</v>
      </c>
      <c r="X151" s="26" t="s">
        <v>180</v>
      </c>
      <c r="Y151" s="26">
        <v>4.70102437862304E-2</v>
      </c>
      <c r="Z151" s="26">
        <v>0.41188235294117598</v>
      </c>
      <c r="AA151" s="26"/>
      <c r="AB151" s="26" t="s">
        <v>111</v>
      </c>
      <c r="AC151" s="26">
        <v>194.2</v>
      </c>
      <c r="AD151" s="26">
        <v>130.25</v>
      </c>
    </row>
    <row r="152" spans="20:30" ht="13.8">
      <c r="T152" s="26" t="s">
        <v>191</v>
      </c>
      <c r="U152" s="26">
        <v>209.41</v>
      </c>
      <c r="V152" s="26">
        <v>165.55</v>
      </c>
      <c r="X152" s="26" t="s">
        <v>11</v>
      </c>
      <c r="Y152" s="26">
        <v>4.4134811788736503E-2</v>
      </c>
      <c r="Z152" s="26">
        <v>0.37813888669769302</v>
      </c>
      <c r="AA152" s="26"/>
      <c r="AB152" s="26" t="s">
        <v>100</v>
      </c>
      <c r="AC152" s="26">
        <v>271.95</v>
      </c>
      <c r="AD152" s="26">
        <v>129.25</v>
      </c>
    </row>
    <row r="153" spans="20:30" ht="13.8">
      <c r="T153" s="26" t="s">
        <v>121</v>
      </c>
      <c r="U153" s="26">
        <v>204.5</v>
      </c>
      <c r="V153" s="26">
        <v>173</v>
      </c>
      <c r="X153" s="26" t="s">
        <v>215</v>
      </c>
      <c r="Y153" s="26">
        <v>4.3640251766443497E-2</v>
      </c>
      <c r="Z153" s="26">
        <v>1.00828684521191</v>
      </c>
      <c r="AA153" s="26"/>
      <c r="AB153" s="26" t="s">
        <v>121</v>
      </c>
      <c r="AC153" s="26">
        <v>204.5</v>
      </c>
      <c r="AD153" s="26">
        <v>128</v>
      </c>
    </row>
    <row r="154" spans="20:30" ht="13.8">
      <c r="T154" s="26" t="s">
        <v>179</v>
      </c>
      <c r="U154" s="26">
        <v>197.2</v>
      </c>
      <c r="V154" s="26">
        <v>184.9</v>
      </c>
      <c r="X154" s="26" t="s">
        <v>218</v>
      </c>
      <c r="Y154" s="26">
        <v>4.0705279129388303E-2</v>
      </c>
      <c r="Z154" s="26">
        <v>0.38859436534383501</v>
      </c>
      <c r="AA154" s="26"/>
      <c r="AB154" s="26" t="s">
        <v>191</v>
      </c>
      <c r="AC154" s="26">
        <v>209.41</v>
      </c>
      <c r="AD154" s="26">
        <v>116.75</v>
      </c>
    </row>
    <row r="155" spans="20:30" ht="13.8">
      <c r="T155" s="26" t="s">
        <v>111</v>
      </c>
      <c r="U155" s="26">
        <v>194.2</v>
      </c>
      <c r="V155" s="26">
        <v>182.85</v>
      </c>
      <c r="X155" s="26" t="s">
        <v>166</v>
      </c>
      <c r="Y155" s="26">
        <v>3.7781015820149803E-2</v>
      </c>
      <c r="Z155" s="26">
        <v>0.78509364742228205</v>
      </c>
      <c r="AA155" s="26"/>
      <c r="AB155" s="26" t="s">
        <v>168</v>
      </c>
      <c r="AC155" s="26">
        <v>182.4</v>
      </c>
      <c r="AD155" s="26">
        <v>98</v>
      </c>
    </row>
    <row r="156" spans="20:30" ht="13.8">
      <c r="T156" s="26" t="s">
        <v>168</v>
      </c>
      <c r="U156" s="26">
        <v>182.4</v>
      </c>
      <c r="V156" s="26">
        <v>118.6</v>
      </c>
      <c r="X156" s="26" t="s">
        <v>205</v>
      </c>
      <c r="Y156" s="26">
        <v>3.7256641299780603E-2</v>
      </c>
      <c r="Z156" s="26">
        <v>0.31377420998980599</v>
      </c>
      <c r="AA156" s="26"/>
      <c r="AB156" s="26" t="s">
        <v>179</v>
      </c>
      <c r="AC156" s="26">
        <v>197.2</v>
      </c>
      <c r="AD156" s="26">
        <v>89.9</v>
      </c>
    </row>
    <row r="157" spans="20:30" ht="13.8">
      <c r="T157" s="26" t="s">
        <v>129</v>
      </c>
      <c r="U157" s="26">
        <v>173.75</v>
      </c>
      <c r="V157" s="26">
        <v>121.55</v>
      </c>
      <c r="X157" s="26" t="s">
        <v>178</v>
      </c>
      <c r="Y157" s="26">
        <v>3.7216494845360798E-2</v>
      </c>
      <c r="Z157" s="26">
        <v>0.51055398301657895</v>
      </c>
      <c r="AA157" s="26"/>
      <c r="AB157" s="26" t="s">
        <v>27</v>
      </c>
      <c r="AC157" s="26">
        <v>138.63</v>
      </c>
      <c r="AD157" s="26">
        <v>82.71</v>
      </c>
    </row>
    <row r="158" spans="20:30" ht="13.8">
      <c r="T158" s="26" t="s">
        <v>181</v>
      </c>
      <c r="U158" s="26">
        <v>142.25</v>
      </c>
      <c r="V158" s="26">
        <v>138.44999999999999</v>
      </c>
      <c r="X158" s="26" t="s">
        <v>23</v>
      </c>
      <c r="Y158" s="26">
        <v>2.8539021623797099E-2</v>
      </c>
      <c r="Z158" s="26">
        <v>0.97802279669224401</v>
      </c>
      <c r="AA158" s="26"/>
      <c r="AB158" s="26" t="s">
        <v>181</v>
      </c>
      <c r="AC158" s="26">
        <v>142.25</v>
      </c>
      <c r="AD158" s="26">
        <v>82.5</v>
      </c>
    </row>
    <row r="159" spans="20:30" ht="13.8">
      <c r="T159" s="26" t="s">
        <v>27</v>
      </c>
      <c r="U159" s="26">
        <v>138.63</v>
      </c>
      <c r="V159" s="26">
        <v>120.45</v>
      </c>
      <c r="X159" s="26" t="s">
        <v>181</v>
      </c>
      <c r="Y159" s="26">
        <v>2.67135325131811E-2</v>
      </c>
      <c r="Z159" s="26">
        <v>0.678181818181818</v>
      </c>
      <c r="AA159" s="26"/>
      <c r="AB159" s="26" t="s">
        <v>129</v>
      </c>
      <c r="AC159" s="26">
        <v>173.75</v>
      </c>
      <c r="AD159" s="26">
        <v>81.5</v>
      </c>
    </row>
    <row r="160" spans="20:30" ht="13.8">
      <c r="T160" s="26" t="s">
        <v>127</v>
      </c>
      <c r="U160" s="26">
        <v>101.35</v>
      </c>
      <c r="V160" s="26">
        <v>73.599999999999994</v>
      </c>
      <c r="X160" s="26" t="s">
        <v>19</v>
      </c>
      <c r="Y160" s="26">
        <v>2.5672924677674701E-2</v>
      </c>
      <c r="Z160" s="26">
        <v>0.47841158704008702</v>
      </c>
      <c r="AA160" s="26"/>
      <c r="AB160" s="26" t="s">
        <v>127</v>
      </c>
      <c r="AC160" s="26">
        <v>101.35</v>
      </c>
      <c r="AD160" s="26">
        <v>51.55</v>
      </c>
    </row>
    <row r="161" spans="20:30" ht="13.8">
      <c r="T161" s="26" t="s">
        <v>96</v>
      </c>
      <c r="U161" s="26">
        <v>70.900000000000006</v>
      </c>
      <c r="V161" s="26">
        <v>33.75</v>
      </c>
      <c r="X161" s="26" t="s">
        <v>177</v>
      </c>
      <c r="Y161" s="26">
        <v>1.1467176318947499E-2</v>
      </c>
      <c r="Z161" s="26">
        <v>0.433608353745004</v>
      </c>
      <c r="AA161" s="26"/>
      <c r="AB161" s="26" t="s">
        <v>96</v>
      </c>
      <c r="AC161" s="26">
        <v>70.900000000000006</v>
      </c>
      <c r="AD161" s="26">
        <v>30.45</v>
      </c>
    </row>
    <row r="162" spans="20:30" ht="13.8">
      <c r="T162" s="26" t="s">
        <v>198</v>
      </c>
      <c r="U162" s="26">
        <v>24.75</v>
      </c>
      <c r="V162" s="26">
        <v>20.149999999999999</v>
      </c>
      <c r="X162" s="26" t="s">
        <v>36</v>
      </c>
      <c r="Y162" s="26">
        <v>8.03587026145651E-4</v>
      </c>
      <c r="Z162" s="26">
        <v>3.4322294421873699E-2</v>
      </c>
      <c r="AA162" s="26"/>
      <c r="AB162" s="26" t="s">
        <v>198</v>
      </c>
      <c r="AC162" s="26">
        <v>24.75</v>
      </c>
      <c r="AD162" s="26">
        <v>12.11</v>
      </c>
    </row>
    <row r="163" spans="20:30" ht="13.8">
      <c r="T163" s="26" t="s">
        <v>499</v>
      </c>
      <c r="U163" s="26">
        <v>444228.17000000016</v>
      </c>
      <c r="V163" s="26">
        <v>340290.9</v>
      </c>
      <c r="X163" s="26" t="s">
        <v>499</v>
      </c>
      <c r="Y163" s="26">
        <v>38.708391695846039</v>
      </c>
      <c r="Z163" s="26">
        <v>40.707822416722408</v>
      </c>
      <c r="AA163" s="26"/>
      <c r="AB163" s="26" t="s">
        <v>499</v>
      </c>
      <c r="AC163" s="26">
        <v>444228.17000000016</v>
      </c>
      <c r="AD163" s="26">
        <v>279595.59999999992</v>
      </c>
    </row>
  </sheetData>
  <pageMargins left="0.7" right="0.7" top="0.75" bottom="0.75" header="0.3" footer="0.3"/>
  <pageSetup orientation="portrait"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8291A-CF8E-4A06-82B1-75DA11FF79CD}">
  <dimension ref="AC26:AC27"/>
  <sheetViews>
    <sheetView showGridLines="0" tabSelected="1" zoomScale="39" zoomScaleNormal="35" workbookViewId="0">
      <selection activeCell="BH51" sqref="BH51"/>
    </sheetView>
  </sheetViews>
  <sheetFormatPr defaultRowHeight="13.2"/>
  <cols>
    <col min="1" max="19" width="8.88671875" style="22"/>
    <col min="20" max="20" width="10.21875" style="22" bestFit="1" customWidth="1"/>
    <col min="21" max="21" width="9" style="22" bestFit="1" customWidth="1"/>
    <col min="22" max="22" width="23.6640625" style="22" customWidth="1"/>
    <col min="23" max="23" width="10.33203125" style="22" customWidth="1"/>
    <col min="24" max="24" width="6.77734375" style="22" bestFit="1" customWidth="1"/>
    <col min="25" max="25" width="6.44140625" style="22" bestFit="1" customWidth="1"/>
    <col min="26" max="31" width="8.88671875" style="22"/>
    <col min="32" max="32" width="15.33203125" style="22" bestFit="1" customWidth="1"/>
    <col min="33" max="33" width="10.21875" style="22" bestFit="1" customWidth="1"/>
    <col min="34" max="34" width="6.6640625" style="22" bestFit="1" customWidth="1"/>
    <col min="35" max="35" width="6.33203125" style="22" bestFit="1" customWidth="1"/>
    <col min="36" max="38" width="8.88671875" style="22"/>
    <col min="39" max="39" width="13.33203125" style="22" bestFit="1" customWidth="1"/>
    <col min="40" max="40" width="19.5546875" style="22" bestFit="1" customWidth="1"/>
    <col min="41" max="41" width="15.33203125" style="22" bestFit="1" customWidth="1"/>
    <col min="42" max="42" width="16.77734375" style="22" bestFit="1" customWidth="1"/>
    <col min="43" max="16384" width="8.88671875" style="22"/>
  </cols>
  <sheetData>
    <row r="26" spans="29:29" ht="21">
      <c r="AC26" s="21"/>
    </row>
    <row r="27" spans="29:29" ht="21">
      <c r="AC27" s="2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 Set</vt:lpstr>
      <vt:lpstr>Filter data</vt:lpstr>
      <vt:lpstr>NSEBSE Code</vt:lpstr>
      <vt:lpstr>Good Stock</vt:lpstr>
      <vt:lpstr>Pivots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dc:creator>
  <cp:lastModifiedBy>Ashu solanki</cp:lastModifiedBy>
  <cp:lastPrinted>2023-12-12T11:06:40Z</cp:lastPrinted>
  <dcterms:modified xsi:type="dcterms:W3CDTF">2023-12-12T13:53:40Z</dcterms:modified>
</cp:coreProperties>
</file>