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 Haircut Data" sheetId="1" r:id="rId4"/>
    <sheet state="visible" name="Pivot Table 4" sheetId="2" r:id="rId5"/>
    <sheet state="visible" name="Barber Shop Data" sheetId="3" r:id="rId6"/>
  </sheets>
  <definedNames>
    <definedName name="Pivot">'Barber Shop Data'!$H$24:$H$25</definedName>
    <definedName name="Pivot2">'Barber Shop Data'!$F$33:$F$37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<sst xmlns="http://schemas.openxmlformats.org/spreadsheetml/2006/main" count="112" uniqueCount="78">
  <si>
    <t>Given Data and Assumptions</t>
  </si>
  <si>
    <t>Year</t>
  </si>
  <si>
    <t>Detail</t>
  </si>
  <si>
    <t>Revenue / Shop</t>
  </si>
  <si>
    <t>Profit after expenses</t>
  </si>
  <si>
    <t>Population Rate</t>
  </si>
  <si>
    <t>Haircut Rate</t>
  </si>
  <si>
    <t>Rate Increase Barber shop</t>
  </si>
  <si>
    <t>Hair Cuts Per Person Per Year</t>
  </si>
  <si>
    <t>Total HairCuts Year 1</t>
  </si>
  <si>
    <t>Total haircuts / shop / year</t>
  </si>
  <si>
    <t>Revenue</t>
  </si>
  <si>
    <t>No. of Shops</t>
  </si>
  <si>
    <t>Revenue for all shops</t>
  </si>
  <si>
    <t>% of Men (cnst)</t>
  </si>
  <si>
    <t>Inflation</t>
  </si>
  <si>
    <t>Expenses of Shop Owner / Haircut</t>
  </si>
  <si>
    <t xml:space="preserve">Population </t>
  </si>
  <si>
    <t>Poulation Men</t>
  </si>
  <si>
    <t>Total Haricuts Men</t>
  </si>
  <si>
    <t xml:space="preserve">Barbershop Required </t>
  </si>
  <si>
    <t xml:space="preserve">New Shops Required </t>
  </si>
  <si>
    <t>Cost Per Haircut (Basic)</t>
  </si>
  <si>
    <t>Market Size</t>
  </si>
  <si>
    <t>Profit</t>
  </si>
  <si>
    <t>Profit Multiple Shops</t>
  </si>
  <si>
    <t>Extra Revenue to be Made every year</t>
  </si>
  <si>
    <t>Revenue Multiple Shops</t>
  </si>
  <si>
    <t>Total</t>
  </si>
  <si>
    <t>Service Type</t>
  </si>
  <si>
    <t>% Customer</t>
  </si>
  <si>
    <t>Cost</t>
  </si>
  <si>
    <t>Basic</t>
  </si>
  <si>
    <t>Premium</t>
  </si>
  <si>
    <t>Other</t>
  </si>
  <si>
    <t>Profit 1 shop</t>
  </si>
  <si>
    <t>GIVEN DATA</t>
  </si>
  <si>
    <t>Barbers / shop</t>
  </si>
  <si>
    <t>Working Hours / day</t>
  </si>
  <si>
    <t xml:space="preserve">Efficiency </t>
  </si>
  <si>
    <t>Time / Hair cut (hrs)</t>
  </si>
  <si>
    <t>Haircuts / shop /day</t>
  </si>
  <si>
    <t>Operating Days</t>
  </si>
  <si>
    <t>Total Haircuts per shop per year</t>
  </si>
  <si>
    <t>Haircuts / shop / year</t>
  </si>
  <si>
    <t xml:space="preserve">ASSUMPTIONS AND VARIABLES </t>
  </si>
  <si>
    <t>Age Group</t>
  </si>
  <si>
    <t>No. of Haircuts/ year</t>
  </si>
  <si>
    <t>% of Population</t>
  </si>
  <si>
    <t>(10-19)</t>
  </si>
  <si>
    <t>(19-60)</t>
  </si>
  <si>
    <t>(60+)</t>
  </si>
  <si>
    <t>None</t>
  </si>
  <si>
    <t>NO. Barbers</t>
  </si>
  <si>
    <t>Haircuts / year / person</t>
  </si>
  <si>
    <t>Expenses per haircut</t>
  </si>
  <si>
    <t>Rent / Haircut (in %)</t>
  </si>
  <si>
    <t>Salary / Haircut (in %)</t>
  </si>
  <si>
    <t>Mantainance / Haircut (in %)</t>
  </si>
  <si>
    <t>Haircuts per day</t>
  </si>
  <si>
    <t>Haircuts per hour</t>
  </si>
  <si>
    <t>CALCULATIONS</t>
  </si>
  <si>
    <t>Population</t>
  </si>
  <si>
    <t xml:space="preserve">Total Haircut </t>
  </si>
  <si>
    <t>Haircut / Shop / year</t>
  </si>
  <si>
    <t>Profit to be Made / Shop</t>
  </si>
  <si>
    <t>Profit to be Made Multiple Shops</t>
  </si>
  <si>
    <t>Extra Revenue to be made</t>
  </si>
  <si>
    <t>New Shops Required</t>
  </si>
  <si>
    <t>Area</t>
  </si>
  <si>
    <t>Multiplier</t>
  </si>
  <si>
    <t>Demand Multiplier</t>
  </si>
  <si>
    <t>Rural</t>
  </si>
  <si>
    <t>Urban</t>
  </si>
  <si>
    <t>Percentage Of</t>
  </si>
  <si>
    <t>Revenue per shop</t>
  </si>
  <si>
    <t>TOTAL</t>
  </si>
  <si>
    <t>No. of Haircuts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</si>
</sst>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readingOrder="0" shrinkToFit="0" wrapText="0"/>
    </xf>
    <xf borderId="0" fillId="0" fontId="1" numFmtId="3" xfId="0" applyFont="1" applyNumberFormat="1"/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2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Population And Market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Population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'Population Haircut Data'!$B$10:$B$14</c:f>
              <c:numCache/>
            </c:numRef>
          </c:val>
        </c:ser>
        <c:axId val="293850918"/>
        <c:axId val="332434918"/>
      </c:barChart>
      <c:catAx>
        <c:axId val="293850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434918"/>
      </c:catAx>
      <c:valAx>
        <c:axId val="332434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850918"/>
      </c:valAx>
      <c:lineChart>
        <c:varyColors val="0"/>
        <c:ser>
          <c:idx val="1"/>
          <c:order val="1"/>
          <c:tx>
            <c:v>Market Size</c:v>
          </c:tx>
          <c:spPr>
            <a:ln cmpd="sng" w="19050">
              <a:solidFill>
                <a:srgbClr val="FF0000">
                  <a:alpha val="70196"/>
                </a:srgbClr>
              </a:solidFill>
              <a:prstDash val="dashDot"/>
            </a:ln>
          </c:spPr>
          <c:marker>
            <c:symbol val="circle"/>
            <c:size val="7"/>
            <c:spPr>
              <a:solidFill>
                <a:srgbClr val="FF0000">
                  <a:alpha val="70196"/>
                </a:srgbClr>
              </a:solidFill>
              <a:ln cmpd="sng">
                <a:solidFill>
                  <a:srgbClr val="FF0000">
                    <a:alpha val="70196"/>
                  </a:srgbClr>
                </a:solidFill>
              </a:ln>
            </c:spPr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val>
            <c:numRef>
              <c:f>'Population Haircut Data'!$H$10:$H$14</c:f>
              <c:numCache/>
            </c:numRef>
          </c:val>
          <c:smooth val="0"/>
        </c:ser>
        <c:axId val="1611109486"/>
        <c:axId val="435289124"/>
      </c:lineChart>
      <c:catAx>
        <c:axId val="161110948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5289124"/>
      </c:catAx>
      <c:valAx>
        <c:axId val="435289124"/>
        <c:scaling>
          <c:orientation val="minMax"/>
          <c:min val="1.6E1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₹]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10948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Shops Required  and  Extra revenue </a:t>
            </a:r>
          </a:p>
        </c:rich>
      </c:tx>
      <c:overlay val="0"/>
    </c:title>
    <c:plotArea>
      <c:layout/>
      <c:barChart>
        <c:barDir val="col"/>
        <c:ser>
          <c:idx val="1"/>
          <c:order val="1"/>
          <c:tx>
            <c:v>New Shops Required 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'Pivot Table 4'!$C$2:$C$6</c:f>
              <c:numCache/>
            </c:numRef>
          </c:val>
        </c:ser>
        <c:axId val="347882662"/>
        <c:axId val="837340583"/>
      </c:barChart>
      <c:catAx>
        <c:axId val="347882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7340583"/>
      </c:catAx>
      <c:valAx>
        <c:axId val="837340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7882662"/>
      </c:valAx>
      <c:lineChart>
        <c:varyColors val="0"/>
        <c:ser>
          <c:idx val="0"/>
          <c:order val="0"/>
          <c:tx>
            <c:v>Extra Revenue to be Made every year</c:v>
          </c:tx>
          <c:spPr>
            <a:ln cmpd="sng" w="19050">
              <a:solidFill>
                <a:srgbClr val="0000FF"/>
              </a:solidFill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dPt>
            <c:idx val="3"/>
            <c:marker>
              <c:symbol val="none"/>
            </c:marker>
          </c:dPt>
          <c:val>
            <c:numRef>
              <c:f>'Pivot Table 4'!$B$2:$B$6</c:f>
              <c:numCache/>
            </c:numRef>
          </c:val>
          <c:smooth val="0"/>
        </c:ser>
        <c:axId val="779958915"/>
        <c:axId val="1401297353"/>
      </c:lineChart>
      <c:catAx>
        <c:axId val="7799589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297353"/>
      </c:catAx>
      <c:valAx>
        <c:axId val="140129735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95891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from Multiple Shops and Profit from 1 Shop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Multiple Shops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4"/>
            <c:marker>
              <c:symbol val="none"/>
            </c:marker>
          </c:dPt>
          <c:cat>
            <c:strRef>
              <c:f>'Pivot Table 4'!$E$2:$E$6</c:f>
            </c:strRef>
          </c:cat>
          <c:val>
            <c:numRef>
              <c:f>'Pivot Table 4'!$F$2:$F$6</c:f>
              <c:numCache/>
            </c:numRef>
          </c:val>
          <c:smooth val="0"/>
        </c:ser>
        <c:ser>
          <c:idx val="1"/>
          <c:order val="1"/>
          <c:tx>
            <c:v>Profit 1 shop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4"/>
            <c:marker>
              <c:symbol val="none"/>
            </c:marker>
          </c:dPt>
          <c:cat>
            <c:strRef>
              <c:f>'Pivot Table 4'!$E$2:$E$6</c:f>
            </c:strRef>
          </c:cat>
          <c:val>
            <c:numRef>
              <c:f>'Pivot Table 4'!$G$2:$G$6</c:f>
              <c:numCache/>
            </c:numRef>
          </c:val>
          <c:smooth val="0"/>
        </c:ser>
        <c:axId val="387743114"/>
        <c:axId val="119943708"/>
      </c:lineChart>
      <c:catAx>
        <c:axId val="387743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43708"/>
      </c:catAx>
      <c:valAx>
        <c:axId val="119943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743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16</xdr:row>
      <xdr:rowOff>190500</xdr:rowOff>
    </xdr:from>
    <xdr:ext cx="4857750" cy="2952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114300</xdr:rowOff>
    </xdr:from>
    <xdr:ext cx="4953000" cy="3067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1247775</xdr:colOff>
      <xdr:row>8</xdr:row>
      <xdr:rowOff>114300</xdr:rowOff>
    </xdr:from>
    <xdr:ext cx="4391025" cy="30670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9:M14" sheet="Population Haircut Data"/>
  </cacheSource>
  <cacheFields>
    <cacheField name="Year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Population " numFmtId="4">
      <sharedItems containsSemiMixedTypes="0" containsString="0" containsNumber="1" containsInteger="1">
        <n v="1.5E7"/>
        <n v="1.6E7"/>
        <n v="1.70672E7"/>
        <n v="1.8205582E7"/>
        <n v="1.9419894E7"/>
      </sharedItems>
    </cacheField>
    <cacheField name="Poulation Men" numFmtId="0">
      <sharedItems containsSemiMixedTypes="0" containsString="0" containsNumber="1" containsInteger="1">
        <n v="7500000.0"/>
        <n v="8000000.0"/>
        <n v="8533600.0"/>
        <n v="9102791.0"/>
        <n v="9709947.0"/>
      </sharedItems>
    </cacheField>
    <cacheField name="Total Haricuts Men" numFmtId="0">
      <sharedItems containsSemiMixedTypes="0" containsString="0" containsNumber="1" containsInteger="1">
        <n v="9.0E7"/>
        <n v="9.6E7"/>
        <n v="1.024032E8"/>
        <n v="1.09233493E8"/>
        <n v="1.16519367E8"/>
      </sharedItems>
    </cacheField>
    <cacheField name="Barbershop Required " numFmtId="0">
      <sharedItems containsSemiMixedTypes="0" containsString="0" containsNumber="1" containsInteger="1">
        <n v="6849.0"/>
        <n v="7305.0"/>
        <n v="7791.0"/>
        <n v="8310.0"/>
        <n v="8863.0"/>
      </sharedItems>
    </cacheField>
    <cacheField name="New Shops Required " numFmtId="0">
      <sharedItems containsSemiMixedTypes="0" containsString="0" containsNumber="1" containsInteger="1">
        <n v="0.0"/>
        <n v="456.0"/>
        <n v="486.0"/>
        <n v="519.0"/>
        <n v="553.0"/>
      </sharedItems>
    </cacheField>
    <cacheField name="Cost Per Haircut (Basic)" numFmtId="164">
      <sharedItems containsSemiMixedTypes="0" containsString="0" containsNumber="1">
        <n v="200.0"/>
        <n v="210.0"/>
        <n v="220.5"/>
        <n v="231.525"/>
        <n v="243.10125"/>
      </sharedItems>
    </cacheField>
    <cacheField name="Market Size" numFmtId="164">
      <sharedItems containsSemiMixedTypes="0" containsString="0" containsNumber="1" containsInteger="1">
        <n v="1.8E10"/>
        <n v="1.92E10"/>
        <n v="2.048064E10"/>
        <n v="2.18466986E10"/>
        <n v="2.33038734E10"/>
      </sharedItems>
    </cacheField>
    <cacheField name="Revenue / Shop" numFmtId="164">
      <sharedItems containsSemiMixedTypes="0" containsString="0" containsNumber="1">
        <n v="2628000.0"/>
        <n v="2759400.0"/>
        <n v="2897370.0"/>
        <n v="3042238.5"/>
        <n v="3194350.425"/>
      </sharedItems>
    </cacheField>
    <cacheField name="Profit" numFmtId="164">
      <sharedItems containsSemiMixedTypes="0" containsString="0" containsNumber="1">
        <n v="1314000.0"/>
        <n v="1445400.0"/>
        <n v="1583370.0"/>
        <n v="1728238.5"/>
        <n v="1880350.4249999998"/>
      </sharedItems>
    </cacheField>
    <cacheField name="Profit Multiple Shops" numFmtId="164">
      <sharedItems containsSemiMixedTypes="0" containsString="0" containsNumber="1">
        <n v="5256000.0"/>
        <n v="5781600.0"/>
        <n v="6333480.0"/>
        <n v="6912954.0"/>
        <n v="7521401.699999999"/>
      </sharedItems>
    </cacheField>
    <cacheField name="Extra Revenue to be Made every year" numFmtId="164">
      <sharedItems containsSemiMixedTypes="0" containsString="0" containsNumber="1">
        <n v="0.0"/>
        <n v="1.2582864E9"/>
        <n v="1.40812182E9"/>
        <n v="1.5789217815E9"/>
        <n v="1.7664757850249999E9"/>
      </sharedItems>
    </cacheField>
    <cacheField name="Revenue Multiple Shops" numFmtId="164">
      <sharedItems containsSemiMixedTypes="0" containsString="0" containsNumber="1">
        <n v="1.0512E7"/>
        <n v="1.10376E7"/>
        <n v="1.158948E7"/>
        <n v="1.2168954E7"/>
        <n v="1.27774017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rowGrandTotals="0" compact="0" compactData="0">
  <location ref="A1:C6" firstHeaderRow="0" firstDataRow="2" firstDataCol="0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Population 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Poulation Me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Haricuts Me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Barbershop Required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ew Shops Required 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st Per Haircut (Basic)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Market Size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Revenue / Sho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Profit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Profit Multiple Shops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xtra Revenue to be Made every year" dataField="1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Revenue Multiple Shops" compact="0" numFmtId="164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Extra Revenue to be Made every year" fld="11" baseField="0"/>
    <dataField name="New Shops Required " fld="5" baseField="0"/>
  </dataFields>
</pivotTableDefinition>
</file>

<file path=xl/pivotTables/pivotTable2.xml><?xml version="1.0" encoding="utf-8"?>
<pivotTableDefinition xmlns="http://schemas.openxmlformats.org/spreadsheetml/2006/main" name="Pivot Table 4 2" cacheId="0" dataCaption="" rowGrandTotals="0" compact="0" compactData="0">
  <location ref="E1:G6" firstHeaderRow="0" firstDataRow="2" firstDataCol="0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Population " compact="0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Poulation Me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Haricuts Me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Barbershop Required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ew Shops Required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st Per Haircut (Basic)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Market Size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Revenue / Sho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Profit" dataField="1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Profit Multiple Shops" dataField="1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xtra Revenue to be Made every year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Revenue Multiple Shops" compact="0" numFmtId="164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Profit Multiple Shops" fld="10" baseField="0"/>
    <dataField name="Profit 1 shop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3.5"/>
    <col customWidth="1" min="3" max="3" width="11.63"/>
    <col customWidth="1" min="4" max="4" width="17.5"/>
    <col customWidth="1" min="5" max="5" width="17.25"/>
    <col customWidth="1" min="6" max="6" width="24.13"/>
    <col customWidth="1" min="7" max="7" width="18.88"/>
    <col customWidth="1" min="8" max="8" width="20.88"/>
    <col customWidth="1" min="9" max="9" width="26.5"/>
    <col customWidth="1" min="10" max="10" width="20.88"/>
    <col customWidth="1" min="11" max="11" width="20.5"/>
    <col customWidth="1" min="12" max="12" width="19.0"/>
    <col customWidth="1" min="13" max="13" width="26.5"/>
    <col customWidth="1" min="14" max="14" width="16.63"/>
    <col customWidth="1" min="15" max="15" width="20.5"/>
    <col customWidth="1" min="16" max="16" width="7.13"/>
  </cols>
  <sheetData>
    <row r="1">
      <c r="A1" s="1"/>
      <c r="B1" s="2"/>
      <c r="C1" s="1"/>
      <c r="D1" s="1"/>
      <c r="F1" s="3" t="s">
        <v>0</v>
      </c>
      <c r="G1" s="1"/>
      <c r="O1" s="3"/>
    </row>
    <row r="2">
      <c r="A2" s="4" t="s">
        <v>1</v>
      </c>
      <c r="B2" s="5">
        <v>1.0</v>
      </c>
      <c r="C2" s="1"/>
      <c r="D2" s="1"/>
      <c r="F2" s="1"/>
      <c r="G2" s="1"/>
      <c r="O2" s="3"/>
    </row>
    <row r="3">
      <c r="A3" s="3" t="s">
        <v>2</v>
      </c>
      <c r="B3" s="3" t="s">
        <v>3</v>
      </c>
      <c r="C3" s="4"/>
      <c r="D3" s="4" t="s">
        <v>4</v>
      </c>
      <c r="E3" s="6"/>
      <c r="F3" s="1" t="s">
        <v>5</v>
      </c>
      <c r="G3" s="1" t="s">
        <v>6</v>
      </c>
      <c r="H3" s="1" t="s">
        <v>7</v>
      </c>
      <c r="I3" s="7" t="s">
        <v>8</v>
      </c>
      <c r="J3" s="7" t="s">
        <v>9</v>
      </c>
      <c r="K3" s="1" t="s">
        <v>10</v>
      </c>
      <c r="O3" s="3"/>
    </row>
    <row r="4">
      <c r="A4" s="4" t="s">
        <v>11</v>
      </c>
      <c r="B4" s="8">
        <f t="array" ref="B4">INDEX($A$10:$M$14,MATCH($B$2,$A$10:$A$14,0),match($B$3,$A$9:$M$9,0))</f>
        <v>2628000</v>
      </c>
      <c r="C4" s="1"/>
      <c r="D4" s="9">
        <f>($B$4-($B$4*$I$7))</f>
        <v>1314000</v>
      </c>
      <c r="F4" s="10">
        <v>0.0667</v>
      </c>
      <c r="G4" s="11">
        <f>((D11-D10)/D10)</f>
        <v>0.06666666667</v>
      </c>
      <c r="H4" s="11">
        <f>(E11-E10)/E10</f>
        <v>0.06657906264</v>
      </c>
      <c r="I4" s="1">
        <v>12.0</v>
      </c>
      <c r="J4" s="12">
        <f>B10*I4</f>
        <v>180000000</v>
      </c>
      <c r="K4" s="5">
        <v>13140.0</v>
      </c>
      <c r="O4" s="3"/>
    </row>
    <row r="5">
      <c r="C5" s="1"/>
      <c r="D5" s="1"/>
      <c r="F5" s="13"/>
      <c r="O5" s="3"/>
    </row>
    <row r="6">
      <c r="A6" s="4" t="s">
        <v>12</v>
      </c>
      <c r="B6" s="4" t="s">
        <v>13</v>
      </c>
      <c r="C6" s="6"/>
      <c r="D6" s="4" t="s">
        <v>4</v>
      </c>
      <c r="E6" s="6"/>
      <c r="F6" s="1" t="s">
        <v>14</v>
      </c>
      <c r="H6" s="1" t="s">
        <v>15</v>
      </c>
      <c r="I6" s="1" t="s">
        <v>16</v>
      </c>
    </row>
    <row r="7">
      <c r="A7" s="1">
        <v>4.0</v>
      </c>
      <c r="B7" s="8">
        <f>B4*A7</f>
        <v>10512000</v>
      </c>
      <c r="D7" s="8">
        <f>D4*A7</f>
        <v>5256000</v>
      </c>
      <c r="F7" s="10">
        <v>0.5</v>
      </c>
      <c r="H7" s="10">
        <v>0.05</v>
      </c>
      <c r="I7" s="10">
        <v>0.5</v>
      </c>
    </row>
    <row r="8">
      <c r="A8" s="1"/>
      <c r="B8" s="2"/>
      <c r="C8" s="1"/>
      <c r="D8" s="1"/>
      <c r="E8" s="1"/>
      <c r="F8" s="1"/>
      <c r="G8" s="1"/>
      <c r="H8" s="1"/>
      <c r="I8" s="3"/>
      <c r="J8" s="3"/>
      <c r="K8" s="1"/>
    </row>
    <row r="9">
      <c r="A9" s="1" t="s">
        <v>1</v>
      </c>
      <c r="B9" s="2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4" t="s">
        <v>3</v>
      </c>
      <c r="J9" s="1" t="s">
        <v>24</v>
      </c>
      <c r="K9" s="1" t="s">
        <v>25</v>
      </c>
      <c r="L9" s="1" t="s">
        <v>26</v>
      </c>
      <c r="M9" s="1" t="s">
        <v>27</v>
      </c>
    </row>
    <row r="10">
      <c r="A10" s="1">
        <v>1.0</v>
      </c>
      <c r="B10" s="2">
        <v>1.5E7</v>
      </c>
      <c r="C10" s="1">
        <f t="shared" ref="C10:C14" si="1">0.5*B10</f>
        <v>7500000</v>
      </c>
      <c r="D10" s="1">
        <v>9.0E7</v>
      </c>
      <c r="E10" s="1">
        <v>6849.0</v>
      </c>
      <c r="F10" s="1">
        <v>0.0</v>
      </c>
      <c r="G10" s="9">
        <v>200.0</v>
      </c>
      <c r="H10" s="8">
        <f t="shared" ref="H10:H14" si="2">(($I$21*$H$21*D10)+($I$22*$H$22*D10)+($I$23*$H$23*D10))</f>
        <v>18000000000</v>
      </c>
      <c r="I10" s="9">
        <f t="shared" ref="I10:I14" si="3">$K$4*G10</f>
        <v>2628000</v>
      </c>
      <c r="J10" s="9">
        <f t="shared" ref="J10:J14" si="4">(I10-($B$4*$I$7))</f>
        <v>1314000</v>
      </c>
      <c r="K10" s="9">
        <f t="shared" ref="K10:K14" si="5">(I10-($B$4*$I$7))*$A$7</f>
        <v>5256000</v>
      </c>
      <c r="L10" s="8">
        <f t="shared" ref="L10:L14" si="6">I10*F10</f>
        <v>0</v>
      </c>
      <c r="M10" s="8">
        <f t="shared" ref="M10:M14" si="7">$K$4*G10*$A$7</f>
        <v>10512000</v>
      </c>
    </row>
    <row r="11">
      <c r="A11" s="1">
        <v>2.0</v>
      </c>
      <c r="B11" s="2">
        <v>1.6E7</v>
      </c>
      <c r="C11" s="1">
        <f t="shared" si="1"/>
        <v>8000000</v>
      </c>
      <c r="D11" s="1">
        <v>9.6E7</v>
      </c>
      <c r="E11" s="1">
        <v>7305.0</v>
      </c>
      <c r="F11" s="1">
        <f t="shared" ref="F11:F14" si="8">E11-E10</f>
        <v>456</v>
      </c>
      <c r="G11" s="9">
        <f t="shared" ref="G11:G14" si="9">(G10*$H$7)+G10</f>
        <v>210</v>
      </c>
      <c r="H11" s="8">
        <f t="shared" si="2"/>
        <v>19200000000</v>
      </c>
      <c r="I11" s="9">
        <f t="shared" si="3"/>
        <v>2759400</v>
      </c>
      <c r="J11" s="9">
        <f t="shared" si="4"/>
        <v>1445400</v>
      </c>
      <c r="K11" s="9">
        <f t="shared" si="5"/>
        <v>5781600</v>
      </c>
      <c r="L11" s="8">
        <f t="shared" si="6"/>
        <v>1258286400</v>
      </c>
      <c r="M11" s="8">
        <f t="shared" si="7"/>
        <v>11037600</v>
      </c>
    </row>
    <row r="12">
      <c r="A12" s="1">
        <v>3.0</v>
      </c>
      <c r="B12" s="13">
        <f t="shared" ref="B12:B14" si="10">round((B11*$F$4)+B11,0)</f>
        <v>17067200</v>
      </c>
      <c r="C12" s="1">
        <f t="shared" si="1"/>
        <v>8533600</v>
      </c>
      <c r="D12" s="1">
        <f t="shared" ref="D12:D14" si="11">round((D11*$F$4)+D11,0)</f>
        <v>102403200</v>
      </c>
      <c r="E12" s="12">
        <f t="shared" ref="E12:E14" si="12">round((E11*$H$4)+E11,0)</f>
        <v>7791</v>
      </c>
      <c r="F12" s="1">
        <f t="shared" si="8"/>
        <v>486</v>
      </c>
      <c r="G12" s="9">
        <f t="shared" si="9"/>
        <v>220.5</v>
      </c>
      <c r="H12" s="8">
        <f t="shared" si="2"/>
        <v>20480640000</v>
      </c>
      <c r="I12" s="9">
        <f t="shared" si="3"/>
        <v>2897370</v>
      </c>
      <c r="J12" s="9">
        <f t="shared" si="4"/>
        <v>1583370</v>
      </c>
      <c r="K12" s="9">
        <f t="shared" si="5"/>
        <v>6333480</v>
      </c>
      <c r="L12" s="8">
        <f t="shared" si="6"/>
        <v>1408121820</v>
      </c>
      <c r="M12" s="8">
        <f t="shared" si="7"/>
        <v>11589480</v>
      </c>
    </row>
    <row r="13">
      <c r="A13" s="1">
        <v>4.0</v>
      </c>
      <c r="B13" s="13">
        <f t="shared" si="10"/>
        <v>18205582</v>
      </c>
      <c r="C13" s="1">
        <f t="shared" si="1"/>
        <v>9102791</v>
      </c>
      <c r="D13" s="1">
        <f t="shared" si="11"/>
        <v>109233493</v>
      </c>
      <c r="E13" s="12">
        <f t="shared" si="12"/>
        <v>8310</v>
      </c>
      <c r="F13" s="1">
        <f t="shared" si="8"/>
        <v>519</v>
      </c>
      <c r="G13" s="9">
        <f t="shared" si="9"/>
        <v>231.525</v>
      </c>
      <c r="H13" s="8">
        <f t="shared" si="2"/>
        <v>21846698600</v>
      </c>
      <c r="I13" s="9">
        <f t="shared" si="3"/>
        <v>3042238.5</v>
      </c>
      <c r="J13" s="9">
        <f t="shared" si="4"/>
        <v>1728238.5</v>
      </c>
      <c r="K13" s="9">
        <f t="shared" si="5"/>
        <v>6912954</v>
      </c>
      <c r="L13" s="8">
        <f t="shared" si="6"/>
        <v>1578921782</v>
      </c>
      <c r="M13" s="8">
        <f t="shared" si="7"/>
        <v>12168954</v>
      </c>
    </row>
    <row r="14">
      <c r="A14" s="1">
        <v>5.0</v>
      </c>
      <c r="B14" s="13">
        <f t="shared" si="10"/>
        <v>19419894</v>
      </c>
      <c r="C14" s="1">
        <f t="shared" si="1"/>
        <v>9709947</v>
      </c>
      <c r="D14" s="1">
        <f t="shared" si="11"/>
        <v>116519367</v>
      </c>
      <c r="E14" s="12">
        <f t="shared" si="12"/>
        <v>8863</v>
      </c>
      <c r="F14" s="1">
        <f t="shared" si="8"/>
        <v>553</v>
      </c>
      <c r="G14" s="9">
        <f t="shared" si="9"/>
        <v>243.10125</v>
      </c>
      <c r="H14" s="8">
        <f t="shared" si="2"/>
        <v>23303873400</v>
      </c>
      <c r="I14" s="9">
        <f t="shared" si="3"/>
        <v>3194350.425</v>
      </c>
      <c r="J14" s="9">
        <f t="shared" si="4"/>
        <v>1880350.425</v>
      </c>
      <c r="K14" s="9">
        <f t="shared" si="5"/>
        <v>7521401.7</v>
      </c>
      <c r="L14" s="8">
        <f t="shared" si="6"/>
        <v>1766475785</v>
      </c>
      <c r="M14" s="8">
        <f t="shared" si="7"/>
        <v>12777401.7</v>
      </c>
    </row>
    <row r="15">
      <c r="B15" s="13"/>
      <c r="F15" s="1" t="s">
        <v>28</v>
      </c>
    </row>
    <row r="16">
      <c r="B16" s="13"/>
      <c r="F16" s="15">
        <f>SUM(F10:F15)</f>
        <v>2014</v>
      </c>
    </row>
    <row r="17">
      <c r="B17" s="13"/>
    </row>
    <row r="18">
      <c r="B18" s="13"/>
    </row>
    <row r="19">
      <c r="B19" s="13"/>
    </row>
    <row r="20">
      <c r="B20" s="13"/>
      <c r="G20" s="1" t="s">
        <v>29</v>
      </c>
      <c r="H20" s="1" t="s">
        <v>30</v>
      </c>
      <c r="I20" s="1" t="s">
        <v>31</v>
      </c>
    </row>
    <row r="21">
      <c r="B21" s="13"/>
      <c r="G21" s="1" t="s">
        <v>32</v>
      </c>
      <c r="H21" s="10">
        <v>1.0</v>
      </c>
      <c r="I21" s="9">
        <v>200.0</v>
      </c>
    </row>
    <row r="22">
      <c r="B22" s="13"/>
      <c r="G22" s="1" t="s">
        <v>33</v>
      </c>
      <c r="H22" s="10">
        <v>0.0</v>
      </c>
      <c r="I22" s="9">
        <v>350.0</v>
      </c>
    </row>
    <row r="23">
      <c r="B23" s="13"/>
      <c r="G23" s="1" t="s">
        <v>34</v>
      </c>
      <c r="H23" s="10">
        <v>0.0</v>
      </c>
      <c r="I23" s="9">
        <v>150.0</v>
      </c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  <c r="F29" s="16"/>
      <c r="G29" s="17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</sheetData>
  <conditionalFormatting sqref="L4">
    <cfRule type="notContainsBlanks" dxfId="0" priority="1">
      <formula>LEN(TRIM(L4))&gt;0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25"/>
    <col customWidth="1" min="2" max="2" width="29.0"/>
    <col customWidth="1" min="3" max="3" width="19.0"/>
    <col customWidth="1" min="4" max="4" width="16.75"/>
    <col customWidth="1" min="5" max="5" width="4.38"/>
    <col customWidth="1" min="6" max="6" width="16.25"/>
    <col customWidth="1" min="7" max="8" width="11.75"/>
  </cols>
  <sheetData>
    <row r="1"/>
    <row r="2"/>
    <row r="3"/>
    <row r="4"/>
    <row r="5"/>
    <row r="6"/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13"/>
    <col customWidth="1" min="3" max="3" width="12.63"/>
    <col customWidth="1" min="4" max="4" width="22.13"/>
    <col customWidth="1" min="5" max="5" width="16.75"/>
    <col customWidth="1" min="6" max="6" width="29.75"/>
    <col customWidth="1" min="7" max="7" width="24.63"/>
    <col customWidth="1" min="8" max="8" width="16.75"/>
    <col customWidth="1" min="9" max="9" width="22.75"/>
  </cols>
  <sheetData>
    <row r="1">
      <c r="A1" s="4" t="s">
        <v>36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</row>
    <row r="4">
      <c r="A4" s="1">
        <v>3.0</v>
      </c>
      <c r="B4" s="1">
        <v>12.0</v>
      </c>
      <c r="C4" s="10">
        <v>0.5</v>
      </c>
      <c r="D4" s="1">
        <v>0.5</v>
      </c>
      <c r="E4" s="1">
        <v>36.0</v>
      </c>
      <c r="F4" s="1">
        <v>365.0</v>
      </c>
      <c r="G4" s="5">
        <v>13140.0</v>
      </c>
      <c r="H4" s="12">
        <f>E4*F4</f>
        <v>13140</v>
      </c>
      <c r="I4" s="15"/>
    </row>
    <row r="6">
      <c r="A6" s="4" t="s">
        <v>45</v>
      </c>
    </row>
    <row r="8">
      <c r="A8" s="4" t="s">
        <v>46</v>
      </c>
      <c r="B8" s="4" t="s">
        <v>47</v>
      </c>
      <c r="C8" s="4" t="s">
        <v>48</v>
      </c>
      <c r="D8" s="6"/>
      <c r="E8" s="4" t="s">
        <v>29</v>
      </c>
      <c r="F8" s="18" t="s">
        <v>30</v>
      </c>
      <c r="G8" s="4" t="s">
        <v>31</v>
      </c>
    </row>
    <row r="9">
      <c r="A9" s="1" t="s">
        <v>49</v>
      </c>
      <c r="B9" s="4">
        <v>8.0</v>
      </c>
      <c r="C9" s="18">
        <v>0.0</v>
      </c>
      <c r="E9" s="1" t="s">
        <v>32</v>
      </c>
      <c r="F9" s="18">
        <v>1.0</v>
      </c>
      <c r="G9" s="9">
        <v>200.0</v>
      </c>
    </row>
    <row r="10">
      <c r="A10" s="1" t="s">
        <v>50</v>
      </c>
      <c r="B10" s="4">
        <v>12.0</v>
      </c>
      <c r="C10" s="18">
        <v>1.0</v>
      </c>
      <c r="E10" s="1" t="s">
        <v>33</v>
      </c>
      <c r="F10" s="18">
        <v>0.0</v>
      </c>
      <c r="G10" s="9">
        <v>350.0</v>
      </c>
    </row>
    <row r="11">
      <c r="A11" s="1" t="s">
        <v>51</v>
      </c>
      <c r="B11" s="4">
        <v>6.0</v>
      </c>
      <c r="C11" s="18">
        <v>0.0</v>
      </c>
      <c r="E11" s="1" t="s">
        <v>34</v>
      </c>
      <c r="F11" s="18">
        <v>0.0</v>
      </c>
      <c r="G11" s="9">
        <v>150.0</v>
      </c>
    </row>
    <row r="12">
      <c r="E12" s="1" t="s">
        <v>52</v>
      </c>
      <c r="F12" s="10">
        <v>0.0</v>
      </c>
    </row>
    <row r="15">
      <c r="G15" s="16"/>
      <c r="H15" s="17"/>
    </row>
    <row r="16">
      <c r="A16" s="4" t="s">
        <v>53</v>
      </c>
      <c r="B16" s="1">
        <v>3.0</v>
      </c>
      <c r="D16" s="4" t="s">
        <v>54</v>
      </c>
      <c r="F16" s="4" t="s">
        <v>55</v>
      </c>
      <c r="G16" s="4" t="s">
        <v>56</v>
      </c>
      <c r="H16" s="4" t="s">
        <v>57</v>
      </c>
      <c r="I16" s="4" t="s">
        <v>58</v>
      </c>
    </row>
    <row r="17">
      <c r="A17" s="4" t="s">
        <v>39</v>
      </c>
      <c r="B17" s="19">
        <v>0.5</v>
      </c>
      <c r="D17" s="1">
        <f>C9*B9+C10*B10+C11*B11</f>
        <v>12</v>
      </c>
      <c r="F17" s="19">
        <f>SUM($G$17:$I$17)</f>
        <v>0.5</v>
      </c>
      <c r="G17" s="10">
        <v>0.2</v>
      </c>
      <c r="H17" s="10">
        <v>0.2</v>
      </c>
      <c r="I17" s="10">
        <v>0.1</v>
      </c>
    </row>
    <row r="18">
      <c r="A18" s="4" t="s">
        <v>59</v>
      </c>
      <c r="B18" s="1">
        <v>12.0</v>
      </c>
      <c r="O18" s="3"/>
    </row>
    <row r="19">
      <c r="A19" s="4" t="s">
        <v>42</v>
      </c>
      <c r="B19" s="1">
        <v>365.0</v>
      </c>
      <c r="C19" s="1"/>
      <c r="O19" s="3"/>
    </row>
    <row r="20">
      <c r="A20" s="4" t="s">
        <v>60</v>
      </c>
      <c r="B20" s="1">
        <v>2.0</v>
      </c>
      <c r="O20" s="3"/>
    </row>
    <row r="21">
      <c r="A21" s="6"/>
      <c r="O21" s="3"/>
    </row>
    <row r="22">
      <c r="A22" s="4" t="s">
        <v>61</v>
      </c>
    </row>
    <row r="24">
      <c r="A24" s="4" t="s">
        <v>1</v>
      </c>
      <c r="B24" s="4" t="s">
        <v>12</v>
      </c>
      <c r="C24" s="1" t="s">
        <v>62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67</v>
      </c>
      <c r="J24" s="1" t="s">
        <v>68</v>
      </c>
    </row>
    <row r="25">
      <c r="A25" s="1">
        <v>1.0</v>
      </c>
      <c r="B25" s="1">
        <v>100.0</v>
      </c>
      <c r="C25" s="12">
        <f>IF(A25= 1,'Population Haircut Data'!C10,IF(A25=2,'Population Haircut Data'!C11,IF(A25=3,'Population Haircut Data'!C12,IF(A25=4,'Population Haircut Data'!C13,IF(A25=5,'Population Haircut Data'!C14)))))</f>
        <v>7500000</v>
      </c>
      <c r="D25" s="15">
        <f>(D40*C40+D41*C41+D42*C42)*C25</f>
        <v>90000000</v>
      </c>
      <c r="E25" s="12">
        <f>B16*B17*D17*B19*B20</f>
        <v>13140</v>
      </c>
      <c r="F25" s="8">
        <f>E37-(E37*F17)</f>
        <v>1478250</v>
      </c>
      <c r="G25" s="8">
        <f>(E37-(E37*F17))*B25</f>
        <v>147825000</v>
      </c>
      <c r="H25" s="8">
        <f>$J$25*$E$37</f>
        <v>0</v>
      </c>
      <c r="J25" s="12">
        <f>IF(A25= 1,'Population Haircut Data'!F10,IF(A25=2,'Population Haircut Data'!F11,IF(A25=3,'Population Haircut Data'!F12,IF(A25=4,'Population Haircut Data'!F13,IF(A25=5,'Population Haircut Data'!F14)))))</f>
        <v>0</v>
      </c>
    </row>
    <row r="26">
      <c r="L26" s="20"/>
    </row>
    <row r="27">
      <c r="L27" s="20"/>
    </row>
    <row r="28">
      <c r="L28" s="20"/>
    </row>
    <row r="29">
      <c r="A29" s="1" t="s">
        <v>69</v>
      </c>
      <c r="B29" s="1" t="s">
        <v>70</v>
      </c>
      <c r="D29" s="1" t="s">
        <v>69</v>
      </c>
      <c r="E29" s="1" t="s">
        <v>71</v>
      </c>
      <c r="L29" s="20"/>
    </row>
    <row r="30">
      <c r="A30" s="1" t="s">
        <v>72</v>
      </c>
      <c r="B30" s="12">
        <f>IF(A30="Urban", E30,1)</f>
        <v>1</v>
      </c>
      <c r="D30" s="1" t="s">
        <v>73</v>
      </c>
      <c r="E30" s="1">
        <v>1.5</v>
      </c>
      <c r="L30" s="20"/>
    </row>
    <row r="31">
      <c r="D31" s="1" t="s">
        <v>72</v>
      </c>
      <c r="E31" s="1">
        <v>1.0</v>
      </c>
    </row>
    <row r="33">
      <c r="C33" s="1" t="s">
        <v>31</v>
      </c>
      <c r="D33" s="1" t="s">
        <v>74</v>
      </c>
      <c r="E33" s="1" t="s">
        <v>75</v>
      </c>
      <c r="F33" s="1" t="s">
        <v>27</v>
      </c>
    </row>
    <row r="34">
      <c r="A34" s="4" t="s">
        <v>29</v>
      </c>
      <c r="B34" s="1" t="s">
        <v>32</v>
      </c>
      <c r="C34" s="8">
        <f>IF(B34="Basic",G9  ,IF(B34="Premium",G10  ,IF(B34="Other", G11,0)))</f>
        <v>200</v>
      </c>
      <c r="D34" s="19">
        <v>0.7</v>
      </c>
      <c r="E34" s="8">
        <f t="shared" ref="E34:E36" si="1">($D34*$E$25)*$C34*$B$30</f>
        <v>1839600</v>
      </c>
      <c r="F34" s="8">
        <f t="shared" ref="F34:F36" si="2">(($D34*$E$25)*$C34)*$B$25*$B$30</f>
        <v>183960000</v>
      </c>
    </row>
    <row r="35">
      <c r="A35" s="21"/>
      <c r="B35" s="22" t="s">
        <v>33</v>
      </c>
      <c r="C35" s="23">
        <f>IF(B35="Basic",G9  ,IF(B35="Premium",G10  ,IF(B35="Other", G11,0)))</f>
        <v>350</v>
      </c>
      <c r="D35" s="19">
        <v>0.2</v>
      </c>
      <c r="E35" s="8">
        <f t="shared" si="1"/>
        <v>919800</v>
      </c>
      <c r="F35" s="8">
        <f t="shared" si="2"/>
        <v>91980000</v>
      </c>
    </row>
    <row r="36">
      <c r="B36" s="1" t="s">
        <v>34</v>
      </c>
      <c r="C36" s="8">
        <f>IF(B36="Basic",G9  ,IF(B36="Premium",G10  ,IF(B36="Other", G11,0)))</f>
        <v>150</v>
      </c>
      <c r="D36" s="19">
        <v>0.1</v>
      </c>
      <c r="E36" s="8">
        <f t="shared" si="1"/>
        <v>197100</v>
      </c>
      <c r="F36" s="8">
        <f t="shared" si="2"/>
        <v>19710000</v>
      </c>
      <c r="H36" s="12" t="str">
        <f>F27</f>
        <v/>
      </c>
    </row>
    <row r="37">
      <c r="D37" s="1" t="s">
        <v>76</v>
      </c>
      <c r="E37" s="8">
        <f t="shared" ref="E37:F37" si="3">SUM(E34:E36)</f>
        <v>2956500</v>
      </c>
      <c r="F37" s="8">
        <f t="shared" si="3"/>
        <v>295650000</v>
      </c>
    </row>
    <row r="39">
      <c r="C39" s="1" t="s">
        <v>77</v>
      </c>
      <c r="D39" s="1" t="s">
        <v>74</v>
      </c>
      <c r="E39" s="1" t="s">
        <v>75</v>
      </c>
      <c r="F39" s="1" t="s">
        <v>27</v>
      </c>
    </row>
    <row r="40">
      <c r="A40" s="4" t="s">
        <v>46</v>
      </c>
      <c r="B40" s="1" t="s">
        <v>49</v>
      </c>
      <c r="C40" s="1">
        <v>8.0</v>
      </c>
      <c r="D40" s="19">
        <f>C9</f>
        <v>0</v>
      </c>
      <c r="E40" s="8">
        <f t="shared" ref="E40:E42" si="5">($E$25*D40)*(($C$34*$D$34)+($C$35*$D$35)+($C$36*$D$36))</f>
        <v>0</v>
      </c>
      <c r="F40" s="8">
        <f t="shared" ref="F40:F42" si="6">(E40*$B$25)*$B$30</f>
        <v>0</v>
      </c>
    </row>
    <row r="41">
      <c r="A41" s="4"/>
      <c r="B41" s="1" t="s">
        <v>50</v>
      </c>
      <c r="C41" s="12">
        <f t="shared" ref="C41:D41" si="4">B10</f>
        <v>12</v>
      </c>
      <c r="D41" s="19">
        <f t="shared" si="4"/>
        <v>1</v>
      </c>
      <c r="E41" s="8">
        <f t="shared" si="5"/>
        <v>2956500</v>
      </c>
      <c r="F41" s="8">
        <f t="shared" si="6"/>
        <v>295650000</v>
      </c>
    </row>
    <row r="42">
      <c r="A42" s="4"/>
      <c r="B42" s="1" t="s">
        <v>51</v>
      </c>
      <c r="C42" s="12">
        <f t="shared" ref="C42:D42" si="7">B11</f>
        <v>6</v>
      </c>
      <c r="D42" s="19">
        <f t="shared" si="7"/>
        <v>0</v>
      </c>
      <c r="E42" s="8">
        <f t="shared" si="5"/>
        <v>0</v>
      </c>
      <c r="F42" s="8">
        <f t="shared" si="6"/>
        <v>0</v>
      </c>
      <c r="I42" s="8"/>
    </row>
    <row r="43">
      <c r="D43" s="1" t="s">
        <v>76</v>
      </c>
      <c r="E43" s="8">
        <f>SUM(E40:E42)*B30</f>
        <v>2956500</v>
      </c>
      <c r="F43" s="8">
        <f>SUM(F40:F42)</f>
        <v>295650000</v>
      </c>
    </row>
    <row r="71">
      <c r="A71" s="3"/>
      <c r="B71" s="3"/>
      <c r="C71" s="4"/>
      <c r="G71" s="4"/>
    </row>
    <row r="72">
      <c r="A72" s="4"/>
    </row>
    <row r="74">
      <c r="A74" s="4"/>
      <c r="B74" s="6"/>
      <c r="C74" s="6"/>
      <c r="G74" s="4"/>
    </row>
  </sheetData>
  <conditionalFormatting sqref="L20">
    <cfRule type="notContainsBlanks" dxfId="0" priority="1">
      <formula>LEN(TRIM(L20))&gt;0</formula>
    </cfRule>
  </conditionalFormatting>
  <conditionalFormatting sqref="B29:B37">
    <cfRule type="notContainsBlanks" dxfId="0" priority="2">
      <formula>LEN(TRIM(B29))&gt;0</formula>
    </cfRule>
  </conditionalFormatting>
  <conditionalFormatting sqref="A30">
    <cfRule type="notContainsBlanks" dxfId="0" priority="3">
      <formula>LEN(TRIM(A30))&gt;0</formula>
    </cfRule>
  </conditionalFormatting>
  <dataValidations>
    <dataValidation type="list" allowBlank="1" showErrorMessage="1" sqref="A30">
      <formula1>'Barber Shop Data'!$D$30:$D$31</formula1>
    </dataValidation>
    <dataValidation type="list" allowBlank="1" showErrorMessage="1" sqref="B34:B36">
      <formula1>'Barber Shop Data'!$E$9:$E$12</formula1>
    </dataValidation>
    <dataValidation type="list" allowBlank="1" showErrorMessage="1" sqref="A25">
      <formula1>'Population Haircut Data'!$A$10:$A$14</formula1>
    </dataValidation>
  </dataValidations>
  <drawing r:id="rId1"/>
</worksheet>
</file>