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Desktop\Financial Analysis\"/>
    </mc:Choice>
  </mc:AlternateContent>
  <xr:revisionPtr revIDLastSave="0" documentId="13_ncr:1_{F67F5C12-6B49-4ADB-8726-66452048A687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Ratio Analysis" sheetId="1" r:id="rId1"/>
    <sheet name="Relative Valuation" sheetId="2" r:id="rId2"/>
    <sheet name="Sheet1" sheetId="7" r:id="rId3"/>
    <sheet name="deeper fundamental metrics" sheetId="3" r:id="rId4"/>
    <sheet name="Assumptions" sheetId="4" r:id="rId5"/>
    <sheet name="forecast " sheetId="5" r:id="rId6"/>
    <sheet name="DCF new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3" i="2"/>
  <c r="D23" i="2"/>
  <c r="E23" i="2"/>
  <c r="F23" i="2"/>
  <c r="G23" i="2"/>
  <c r="H23" i="2"/>
  <c r="I23" i="2"/>
  <c r="I2" i="6"/>
  <c r="G2" i="6"/>
  <c r="A6" i="3"/>
  <c r="C26" i="2"/>
  <c r="J7" i="5"/>
  <c r="J3" i="5"/>
  <c r="J4" i="5"/>
  <c r="J5" i="5"/>
  <c r="J6" i="5"/>
  <c r="J2" i="5"/>
  <c r="I3" i="5"/>
  <c r="I4" i="5"/>
  <c r="I5" i="5"/>
  <c r="I6" i="5"/>
  <c r="I7" i="5"/>
  <c r="I2" i="5"/>
  <c r="H3" i="5"/>
  <c r="H4" i="5"/>
  <c r="H5" i="5"/>
  <c r="H6" i="5"/>
  <c r="H7" i="5"/>
  <c r="H2" i="5"/>
  <c r="G2" i="5"/>
  <c r="E2" i="5"/>
  <c r="G3" i="5"/>
  <c r="G4" i="5"/>
  <c r="G5" i="5"/>
  <c r="G6" i="5"/>
  <c r="G7" i="5"/>
  <c r="F3" i="5"/>
  <c r="F4" i="5"/>
  <c r="F5" i="5"/>
  <c r="F6" i="5"/>
  <c r="F7" i="5"/>
  <c r="F2" i="5"/>
  <c r="E3" i="5"/>
  <c r="E4" i="5"/>
  <c r="E5" i="5"/>
  <c r="E6" i="5"/>
  <c r="E7" i="5"/>
  <c r="D3" i="5"/>
  <c r="D4" i="5"/>
  <c r="D5" i="5"/>
  <c r="D6" i="5"/>
  <c r="D7" i="5"/>
  <c r="D2" i="5"/>
  <c r="C7" i="5"/>
  <c r="C3" i="5"/>
  <c r="C4" i="5"/>
  <c r="C5" i="5"/>
  <c r="C6" i="5"/>
  <c r="C2" i="5"/>
  <c r="B7" i="5"/>
  <c r="B4" i="5"/>
  <c r="B5" i="5" s="1"/>
  <c r="B6" i="5" s="1"/>
  <c r="B3" i="5"/>
  <c r="B2" i="5"/>
  <c r="A4" i="5"/>
  <c r="A5" i="5"/>
  <c r="A6" i="5"/>
  <c r="A7" i="5"/>
  <c r="A3" i="5"/>
  <c r="C32" i="2"/>
  <c r="C29" i="2"/>
  <c r="G32" i="2"/>
  <c r="B8" i="4"/>
  <c r="B7" i="4"/>
  <c r="B6" i="4"/>
  <c r="J3" i="3"/>
  <c r="J4" i="3"/>
  <c r="J5" i="3"/>
  <c r="J6" i="3"/>
  <c r="J7" i="3"/>
  <c r="J8" i="3"/>
  <c r="J2" i="3"/>
  <c r="I2" i="3"/>
  <c r="H2" i="3"/>
  <c r="H3" i="3"/>
  <c r="H5" i="3"/>
  <c r="H6" i="3"/>
  <c r="H7" i="3"/>
  <c r="H8" i="3"/>
  <c r="H4" i="3"/>
  <c r="G3" i="3"/>
  <c r="G4" i="3"/>
  <c r="G5" i="3"/>
  <c r="G6" i="3"/>
  <c r="G7" i="3"/>
  <c r="G8" i="3"/>
  <c r="G2" i="3"/>
  <c r="E8" i="3"/>
  <c r="I8" i="3" s="1"/>
  <c r="E7" i="3"/>
  <c r="I7" i="3" s="1"/>
  <c r="E6" i="3"/>
  <c r="I6" i="3" s="1"/>
  <c r="E5" i="3"/>
  <c r="I5" i="3" s="1"/>
  <c r="E4" i="3"/>
  <c r="I4" i="3" s="1"/>
  <c r="E3" i="3"/>
  <c r="I3" i="3" s="1"/>
  <c r="E2" i="3"/>
  <c r="C34" i="2"/>
  <c r="D26" i="2"/>
  <c r="E26" i="2"/>
  <c r="F26" i="2"/>
  <c r="G26" i="2"/>
  <c r="H26" i="2"/>
  <c r="I26" i="2"/>
  <c r="H8" i="1"/>
  <c r="I8" i="1"/>
  <c r="J8" i="1"/>
  <c r="K8" i="1"/>
  <c r="L8" i="1"/>
  <c r="M8" i="1"/>
  <c r="G8" i="1"/>
  <c r="G29" i="2"/>
  <c r="D34" i="2" l="1"/>
  <c r="D32" i="2" s="1"/>
  <c r="E34" i="2"/>
  <c r="E32" i="2" s="1"/>
  <c r="F34" i="2"/>
  <c r="F32" i="2" s="1"/>
  <c r="G34" i="2"/>
  <c r="H34" i="2"/>
  <c r="H32" i="2" s="1"/>
  <c r="I34" i="2"/>
  <c r="I32" i="2" s="1"/>
  <c r="D29" i="2"/>
  <c r="E29" i="2"/>
  <c r="E30" i="2" s="1"/>
  <c r="F29" i="2"/>
  <c r="H29" i="2"/>
  <c r="I29" i="2"/>
  <c r="G30" i="2"/>
  <c r="H30" i="2"/>
  <c r="D16" i="2"/>
  <c r="E16" i="2"/>
  <c r="F16" i="2"/>
  <c r="G16" i="2"/>
  <c r="H16" i="2"/>
  <c r="I16" i="2"/>
  <c r="C16" i="2"/>
  <c r="I3" i="2"/>
  <c r="I6" i="2"/>
  <c r="H3" i="2"/>
  <c r="G3" i="2"/>
  <c r="F3" i="2"/>
  <c r="E3" i="2"/>
  <c r="D6" i="2"/>
  <c r="E6" i="2"/>
  <c r="F6" i="2"/>
  <c r="G6" i="2"/>
  <c r="H6" i="2"/>
  <c r="D3" i="2"/>
  <c r="C6" i="2"/>
  <c r="C9" i="2" s="1"/>
  <c r="C3" i="2"/>
  <c r="I13" i="2" l="1"/>
  <c r="A8" i="3"/>
  <c r="D13" i="2"/>
  <c r="A3" i="3"/>
  <c r="H13" i="2"/>
  <c r="A7" i="3"/>
  <c r="F13" i="2"/>
  <c r="A5" i="3"/>
  <c r="G13" i="2"/>
  <c r="C13" i="2"/>
  <c r="A2" i="3"/>
  <c r="E13" i="2"/>
  <c r="A4" i="3"/>
  <c r="I8" i="2"/>
  <c r="I9" i="2"/>
  <c r="C8" i="2"/>
  <c r="F8" i="2"/>
  <c r="F9" i="2"/>
  <c r="H8" i="2"/>
  <c r="H9" i="2"/>
  <c r="G8" i="2"/>
  <c r="G9" i="2"/>
  <c r="E8" i="2"/>
  <c r="E9" i="2"/>
  <c r="D8" i="2"/>
  <c r="D9" i="2"/>
  <c r="F30" i="2"/>
  <c r="F33" i="2" s="1"/>
  <c r="F36" i="2" s="1"/>
  <c r="D30" i="2"/>
  <c r="D33" i="2" s="1"/>
  <c r="G33" i="2"/>
  <c r="C30" i="2"/>
  <c r="C33" i="2" s="1"/>
  <c r="C35" i="2" s="1"/>
  <c r="H33" i="2"/>
  <c r="E33" i="2"/>
  <c r="I30" i="2"/>
  <c r="I33" i="2" s="1"/>
  <c r="C36" i="2" l="1"/>
  <c r="G35" i="2"/>
  <c r="G36" i="2"/>
  <c r="D35" i="2"/>
  <c r="D36" i="2"/>
  <c r="E35" i="2"/>
  <c r="E36" i="2"/>
  <c r="F35" i="2"/>
  <c r="I35" i="2"/>
  <c r="I36" i="2"/>
  <c r="H35" i="2"/>
  <c r="H36" i="2"/>
</calcChain>
</file>

<file path=xl/sharedStrings.xml><?xml version="1.0" encoding="utf-8"?>
<sst xmlns="http://schemas.openxmlformats.org/spreadsheetml/2006/main" count="181" uniqueCount="144">
  <si>
    <t xml:space="preserve"> Industrials Ratio Analysis</t>
  </si>
  <si>
    <t>APL Apollo Tubes Ltd</t>
  </si>
  <si>
    <t>Astral Ltd</t>
  </si>
  <si>
    <t>Ratnamani Metals and Tubes Ltd</t>
  </si>
  <si>
    <t>Kajaria Ceramics Ltd</t>
  </si>
  <si>
    <t>Jindal SAW Ltd</t>
  </si>
  <si>
    <t>Finolex Industries Ltd</t>
  </si>
  <si>
    <t>Maharashtra Seamless Ltd</t>
  </si>
  <si>
    <t>#1</t>
  </si>
  <si>
    <t>Valuation Ratios</t>
  </si>
  <si>
    <t>Ideal Ratio</t>
  </si>
  <si>
    <t>P/E (Price to Earnings)</t>
  </si>
  <si>
    <t>&lt; 38.6</t>
  </si>
  <si>
    <t>Lower P/E may indicate undervaluation (but check growth &amp; debt)</t>
  </si>
  <si>
    <t>P/B (Price to Book)</t>
  </si>
  <si>
    <t>&lt; 6.56</t>
  </si>
  <si>
    <t>Stock is trading below book value (can be undervalued)</t>
  </si>
  <si>
    <t>EV/EBITDA</t>
  </si>
  <si>
    <t>&lt; 10</t>
  </si>
  <si>
    <t>Compares value to cash earnings; &lt; 10 is generally good</t>
  </si>
  <si>
    <t>#2</t>
  </si>
  <si>
    <t xml:space="preserve">Profitability Ratios </t>
  </si>
  <si>
    <t>ROE (Return on Equity)</t>
  </si>
  <si>
    <t>&gt; 15%</t>
  </si>
  <si>
    <t>High ROE means efficient use of shareholder equity</t>
  </si>
  <si>
    <t>ROCE (Return on Capital Employed)</t>
  </si>
  <si>
    <t>Reflects how well capital is being used</t>
  </si>
  <si>
    <t>Operating Margin</t>
  </si>
  <si>
    <t xml:space="preserve">	Increasing or Stable</t>
  </si>
  <si>
    <t>Shows operational strength</t>
  </si>
  <si>
    <t>Net Profit Margin</t>
  </si>
  <si>
    <t>Higher than peers</t>
  </si>
  <si>
    <t>Better bottom-line performance</t>
  </si>
  <si>
    <t>#3</t>
  </si>
  <si>
    <t xml:space="preserve">Growth Ratios </t>
  </si>
  <si>
    <t>Revenue CAGR (3–5 yr)</t>
  </si>
  <si>
    <t>&gt; 10–15%</t>
  </si>
  <si>
    <t>EPS CAGR (3–5 yr)</t>
  </si>
  <si>
    <t>EBITDA growth</t>
  </si>
  <si>
    <t>Consistent upward trend</t>
  </si>
  <si>
    <t>#4</t>
  </si>
  <si>
    <t>Leverage  Ratios</t>
  </si>
  <si>
    <t>Debt to Equity</t>
  </si>
  <si>
    <t>&lt; 1</t>
  </si>
  <si>
    <t>Low debt reduces risk during slowdowns</t>
  </si>
  <si>
    <t>Current Ratio</t>
  </si>
  <si>
    <t>&gt; 1.5</t>
  </si>
  <si>
    <t>Ensures short-term financial health</t>
  </si>
  <si>
    <t>#5</t>
  </si>
  <si>
    <t xml:space="preserve">Dividend Indicators </t>
  </si>
  <si>
    <t>Dividend Yield</t>
  </si>
  <si>
    <t>&gt; 1–2%</t>
  </si>
  <si>
    <t>Payout Ratio</t>
  </si>
  <si>
    <t>&lt; 50%</t>
  </si>
  <si>
    <t>Current Price</t>
  </si>
  <si>
    <t>#6</t>
  </si>
  <si>
    <t xml:space="preserve">Selected Stock: </t>
  </si>
  <si>
    <t>Industry:</t>
  </si>
  <si>
    <t>Industrial's</t>
  </si>
  <si>
    <t>Reason for Selection</t>
  </si>
  <si>
    <t>Conclusion:</t>
  </si>
  <si>
    <t>Metric</t>
  </si>
  <si>
    <t>Value</t>
  </si>
  <si>
    <t>Stock Name</t>
  </si>
  <si>
    <t>EPS (TTM or Projected)</t>
  </si>
  <si>
    <t>Target P/E</t>
  </si>
  <si>
    <t>Fair Price (EPS × P/E)</t>
  </si>
  <si>
    <t>P/E-Based Valuation</t>
  </si>
  <si>
    <t># 1</t>
  </si>
  <si>
    <t>EBITDA</t>
  </si>
  <si>
    <t>Target EV/EBITDA</t>
  </si>
  <si>
    <t>Book Value-Based (P/B Ratio)</t>
  </si>
  <si>
    <t># 2</t>
  </si>
  <si>
    <t>Fair Price</t>
  </si>
  <si>
    <t>Target P/B</t>
  </si>
  <si>
    <t xml:space="preserve">Book Value </t>
  </si>
  <si>
    <t>EV/EBITDA Valuation (Enterprise Valuation)</t>
  </si>
  <si>
    <t>Total Debt Cr</t>
  </si>
  <si>
    <t>Cash</t>
  </si>
  <si>
    <t>Current price</t>
  </si>
  <si>
    <t xml:space="preserve">Net Debt </t>
  </si>
  <si>
    <t xml:space="preserve">Equity Value </t>
  </si>
  <si>
    <t xml:space="preserve">No. of Shares </t>
  </si>
  <si>
    <t xml:space="preserve">Fair Price </t>
  </si>
  <si>
    <t># 3</t>
  </si>
  <si>
    <t>PEG Ratio</t>
  </si>
  <si>
    <t>(=1)</t>
  </si>
  <si>
    <t xml:space="preserve"> &lt; 1 → undervalued                             1 → fairly valued
 &gt; 1.5 → overvalued</t>
  </si>
  <si>
    <t>Suggestion</t>
  </si>
  <si>
    <t xml:space="preserve">EV </t>
  </si>
  <si>
    <r>
      <t>Based on the above analysis, [</t>
    </r>
    <r>
      <rPr>
        <b/>
        <sz val="11"/>
        <color theme="0"/>
        <rFont val="Calibri"/>
        <family val="2"/>
        <scheme val="minor"/>
      </rPr>
      <t>Jindal SAW Ltd</t>
    </r>
    <r>
      <rPr>
        <sz val="11"/>
        <color theme="0"/>
        <rFont val="Calibri"/>
        <family val="2"/>
        <scheme val="minor"/>
      </rPr>
      <t>] is currently trading at attractive valuation levels while maintaining strong profitability, growth, and low debt. It fits the profile of a high-quality undervalued stock with potential for long-term capital appreciation.</t>
    </r>
  </si>
  <si>
    <r>
      <t xml:space="preserve">After analyzing various financial ratios, [ </t>
    </r>
    <r>
      <rPr>
        <b/>
        <sz val="11"/>
        <color theme="0"/>
        <rFont val="Calibri"/>
        <family val="2"/>
        <scheme val="minor"/>
      </rPr>
      <t>Jindal SAW Ltd</t>
    </r>
    <r>
      <rPr>
        <sz val="11"/>
        <color theme="0"/>
        <rFont val="Calibri"/>
        <family val="2"/>
        <scheme val="minor"/>
      </rPr>
      <t xml:space="preserve"> ] appears to be undervalued with strong fundamentals and high return potential.</t>
    </r>
  </si>
  <si>
    <t>Beta</t>
  </si>
  <si>
    <t>Graham No.</t>
  </si>
  <si>
    <t>Gap</t>
  </si>
  <si>
    <t>Piotroski Score</t>
  </si>
  <si>
    <t>Suggestion By Beta</t>
  </si>
  <si>
    <t>Suggestion By Piotroski Score</t>
  </si>
  <si>
    <t>Suggestion By Graham No.</t>
  </si>
  <si>
    <t>Promoters Holding</t>
  </si>
  <si>
    <t>Suggestion By Promoters Holding</t>
  </si>
  <si>
    <t>Market cap</t>
  </si>
  <si>
    <t>EBITDA Margin</t>
  </si>
  <si>
    <t>Tax Rate</t>
  </si>
  <si>
    <t>WACC</t>
  </si>
  <si>
    <t xml:space="preserve">15,052.12	</t>
  </si>
  <si>
    <t>Revenue CAGR</t>
  </si>
  <si>
    <t>sales</t>
  </si>
  <si>
    <t>capex</t>
  </si>
  <si>
    <t>capex%</t>
  </si>
  <si>
    <t>Deprecation %</t>
  </si>
  <si>
    <t>dep</t>
  </si>
  <si>
    <t>WCC</t>
  </si>
  <si>
    <t>Working Capital Change</t>
  </si>
  <si>
    <t>terminal growth rate(g)</t>
  </si>
  <si>
    <t>share outstanding(cr)</t>
  </si>
  <si>
    <t>Cash(cr)</t>
  </si>
  <si>
    <t>net Debt(cr)</t>
  </si>
  <si>
    <t>Market Cap(cr)</t>
  </si>
  <si>
    <t>Values</t>
  </si>
  <si>
    <t>Year</t>
  </si>
  <si>
    <t>EBIT</t>
  </si>
  <si>
    <t>Revenue(Cr)</t>
  </si>
  <si>
    <t>EBITDA(Cr)</t>
  </si>
  <si>
    <t>Depreciation</t>
  </si>
  <si>
    <t>TAX @ 25%</t>
  </si>
  <si>
    <t>NOPAT</t>
  </si>
  <si>
    <t>Capex</t>
  </si>
  <si>
    <t>FCF(NOPAT+Dep-Capex)</t>
  </si>
  <si>
    <t>Discounted FCF</t>
  </si>
  <si>
    <t>Terminal Value (TV)</t>
  </si>
  <si>
    <t>Equity Value</t>
  </si>
  <si>
    <t>Total PV of FCF</t>
  </si>
  <si>
    <t>PV of Terminal Value</t>
  </si>
  <si>
    <t>Enterprise Value (EV)</t>
  </si>
  <si>
    <t>Less: Net Debt</t>
  </si>
  <si>
    <t>Shares Outstanding</t>
  </si>
  <si>
    <t>Fair Value/Share</t>
  </si>
  <si>
    <t>Current Value</t>
  </si>
  <si>
    <t>metric</t>
  </si>
  <si>
    <t>value</t>
  </si>
  <si>
    <t>Sell</t>
  </si>
  <si>
    <t>Hold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</si>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</sst>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2F363F"/>
      <name val="Graphik-regula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4" fillId="3" borderId="0" xfId="0" applyFont="1" applyFill="1"/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inden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wrapText="1"/>
    </xf>
    <xf numFmtId="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top" wrapText="1"/>
    </xf>
    <xf numFmtId="2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 vertical="center" wrapText="1"/>
    </xf>
    <xf numFmtId="0" fontId="4" fillId="5" borderId="0" xfId="0" applyFont="1" applyFill="1"/>
    <xf numFmtId="0" fontId="4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49" fontId="4" fillId="3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4" fillId="3" borderId="0" xfId="0" applyNumberFormat="1" applyFont="1" applyFill="1"/>
    <xf numFmtId="49" fontId="3" fillId="2" borderId="0" xfId="0" applyNumberFormat="1" applyFont="1" applyFill="1"/>
    <xf numFmtId="49" fontId="3" fillId="3" borderId="0" xfId="0" applyNumberFormat="1" applyFont="1" applyFill="1" applyAlignment="1">
      <alignment horizontal="left" vertical="center" indent="1"/>
    </xf>
    <xf numFmtId="49" fontId="0" fillId="0" borderId="0" xfId="0" applyNumberFormat="1"/>
    <xf numFmtId="2" fontId="0" fillId="4" borderId="0" xfId="0" applyNumberFormat="1" applyFill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0" xfId="0" applyNumberForma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top" wrapText="1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3" fillId="2" borderId="0" xfId="1" applyNumberFormat="1" applyFon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vertical="center" wrapText="1"/>
    </xf>
    <xf numFmtId="2" fontId="1" fillId="0" borderId="0" xfId="0" applyNumberFormat="1" applyFont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/>
    </xf>
    <xf numFmtId="49" fontId="4" fillId="3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  <color rgb="FF0000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showGridLines="0" zoomScaleNormal="100" workbookViewId="0">
      <pane xSplit="4" ySplit="4" topLeftCell="E23" activePane="bottomRight" state="frozen"/>
      <selection pane="topRight" activeCell="E1" sqref="E1"/>
      <selection pane="bottomLeft" activeCell="A5" sqref="A5"/>
      <selection pane="bottomRight" activeCell="K17" sqref="K17"/>
    </sheetView>
  </sheetViews>
  <sheetFormatPr defaultRowHeight="15" outlineLevelRow="1"/>
  <cols>
    <col min="1" max="1" width="3.42578125" customWidth="1"/>
    <col min="2" max="2" width="10.85546875" style="48" customWidth="1"/>
    <col min="3" max="3" width="11.7109375" customWidth="1"/>
    <col min="4" max="4" width="20.7109375" style="44" bestFit="1" customWidth="1"/>
    <col min="5" max="5" width="10.42578125" style="14" bestFit="1" customWidth="1"/>
    <col min="6" max="6" width="36.42578125" style="5" hidden="1" customWidth="1"/>
    <col min="7" max="7" width="19.7109375" bestFit="1" customWidth="1"/>
    <col min="8" max="8" width="9.28515625" bestFit="1" customWidth="1"/>
    <col min="9" max="9" width="17.28515625" bestFit="1" customWidth="1"/>
    <col min="10" max="10" width="15.5703125" bestFit="1" customWidth="1"/>
    <col min="11" max="11" width="14.140625" bestFit="1" customWidth="1"/>
    <col min="12" max="12" width="20.28515625" bestFit="1" customWidth="1"/>
    <col min="13" max="13" width="21.140625" bestFit="1" customWidth="1"/>
  </cols>
  <sheetData>
    <row r="1" spans="1:15" ht="15.7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5">
      <c r="A2" s="7"/>
      <c r="B2" s="45"/>
      <c r="C2" s="7"/>
      <c r="D2" s="41"/>
      <c r="E2" s="11"/>
      <c r="F2" s="8"/>
      <c r="G2" s="7"/>
      <c r="H2" s="7"/>
      <c r="I2" s="7"/>
      <c r="J2" s="7"/>
      <c r="K2" s="7"/>
      <c r="L2" s="7"/>
      <c r="M2" s="7"/>
    </row>
    <row r="3" spans="1:15" ht="31.5" customHeight="1">
      <c r="A3" s="7"/>
      <c r="B3" s="45"/>
      <c r="C3" s="7"/>
      <c r="D3" s="41"/>
      <c r="E3" s="11"/>
      <c r="F3" s="9"/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"/>
      <c r="O3" s="1"/>
    </row>
    <row r="4" spans="1:15" ht="21.75" customHeight="1">
      <c r="A4" s="2" t="s">
        <v>8</v>
      </c>
      <c r="B4" s="46" t="s">
        <v>9</v>
      </c>
      <c r="C4" s="3"/>
      <c r="D4" s="42"/>
      <c r="E4" s="12" t="s">
        <v>10</v>
      </c>
      <c r="F4" s="6"/>
      <c r="G4" s="4"/>
      <c r="H4" s="4"/>
      <c r="I4" s="4"/>
      <c r="J4" s="4"/>
      <c r="K4" s="4"/>
      <c r="L4" s="4"/>
      <c r="M4" s="4"/>
    </row>
    <row r="5" spans="1:15" ht="26.25" customHeight="1" outlineLevel="1">
      <c r="A5" s="15"/>
      <c r="B5" s="97"/>
      <c r="C5" s="97"/>
      <c r="D5" s="41" t="s">
        <v>11</v>
      </c>
      <c r="E5" s="21" t="s">
        <v>12</v>
      </c>
      <c r="F5" s="22" t="s">
        <v>13</v>
      </c>
      <c r="G5" s="40">
        <v>64.37</v>
      </c>
      <c r="H5" s="40">
        <v>76.95</v>
      </c>
      <c r="I5" s="40">
        <v>36.700000000000003</v>
      </c>
      <c r="J5" s="40">
        <v>58.91</v>
      </c>
      <c r="K5" s="40">
        <v>8.94</v>
      </c>
      <c r="L5" s="40">
        <v>16.760000000000002</v>
      </c>
      <c r="M5" s="40">
        <v>13.14</v>
      </c>
    </row>
    <row r="6" spans="1:15" ht="21.75" customHeight="1" outlineLevel="1">
      <c r="A6" s="15"/>
      <c r="B6" s="97"/>
      <c r="C6" s="97"/>
      <c r="D6" s="41" t="s">
        <v>14</v>
      </c>
      <c r="E6" s="21" t="s">
        <v>15</v>
      </c>
      <c r="F6" s="22" t="s">
        <v>16</v>
      </c>
      <c r="G6" s="40">
        <v>13.52</v>
      </c>
      <c r="H6" s="40">
        <v>12.33</v>
      </c>
      <c r="I6" s="40">
        <v>6.21</v>
      </c>
      <c r="J6" s="40">
        <v>6.48</v>
      </c>
      <c r="K6" s="40">
        <v>1.41</v>
      </c>
      <c r="L6" s="40">
        <v>2.38</v>
      </c>
      <c r="M6" s="40">
        <v>1.78</v>
      </c>
    </row>
    <row r="7" spans="1:15" ht="15.75" customHeight="1" outlineLevel="1">
      <c r="A7" s="15"/>
      <c r="B7" s="97"/>
      <c r="C7" s="97"/>
      <c r="D7" s="41" t="s">
        <v>17</v>
      </c>
      <c r="E7" s="21" t="s">
        <v>18</v>
      </c>
      <c r="F7" s="22" t="s">
        <v>19</v>
      </c>
      <c r="G7" s="40">
        <v>38.24</v>
      </c>
      <c r="H7" s="40">
        <v>40.409999999999997</v>
      </c>
      <c r="I7" s="40">
        <v>22.53</v>
      </c>
      <c r="J7" s="40">
        <v>27.56</v>
      </c>
      <c r="K7" s="40">
        <v>5.35</v>
      </c>
      <c r="L7" s="40">
        <v>10.06</v>
      </c>
      <c r="M7" s="40">
        <v>8.2100000000000009</v>
      </c>
    </row>
    <row r="8" spans="1:15" ht="26.25" customHeight="1" outlineLevel="1">
      <c r="A8" s="15"/>
      <c r="B8" s="39"/>
      <c r="C8" s="39"/>
      <c r="D8" s="41" t="s">
        <v>85</v>
      </c>
      <c r="E8" s="21" t="s">
        <v>86</v>
      </c>
      <c r="F8" s="22" t="s">
        <v>87</v>
      </c>
      <c r="G8" s="40">
        <f>G5/G16</f>
        <v>2.8232456140350877</v>
      </c>
      <c r="H8" s="40">
        <f t="shared" ref="H8:M8" si="0">H5/H16</f>
        <v>4.8093750000000002</v>
      </c>
      <c r="I8" s="40">
        <f t="shared" si="0"/>
        <v>3.0634390651085144</v>
      </c>
      <c r="J8" s="40">
        <f t="shared" si="0"/>
        <v>20.742957746478872</v>
      </c>
      <c r="K8" s="40">
        <f t="shared" si="0"/>
        <v>0.34840218238503506</v>
      </c>
      <c r="L8" s="40">
        <f t="shared" si="0"/>
        <v>0.86974571873378315</v>
      </c>
      <c r="M8" s="40">
        <f t="shared" si="0"/>
        <v>0.23422459893048128</v>
      </c>
    </row>
    <row r="9" spans="1:15">
      <c r="A9" s="2" t="s">
        <v>20</v>
      </c>
      <c r="B9" s="46" t="s">
        <v>21</v>
      </c>
      <c r="C9" s="3"/>
      <c r="D9" s="42"/>
      <c r="E9" s="13"/>
      <c r="F9" s="6"/>
      <c r="G9" s="4"/>
      <c r="H9" s="4"/>
      <c r="I9" s="4"/>
      <c r="J9" s="4"/>
      <c r="K9" s="4"/>
      <c r="L9" s="4"/>
      <c r="M9" s="4"/>
    </row>
    <row r="10" spans="1:15" ht="28.5" customHeight="1" outlineLevel="1">
      <c r="A10" s="17"/>
      <c r="B10" s="97"/>
      <c r="C10" s="97"/>
      <c r="D10" s="41" t="s">
        <v>22</v>
      </c>
      <c r="E10" s="21" t="s">
        <v>23</v>
      </c>
      <c r="F10" s="22" t="s">
        <v>24</v>
      </c>
      <c r="G10" s="24">
        <v>0.22159999999999999</v>
      </c>
      <c r="H10" s="24">
        <v>0.1754</v>
      </c>
      <c r="I10" s="24">
        <v>0.2114</v>
      </c>
      <c r="J10" s="24">
        <v>0.16619999999999999</v>
      </c>
      <c r="K10" s="24">
        <v>0.17050000000000001</v>
      </c>
      <c r="L10" s="24">
        <v>8.9899999999999994E-2</v>
      </c>
      <c r="M10" s="24">
        <v>0.18110000000000001</v>
      </c>
    </row>
    <row r="11" spans="1:15" ht="31.5" customHeight="1" outlineLevel="1">
      <c r="A11" s="17"/>
      <c r="B11" s="97"/>
      <c r="C11" s="97"/>
      <c r="D11" s="41" t="s">
        <v>25</v>
      </c>
      <c r="E11" s="21" t="s">
        <v>23</v>
      </c>
      <c r="F11" s="22" t="s">
        <v>26</v>
      </c>
      <c r="G11" s="24">
        <v>0.2331</v>
      </c>
      <c r="H11" s="24">
        <v>0.22040000000000001</v>
      </c>
      <c r="I11" s="24">
        <v>0.22670000000000001</v>
      </c>
      <c r="J11" s="24">
        <v>0.15870000000000001</v>
      </c>
      <c r="K11" s="24">
        <v>0.21729999999999999</v>
      </c>
      <c r="L11" s="24">
        <v>0.1802</v>
      </c>
      <c r="M11" s="24">
        <v>0.16289999999999999</v>
      </c>
    </row>
    <row r="12" spans="1:15" ht="30" customHeight="1" outlineLevel="1">
      <c r="A12" s="17"/>
      <c r="B12" s="97"/>
      <c r="C12" s="97"/>
      <c r="D12" s="41" t="s">
        <v>27</v>
      </c>
      <c r="E12" s="21" t="s">
        <v>28</v>
      </c>
      <c r="F12" s="22" t="s">
        <v>29</v>
      </c>
      <c r="G12" s="24">
        <v>5.2600000000000001E-2</v>
      </c>
      <c r="H12" s="24">
        <v>0.12659999999999999</v>
      </c>
      <c r="I12" s="24">
        <v>0.14779999999999999</v>
      </c>
      <c r="J12" s="24">
        <v>9.7500000000000003E-2</v>
      </c>
      <c r="K12" s="24">
        <v>0.14169999999999999</v>
      </c>
      <c r="L12" s="24">
        <v>0.22140000000000001</v>
      </c>
      <c r="M12" s="24">
        <v>0.1835</v>
      </c>
    </row>
    <row r="13" spans="1:15" ht="25.5" customHeight="1" outlineLevel="1">
      <c r="A13" s="17"/>
      <c r="B13" s="97"/>
      <c r="C13" s="97"/>
      <c r="D13" s="41" t="s">
        <v>30</v>
      </c>
      <c r="E13" s="21" t="s">
        <v>31</v>
      </c>
      <c r="F13" s="22" t="s">
        <v>32</v>
      </c>
      <c r="G13" s="24">
        <v>3.6400000000000002E-2</v>
      </c>
      <c r="H13" s="24">
        <v>8.9200000000000002E-2</v>
      </c>
      <c r="I13" s="24">
        <v>0.1037</v>
      </c>
      <c r="J13" s="24">
        <v>6.2899999999999998E-2</v>
      </c>
      <c r="K13" s="24">
        <v>8.2900000000000001E-2</v>
      </c>
      <c r="L13" s="24">
        <v>0.1651</v>
      </c>
      <c r="M13" s="24">
        <v>0.14219999999999999</v>
      </c>
    </row>
    <row r="14" spans="1:15">
      <c r="A14" s="2" t="s">
        <v>33</v>
      </c>
      <c r="B14" s="46" t="s">
        <v>34</v>
      </c>
      <c r="C14" s="3"/>
      <c r="D14" s="42"/>
      <c r="E14" s="13"/>
      <c r="F14" s="6"/>
      <c r="G14" s="4"/>
      <c r="H14" s="4"/>
      <c r="I14" s="4"/>
      <c r="J14" s="4"/>
      <c r="K14" s="4"/>
      <c r="L14" s="4"/>
      <c r="M14" s="4"/>
    </row>
    <row r="15" spans="1:15" ht="30" outlineLevel="1">
      <c r="A15" s="16"/>
      <c r="B15" s="98"/>
      <c r="C15" s="98"/>
      <c r="D15" s="41" t="s">
        <v>35</v>
      </c>
      <c r="E15" s="21" t="s">
        <v>36</v>
      </c>
      <c r="F15" s="22"/>
      <c r="G15" s="40">
        <v>21.83</v>
      </c>
      <c r="H15" s="40">
        <v>17.79</v>
      </c>
      <c r="I15" s="40">
        <v>14.68</v>
      </c>
      <c r="J15" s="40">
        <v>10.56</v>
      </c>
      <c r="K15" s="40">
        <v>12.31</v>
      </c>
      <c r="L15" s="40">
        <v>9.77</v>
      </c>
      <c r="M15" s="40">
        <v>15.19</v>
      </c>
    </row>
    <row r="16" spans="1:15" outlineLevel="1">
      <c r="A16" s="16"/>
      <c r="B16" s="98"/>
      <c r="C16" s="98"/>
      <c r="D16" s="41" t="s">
        <v>37</v>
      </c>
      <c r="E16" s="21" t="s">
        <v>36</v>
      </c>
      <c r="F16" s="22"/>
      <c r="G16" s="40">
        <v>22.8</v>
      </c>
      <c r="H16" s="40">
        <v>16</v>
      </c>
      <c r="I16" s="40">
        <v>11.98</v>
      </c>
      <c r="J16" s="40">
        <v>2.84</v>
      </c>
      <c r="K16" s="40">
        <v>25.66</v>
      </c>
      <c r="L16" s="40">
        <v>19.27</v>
      </c>
      <c r="M16" s="40">
        <v>56.1</v>
      </c>
    </row>
    <row r="17" spans="1:13" ht="19.5" customHeight="1" outlineLevel="1">
      <c r="A17" s="16"/>
      <c r="B17" s="98"/>
      <c r="C17" s="98"/>
      <c r="D17" s="41" t="s">
        <v>38</v>
      </c>
      <c r="E17" s="21" t="s">
        <v>39</v>
      </c>
      <c r="F17" s="22"/>
      <c r="G17" s="40">
        <v>6.23</v>
      </c>
      <c r="H17" s="40">
        <v>16.809999999999999</v>
      </c>
      <c r="I17" s="40">
        <v>16.829999999999998</v>
      </c>
      <c r="J17" s="40">
        <v>13.28</v>
      </c>
      <c r="K17" s="40">
        <v>17.04</v>
      </c>
      <c r="L17" s="40">
        <v>24.34</v>
      </c>
      <c r="M17" s="40">
        <v>20.2</v>
      </c>
    </row>
    <row r="18" spans="1:13">
      <c r="A18" s="2" t="s">
        <v>40</v>
      </c>
      <c r="B18" s="46" t="s">
        <v>41</v>
      </c>
      <c r="C18" s="3"/>
      <c r="D18" s="42"/>
      <c r="E18" s="13"/>
      <c r="F18" s="6"/>
      <c r="G18" s="4"/>
      <c r="H18" s="4"/>
      <c r="I18" s="4"/>
      <c r="J18" s="4"/>
      <c r="K18" s="4"/>
      <c r="L18" s="4"/>
      <c r="M18" s="4"/>
    </row>
    <row r="19" spans="1:13" ht="24" customHeight="1" outlineLevel="1">
      <c r="A19" s="16"/>
      <c r="B19" s="99"/>
      <c r="C19" s="99"/>
      <c r="D19" s="41" t="s">
        <v>42</v>
      </c>
      <c r="E19" s="21" t="s">
        <v>43</v>
      </c>
      <c r="F19" s="22" t="s">
        <v>44</v>
      </c>
      <c r="G19" s="40">
        <v>0.32</v>
      </c>
      <c r="H19" s="40">
        <v>0.04</v>
      </c>
      <c r="I19" s="40">
        <v>0.05</v>
      </c>
      <c r="J19" s="40">
        <v>0.09</v>
      </c>
      <c r="K19" s="40">
        <v>0.44</v>
      </c>
      <c r="L19" s="40">
        <v>7.0000000000000007E-2</v>
      </c>
      <c r="M19" s="40">
        <v>0</v>
      </c>
    </row>
    <row r="20" spans="1:13" ht="25.5" customHeight="1" outlineLevel="1">
      <c r="A20" s="16"/>
      <c r="B20" s="99"/>
      <c r="C20" s="99"/>
      <c r="D20" s="41" t="s">
        <v>45</v>
      </c>
      <c r="E20" s="21" t="s">
        <v>46</v>
      </c>
      <c r="F20" s="22" t="s">
        <v>47</v>
      </c>
      <c r="G20" s="40">
        <v>1.34</v>
      </c>
      <c r="H20" s="40">
        <v>1.77</v>
      </c>
      <c r="I20" s="40">
        <v>4.4400000000000004</v>
      </c>
      <c r="J20" s="40">
        <v>2.64</v>
      </c>
      <c r="K20" s="40">
        <v>1.45</v>
      </c>
      <c r="L20" s="40">
        <v>2.9</v>
      </c>
      <c r="M20" s="40">
        <v>8.4</v>
      </c>
    </row>
    <row r="21" spans="1:13">
      <c r="A21" s="2" t="s">
        <v>48</v>
      </c>
      <c r="B21" s="46" t="s">
        <v>49</v>
      </c>
      <c r="C21" s="3"/>
      <c r="D21" s="42"/>
      <c r="E21" s="13"/>
      <c r="F21" s="6"/>
      <c r="G21" s="4"/>
      <c r="H21" s="4"/>
      <c r="I21" s="4"/>
      <c r="J21" s="4"/>
      <c r="K21" s="4"/>
      <c r="L21" s="4"/>
      <c r="M21" s="4"/>
    </row>
    <row r="22" spans="1:13" outlineLevel="1">
      <c r="A22" s="16"/>
      <c r="B22" s="45"/>
      <c r="C22" s="7"/>
      <c r="D22" s="41" t="s">
        <v>50</v>
      </c>
      <c r="E22" s="21" t="s">
        <v>51</v>
      </c>
      <c r="F22" s="26"/>
      <c r="G22" s="24">
        <v>0.33</v>
      </c>
      <c r="H22" s="24">
        <v>0.25</v>
      </c>
      <c r="I22" s="24">
        <v>0.49</v>
      </c>
      <c r="J22" s="24">
        <v>0.83</v>
      </c>
      <c r="K22" s="24">
        <v>0.82</v>
      </c>
      <c r="L22" s="24">
        <v>1.66</v>
      </c>
      <c r="M22" s="24">
        <v>1.31</v>
      </c>
    </row>
    <row r="23" spans="1:13" outlineLevel="1">
      <c r="A23" s="16"/>
      <c r="B23" s="45"/>
      <c r="C23" s="7"/>
      <c r="D23" s="41" t="s">
        <v>52</v>
      </c>
      <c r="E23" s="21" t="s">
        <v>53</v>
      </c>
      <c r="F23" s="26"/>
      <c r="G23" s="24">
        <v>0.21</v>
      </c>
      <c r="H23" s="24">
        <v>0.19</v>
      </c>
      <c r="I23" s="24">
        <v>0.18</v>
      </c>
      <c r="J23" s="24">
        <v>0.49</v>
      </c>
      <c r="K23" s="24">
        <v>7.0000000000000007E-2</v>
      </c>
      <c r="L23" s="24">
        <v>0.28000000000000003</v>
      </c>
      <c r="M23" s="24">
        <v>0.17</v>
      </c>
    </row>
    <row r="24" spans="1:13" outlineLevel="1">
      <c r="A24" s="16"/>
      <c r="B24" s="45"/>
      <c r="C24" s="7"/>
      <c r="D24" s="41" t="s">
        <v>54</v>
      </c>
      <c r="E24" s="25"/>
      <c r="F24" s="26"/>
      <c r="G24" s="27">
        <v>1755.9</v>
      </c>
      <c r="H24" s="27">
        <v>1500.4</v>
      </c>
      <c r="I24" s="27">
        <v>2847.9</v>
      </c>
      <c r="J24" s="27">
        <v>1088.8</v>
      </c>
      <c r="K24" s="28">
        <v>243.92</v>
      </c>
      <c r="L24" s="28">
        <v>216.92</v>
      </c>
      <c r="M24" s="28">
        <v>762.3</v>
      </c>
    </row>
    <row r="25" spans="1:13" outlineLevel="1">
      <c r="A25" s="16"/>
      <c r="B25" s="45"/>
      <c r="C25" s="7"/>
      <c r="D25" s="41"/>
      <c r="E25" s="25"/>
      <c r="F25" s="26"/>
      <c r="G25" s="23"/>
      <c r="H25" s="23"/>
      <c r="I25" s="23"/>
      <c r="J25" s="23"/>
      <c r="K25" s="23"/>
      <c r="L25" s="23"/>
      <c r="M25" s="23"/>
    </row>
    <row r="26" spans="1:13" ht="30" customHeight="1">
      <c r="A26" s="2" t="s">
        <v>55</v>
      </c>
      <c r="B26" s="102" t="s">
        <v>56</v>
      </c>
      <c r="C26" s="102"/>
      <c r="D26" s="43"/>
      <c r="E26" s="100" t="s">
        <v>5</v>
      </c>
      <c r="F26" s="100"/>
      <c r="G26" s="100"/>
      <c r="H26" s="3"/>
      <c r="I26" s="3"/>
      <c r="J26" s="3"/>
      <c r="K26" s="3"/>
      <c r="L26" s="3"/>
      <c r="M26" s="3"/>
    </row>
    <row r="27" spans="1:13" ht="15" customHeight="1" outlineLevel="1">
      <c r="A27" s="7"/>
      <c r="B27" s="101"/>
      <c r="C27" s="101"/>
      <c r="D27" s="41" t="s">
        <v>57</v>
      </c>
      <c r="E27" s="103" t="s">
        <v>58</v>
      </c>
      <c r="F27" s="103"/>
      <c r="G27" s="103"/>
      <c r="H27" s="103"/>
      <c r="I27" s="103"/>
      <c r="J27" s="103"/>
      <c r="K27" s="103"/>
      <c r="L27" s="103"/>
      <c r="M27" s="103"/>
    </row>
    <row r="28" spans="1:13" outlineLevel="1">
      <c r="A28" s="7"/>
      <c r="B28" s="47"/>
      <c r="C28" s="20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 ht="39" customHeight="1" outlineLevel="1">
      <c r="A29" s="7"/>
      <c r="B29" s="101"/>
      <c r="C29" s="101"/>
      <c r="D29" s="41" t="s">
        <v>59</v>
      </c>
      <c r="E29" s="103" t="s">
        <v>91</v>
      </c>
      <c r="F29" s="103"/>
      <c r="G29" s="103"/>
      <c r="H29" s="103"/>
      <c r="I29" s="103"/>
      <c r="J29" s="103"/>
      <c r="K29" s="103"/>
      <c r="L29" s="103"/>
      <c r="M29" s="103"/>
    </row>
    <row r="30" spans="1:13" ht="61.5" customHeight="1" outlineLevel="1">
      <c r="A30" s="7"/>
      <c r="B30" s="101"/>
      <c r="C30" s="101"/>
      <c r="D30" s="41" t="s">
        <v>60</v>
      </c>
      <c r="E30" s="103" t="s">
        <v>90</v>
      </c>
      <c r="F30" s="103"/>
      <c r="G30" s="103"/>
      <c r="H30" s="103"/>
      <c r="I30" s="103"/>
      <c r="J30" s="103"/>
      <c r="K30" s="103"/>
      <c r="L30" s="103"/>
      <c r="M30" s="103"/>
    </row>
  </sheetData>
  <mergeCells count="13">
    <mergeCell ref="E26:G26"/>
    <mergeCell ref="B30:C30"/>
    <mergeCell ref="B29:C29"/>
    <mergeCell ref="B27:C27"/>
    <mergeCell ref="B26:C26"/>
    <mergeCell ref="E29:M29"/>
    <mergeCell ref="E30:M30"/>
    <mergeCell ref="E27:M27"/>
    <mergeCell ref="A1:M1"/>
    <mergeCell ref="B5:C7"/>
    <mergeCell ref="B10:C13"/>
    <mergeCell ref="B15:C17"/>
    <mergeCell ref="B19:C20"/>
  </mergeCells>
  <conditionalFormatting sqref="G5:M5">
    <cfRule type="cellIs" dxfId="29" priority="17" operator="lessThan">
      <formula>38.6</formula>
    </cfRule>
  </conditionalFormatting>
  <conditionalFormatting sqref="G6:M6">
    <cfRule type="cellIs" dxfId="28" priority="16" operator="lessThan">
      <formula>6.56</formula>
    </cfRule>
  </conditionalFormatting>
  <conditionalFormatting sqref="G7:M7">
    <cfRule type="cellIs" dxfId="27" priority="15" operator="lessThan">
      <formula>11</formula>
    </cfRule>
  </conditionalFormatting>
  <conditionalFormatting sqref="G8:M8">
    <cfRule type="cellIs" dxfId="26" priority="1" operator="lessThan">
      <formula>1</formula>
    </cfRule>
  </conditionalFormatting>
  <conditionalFormatting sqref="G10:M11">
    <cfRule type="cellIs" dxfId="25" priority="12" operator="greaterThan">
      <formula>0.15</formula>
    </cfRule>
  </conditionalFormatting>
  <conditionalFormatting sqref="G11:M11">
    <cfRule type="cellIs" dxfId="24" priority="13" operator="greaterThan">
      <formula>15</formula>
    </cfRule>
  </conditionalFormatting>
  <conditionalFormatting sqref="G12:M12">
    <cfRule type="top10" dxfId="23" priority="11" rank="5"/>
  </conditionalFormatting>
  <conditionalFormatting sqref="G13:M13">
    <cfRule type="top10" dxfId="22" priority="10" rank="5"/>
  </conditionalFormatting>
  <conditionalFormatting sqref="G15:M16">
    <cfRule type="cellIs" dxfId="21" priority="8" operator="greaterThan">
      <formula>11</formula>
    </cfRule>
  </conditionalFormatting>
  <conditionalFormatting sqref="G17:M17">
    <cfRule type="top10" dxfId="20" priority="7" rank="5"/>
  </conditionalFormatting>
  <conditionalFormatting sqref="G19:M19">
    <cfRule type="cellIs" dxfId="19" priority="6" operator="lessThan">
      <formula>1</formula>
    </cfRule>
  </conditionalFormatting>
  <conditionalFormatting sqref="G20:M20">
    <cfRule type="cellIs" dxfId="18" priority="5" operator="greaterThan">
      <formula>1.5</formula>
    </cfRule>
  </conditionalFormatting>
  <conditionalFormatting sqref="G22:M22">
    <cfRule type="cellIs" dxfId="17" priority="3" operator="greaterThan">
      <formula>0.05</formula>
    </cfRule>
  </conditionalFormatting>
  <conditionalFormatting sqref="G23:M23">
    <cfRule type="cellIs" dxfId="16" priority="4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CF33-3E8C-4571-8BF7-A05EE6C908C5}">
  <dimension ref="A1:J36"/>
  <sheetViews>
    <sheetView showGridLines="0" tabSelected="1" topLeftCell="A7" zoomScaleNormal="100" workbookViewId="0">
      <selection activeCell="B11" sqref="B11:I11"/>
    </sheetView>
  </sheetViews>
  <sheetFormatPr defaultRowHeight="15" outlineLevelRow="1"/>
  <cols>
    <col min="1" max="1" width="4" customWidth="1"/>
    <col min="2" max="2" width="24.140625" customWidth="1"/>
    <col min="3" max="3" width="15.28515625" customWidth="1"/>
    <col min="4" max="4" width="16.140625" customWidth="1"/>
    <col min="5" max="5" width="17" customWidth="1"/>
    <col min="6" max="6" width="16.140625" customWidth="1"/>
    <col min="7" max="7" width="16.7109375" customWidth="1"/>
    <col min="8" max="8" width="15.42578125" customWidth="1"/>
    <col min="9" max="9" width="15" customWidth="1"/>
  </cols>
  <sheetData>
    <row r="1" spans="1:9" ht="15.75">
      <c r="A1" s="3" t="s">
        <v>68</v>
      </c>
      <c r="B1" s="104" t="s">
        <v>67</v>
      </c>
      <c r="C1" s="104"/>
      <c r="D1" s="104"/>
      <c r="E1" s="104"/>
      <c r="F1" s="104"/>
      <c r="G1" s="104"/>
      <c r="H1" s="104"/>
      <c r="I1" s="104"/>
    </row>
    <row r="2" spans="1:9">
      <c r="A2" s="3"/>
      <c r="B2" s="19" t="s">
        <v>61</v>
      </c>
      <c r="C2" s="19" t="s">
        <v>62</v>
      </c>
      <c r="D2" s="3"/>
      <c r="E2" s="3"/>
      <c r="F2" s="3"/>
      <c r="G2" s="3"/>
      <c r="H2" s="3"/>
      <c r="I2" s="3"/>
    </row>
    <row r="3" spans="1:9" ht="35.25" customHeight="1" outlineLevel="1">
      <c r="A3" s="3"/>
      <c r="B3" s="29" t="s">
        <v>63</v>
      </c>
      <c r="C3" s="31" t="str">
        <f>'Ratio Analysis'!G3</f>
        <v>APL Apollo Tubes Ltd</v>
      </c>
      <c r="D3" s="31" t="str">
        <f>'Ratio Analysis'!H3</f>
        <v>Astral Ltd</v>
      </c>
      <c r="E3" s="31" t="str">
        <f>'Ratio Analysis'!I3</f>
        <v>Ratnamani Metals and Tubes Ltd</v>
      </c>
      <c r="F3" s="31" t="str">
        <f>'Ratio Analysis'!J3</f>
        <v>Kajaria Ceramics Ltd</v>
      </c>
      <c r="G3" s="31" t="str">
        <f>'Ratio Analysis'!K3</f>
        <v>Jindal SAW Ltd</v>
      </c>
      <c r="H3" s="31" t="str">
        <f>'Ratio Analysis'!L3</f>
        <v>Finolex Industries Ltd</v>
      </c>
      <c r="I3" s="31" t="str">
        <f>'Ratio Analysis'!M3</f>
        <v>Maharashtra Seamless Ltd</v>
      </c>
    </row>
    <row r="4" spans="1:9" outlineLevel="1">
      <c r="A4" s="3"/>
      <c r="B4" s="29" t="s">
        <v>64</v>
      </c>
      <c r="C4" s="49">
        <v>27.28</v>
      </c>
      <c r="D4" s="32">
        <v>19.5</v>
      </c>
      <c r="E4" s="32">
        <v>77.61</v>
      </c>
      <c r="F4" s="32">
        <v>18.48</v>
      </c>
      <c r="G4" s="32">
        <v>27.18</v>
      </c>
      <c r="H4" s="32">
        <v>12.94</v>
      </c>
      <c r="I4" s="32">
        <v>58.02</v>
      </c>
    </row>
    <row r="5" spans="1:9" outlineLevel="1">
      <c r="A5" s="3"/>
      <c r="B5" s="29" t="s">
        <v>65</v>
      </c>
      <c r="C5" s="49">
        <v>38.6</v>
      </c>
      <c r="D5" s="49">
        <v>38.6</v>
      </c>
      <c r="E5" s="49">
        <v>38.6</v>
      </c>
      <c r="F5" s="49">
        <v>38.6</v>
      </c>
      <c r="G5" s="49">
        <v>38.6</v>
      </c>
      <c r="H5" s="49">
        <v>38.6</v>
      </c>
      <c r="I5" s="49">
        <v>38.6</v>
      </c>
    </row>
    <row r="6" spans="1:9" ht="15.75" outlineLevel="1" thickBot="1">
      <c r="A6" s="3"/>
      <c r="B6" s="30" t="s">
        <v>66</v>
      </c>
      <c r="C6" s="54">
        <f>C4*C5</f>
        <v>1053.008</v>
      </c>
      <c r="D6" s="54">
        <f t="shared" ref="D6:I6" si="0">D4*D5</f>
        <v>752.7</v>
      </c>
      <c r="E6" s="54">
        <f t="shared" si="0"/>
        <v>2995.7460000000001</v>
      </c>
      <c r="F6" s="54">
        <f t="shared" si="0"/>
        <v>713.32800000000009</v>
      </c>
      <c r="G6" s="54">
        <f t="shared" si="0"/>
        <v>1049.1480000000001</v>
      </c>
      <c r="H6" s="54">
        <f t="shared" si="0"/>
        <v>499.48399999999998</v>
      </c>
      <c r="I6" s="54">
        <f t="shared" si="0"/>
        <v>2239.5720000000001</v>
      </c>
    </row>
    <row r="7" spans="1:9" ht="16.5" thickTop="1" thickBot="1">
      <c r="A7" s="3"/>
      <c r="B7" s="18" t="s">
        <v>54</v>
      </c>
      <c r="C7" s="55">
        <v>1755.9</v>
      </c>
      <c r="D7" s="55">
        <v>1500.4</v>
      </c>
      <c r="E7" s="55">
        <v>2847.9</v>
      </c>
      <c r="F7" s="55">
        <v>1088.8</v>
      </c>
      <c r="G7" s="55">
        <v>243.92</v>
      </c>
      <c r="H7" s="55">
        <v>216.92</v>
      </c>
      <c r="I7" s="55">
        <v>762.3</v>
      </c>
    </row>
    <row r="8" spans="1:9" ht="15.75" thickTop="1">
      <c r="A8" s="29"/>
      <c r="B8" s="29" t="s">
        <v>94</v>
      </c>
      <c r="C8" s="57">
        <f>C6-C7</f>
        <v>-702.89200000000005</v>
      </c>
      <c r="D8" s="57">
        <f t="shared" ref="D8:I8" si="1">D6-D7</f>
        <v>-747.7</v>
      </c>
      <c r="E8" s="57">
        <f t="shared" si="1"/>
        <v>147.846</v>
      </c>
      <c r="F8" s="57">
        <f t="shared" si="1"/>
        <v>-375.47199999999987</v>
      </c>
      <c r="G8" s="57">
        <f t="shared" si="1"/>
        <v>805.22800000000018</v>
      </c>
      <c r="H8" s="57">
        <f t="shared" si="1"/>
        <v>282.56399999999996</v>
      </c>
      <c r="I8" s="57">
        <f t="shared" si="1"/>
        <v>1477.2720000000002</v>
      </c>
    </row>
    <row r="9" spans="1:9">
      <c r="A9" s="29"/>
      <c r="B9" s="18" t="s">
        <v>88</v>
      </c>
      <c r="C9" s="52" t="str">
        <f t="shared" ref="C9:H9" si="2">IF(C6&gt; C7*1.2, "Buy", IF(C6 &lt; C7*0.8, "Sell", "Hold"))</f>
        <v>Sell</v>
      </c>
      <c r="D9" s="52" t="str">
        <f t="shared" si="2"/>
        <v>Sell</v>
      </c>
      <c r="E9" s="52" t="str">
        <f t="shared" si="2"/>
        <v>Hold</v>
      </c>
      <c r="F9" s="52" t="str">
        <f t="shared" si="2"/>
        <v>Sell</v>
      </c>
      <c r="G9" s="52" t="str">
        <f t="shared" si="2"/>
        <v>Buy</v>
      </c>
      <c r="H9" s="52" t="str">
        <f t="shared" si="2"/>
        <v>Buy</v>
      </c>
      <c r="I9" s="52" t="str">
        <f>IF(I6&gt; I7*1.2, "Buy", IF(I6 &lt; I7*0.8, "Sell", "Hold"))</f>
        <v>Buy</v>
      </c>
    </row>
    <row r="11" spans="1:9" ht="15.75">
      <c r="A11" s="35" t="s">
        <v>72</v>
      </c>
      <c r="B11" s="104" t="s">
        <v>71</v>
      </c>
      <c r="C11" s="104"/>
      <c r="D11" s="104"/>
      <c r="E11" s="104"/>
      <c r="F11" s="104"/>
      <c r="G11" s="104"/>
      <c r="H11" s="104"/>
      <c r="I11" s="104"/>
    </row>
    <row r="12" spans="1:9" outlineLevel="1">
      <c r="A12" s="36"/>
      <c r="B12" s="19" t="s">
        <v>61</v>
      </c>
      <c r="C12" s="36" t="s">
        <v>62</v>
      </c>
      <c r="D12" s="36"/>
      <c r="E12" s="36"/>
      <c r="F12" s="36"/>
      <c r="G12" s="36"/>
      <c r="H12" s="36"/>
      <c r="I12" s="36"/>
    </row>
    <row r="13" spans="1:9" ht="30" outlineLevel="1">
      <c r="A13" s="37"/>
      <c r="B13" s="29" t="s">
        <v>63</v>
      </c>
      <c r="C13" s="31" t="str">
        <f t="shared" ref="C13:I13" si="3">C3</f>
        <v>APL Apollo Tubes Ltd</v>
      </c>
      <c r="D13" s="31" t="str">
        <f t="shared" si="3"/>
        <v>Astral Ltd</v>
      </c>
      <c r="E13" s="31" t="str">
        <f t="shared" si="3"/>
        <v>Ratnamani Metals and Tubes Ltd</v>
      </c>
      <c r="F13" s="31" t="str">
        <f t="shared" si="3"/>
        <v>Kajaria Ceramics Ltd</v>
      </c>
      <c r="G13" s="31" t="str">
        <f t="shared" si="3"/>
        <v>Jindal SAW Ltd</v>
      </c>
      <c r="H13" s="31" t="str">
        <f t="shared" si="3"/>
        <v>Finolex Industries Ltd</v>
      </c>
      <c r="I13" s="31" t="str">
        <f t="shared" si="3"/>
        <v>Maharashtra Seamless Ltd</v>
      </c>
    </row>
    <row r="14" spans="1:9" outlineLevel="1">
      <c r="A14" s="37"/>
      <c r="B14" s="13" t="s">
        <v>75</v>
      </c>
      <c r="C14" s="33">
        <v>151.65</v>
      </c>
      <c r="D14" s="33">
        <v>134.63999999999999</v>
      </c>
      <c r="E14" s="33">
        <v>518.9</v>
      </c>
      <c r="F14" s="33">
        <v>172.3</v>
      </c>
      <c r="G14" s="33">
        <v>178.43</v>
      </c>
      <c r="H14" s="33">
        <v>96.35</v>
      </c>
      <c r="I14" s="33">
        <v>473.16</v>
      </c>
    </row>
    <row r="15" spans="1:9" outlineLevel="1">
      <c r="A15" s="37"/>
      <c r="B15" s="13" t="s">
        <v>74</v>
      </c>
      <c r="C15" s="49">
        <v>6.56</v>
      </c>
      <c r="D15" s="49">
        <v>6.56</v>
      </c>
      <c r="E15" s="49">
        <v>6.56</v>
      </c>
      <c r="F15" s="49">
        <v>6.56</v>
      </c>
      <c r="G15" s="49">
        <v>6.56</v>
      </c>
      <c r="H15" s="49">
        <v>6.56</v>
      </c>
      <c r="I15" s="49">
        <v>6.56</v>
      </c>
    </row>
    <row r="16" spans="1:9" outlineLevel="1">
      <c r="A16" s="13"/>
      <c r="B16" s="13" t="s">
        <v>73</v>
      </c>
      <c r="C16" s="54">
        <f>C14*C15</f>
        <v>994.82399999999996</v>
      </c>
      <c r="D16" s="54">
        <f t="shared" ref="D16:I16" si="4">D14*D15</f>
        <v>883.23839999999984</v>
      </c>
      <c r="E16" s="54">
        <f t="shared" si="4"/>
        <v>3403.9839999999995</v>
      </c>
      <c r="F16" s="54">
        <f t="shared" si="4"/>
        <v>1130.288</v>
      </c>
      <c r="G16" s="54">
        <f t="shared" si="4"/>
        <v>1170.5008</v>
      </c>
      <c r="H16" s="54">
        <f t="shared" si="4"/>
        <v>632.05599999999993</v>
      </c>
      <c r="I16" s="54">
        <f t="shared" si="4"/>
        <v>3103.9295999999999</v>
      </c>
    </row>
    <row r="17" spans="1:10" ht="15.75" outlineLevel="1" thickBot="1">
      <c r="A17" s="13"/>
      <c r="B17" s="13" t="s">
        <v>54</v>
      </c>
      <c r="C17" s="55">
        <v>1755.9</v>
      </c>
      <c r="D17" s="55">
        <v>1500.4</v>
      </c>
      <c r="E17" s="55">
        <v>2847.9</v>
      </c>
      <c r="F17" s="55">
        <v>1088.8</v>
      </c>
      <c r="G17" s="55">
        <v>243.92</v>
      </c>
      <c r="H17" s="55">
        <v>216.92</v>
      </c>
      <c r="I17" s="55">
        <v>762.3</v>
      </c>
    </row>
    <row r="18" spans="1:10" ht="15.75" thickTop="1">
      <c r="A18" s="13"/>
      <c r="B18" s="13" t="s">
        <v>94</v>
      </c>
      <c r="C18" s="33">
        <f>C16-C17</f>
        <v>-761.07600000000014</v>
      </c>
      <c r="D18" s="33">
        <f t="shared" ref="D18:I18" si="5">D16-D17</f>
        <v>-617.16160000000025</v>
      </c>
      <c r="E18" s="33">
        <f t="shared" si="5"/>
        <v>556.08399999999938</v>
      </c>
      <c r="F18" s="33">
        <f t="shared" si="5"/>
        <v>41.488000000000056</v>
      </c>
      <c r="G18" s="33">
        <f t="shared" si="5"/>
        <v>926.58080000000007</v>
      </c>
      <c r="H18" s="33">
        <f t="shared" si="5"/>
        <v>415.13599999999997</v>
      </c>
      <c r="I18" s="33">
        <f t="shared" si="5"/>
        <v>2341.6296000000002</v>
      </c>
    </row>
    <row r="19" spans="1:10">
      <c r="A19" s="13"/>
      <c r="B19" s="13" t="s">
        <v>88</v>
      </c>
      <c r="C19" s="58" t="str">
        <f>IF(C16&gt; C17*1.2, "Buy", IF(C16 &lt; C17*0.8, "Sell", "Hold"))</f>
        <v>Sell</v>
      </c>
      <c r="D19" s="58" t="str">
        <f t="shared" ref="D19:I19" si="6">IF(D16&gt; D17*1.2, "Buy", IF(D16 &lt; D17*0.8, "Sell", "Hold"))</f>
        <v>Sell</v>
      </c>
      <c r="E19" s="58" t="str">
        <f t="shared" si="6"/>
        <v>Hold</v>
      </c>
      <c r="F19" s="58" t="str">
        <f t="shared" si="6"/>
        <v>Hold</v>
      </c>
      <c r="G19" s="58" t="str">
        <f t="shared" si="6"/>
        <v>Buy</v>
      </c>
      <c r="H19" s="58" t="str">
        <f t="shared" si="6"/>
        <v>Buy</v>
      </c>
      <c r="I19" s="58" t="str">
        <f t="shared" si="6"/>
        <v>Buy</v>
      </c>
    </row>
    <row r="20" spans="1:10">
      <c r="B20" s="50"/>
    </row>
    <row r="21" spans="1:10" ht="15.75">
      <c r="A21" s="34" t="s">
        <v>84</v>
      </c>
      <c r="B21" s="104" t="s">
        <v>76</v>
      </c>
      <c r="C21" s="104"/>
      <c r="D21" s="104"/>
      <c r="E21" s="104"/>
      <c r="F21" s="104"/>
      <c r="G21" s="104"/>
      <c r="H21" s="104"/>
      <c r="I21" s="104"/>
    </row>
    <row r="22" spans="1:10" outlineLevel="1">
      <c r="A22" s="37"/>
      <c r="B22" s="19" t="s">
        <v>61</v>
      </c>
      <c r="C22" s="36" t="s">
        <v>62</v>
      </c>
      <c r="D22" s="37"/>
      <c r="E22" s="37"/>
      <c r="F22" s="37"/>
      <c r="G22" s="37"/>
      <c r="H22" s="37"/>
      <c r="I22" s="37"/>
    </row>
    <row r="23" spans="1:10" ht="30" outlineLevel="1">
      <c r="A23" s="37"/>
      <c r="B23" s="29" t="s">
        <v>63</v>
      </c>
      <c r="C23" s="31" t="str">
        <f>C13</f>
        <v>APL Apollo Tubes Ltd</v>
      </c>
      <c r="D23" s="31" t="str">
        <f t="shared" ref="D23:I23" si="7">D13</f>
        <v>Astral Ltd</v>
      </c>
      <c r="E23" s="31" t="str">
        <f t="shared" si="7"/>
        <v>Ratnamani Metals and Tubes Ltd</v>
      </c>
      <c r="F23" s="31" t="str">
        <f t="shared" si="7"/>
        <v>Kajaria Ceramics Ltd</v>
      </c>
      <c r="G23" s="31" t="str">
        <f t="shared" si="7"/>
        <v>Jindal SAW Ltd</v>
      </c>
      <c r="H23" s="31" t="str">
        <f t="shared" si="7"/>
        <v>Finolex Industries Ltd</v>
      </c>
      <c r="I23" s="31" t="str">
        <f t="shared" si="7"/>
        <v>Maharashtra Seamless Ltd</v>
      </c>
    </row>
    <row r="24" spans="1:10" outlineLevel="1">
      <c r="A24" s="3"/>
      <c r="B24" s="13" t="s">
        <v>69</v>
      </c>
      <c r="C24" s="49">
        <v>1295.04</v>
      </c>
      <c r="D24" s="49">
        <v>987.2</v>
      </c>
      <c r="E24" s="49">
        <v>883.13</v>
      </c>
      <c r="F24" s="49">
        <v>621.4</v>
      </c>
      <c r="G24" s="49">
        <v>3574.48</v>
      </c>
      <c r="H24" s="49">
        <v>1179.5899999999999</v>
      </c>
      <c r="I24" s="49">
        <v>1103.8800000000001</v>
      </c>
    </row>
    <row r="25" spans="1:10" outlineLevel="1">
      <c r="A25" s="3"/>
      <c r="B25" s="13" t="s">
        <v>70</v>
      </c>
      <c r="C25" s="49">
        <v>10</v>
      </c>
      <c r="D25" s="49">
        <v>10</v>
      </c>
      <c r="E25" s="49">
        <v>10</v>
      </c>
      <c r="F25" s="49">
        <v>10</v>
      </c>
      <c r="G25" s="49">
        <v>10</v>
      </c>
      <c r="H25" s="49">
        <v>10</v>
      </c>
      <c r="I25" s="49">
        <v>10</v>
      </c>
    </row>
    <row r="26" spans="1:10" outlineLevel="1">
      <c r="A26" s="3"/>
      <c r="B26" s="13" t="s">
        <v>89</v>
      </c>
      <c r="C26" s="49">
        <f>C24*C25</f>
        <v>12950.4</v>
      </c>
      <c r="D26" s="49">
        <f t="shared" ref="D26:H26" si="8">D24*D25</f>
        <v>9872</v>
      </c>
      <c r="E26" s="49">
        <f t="shared" si="8"/>
        <v>8831.2999999999993</v>
      </c>
      <c r="F26" s="49">
        <f t="shared" si="8"/>
        <v>6214</v>
      </c>
      <c r="G26" s="49">
        <f t="shared" si="8"/>
        <v>35744.800000000003</v>
      </c>
      <c r="H26" s="49">
        <f t="shared" si="8"/>
        <v>11795.9</v>
      </c>
      <c r="I26" s="49">
        <f>I24*I25</f>
        <v>11038.800000000001</v>
      </c>
    </row>
    <row r="27" spans="1:10" outlineLevel="1">
      <c r="A27" s="3"/>
      <c r="B27" s="13" t="s">
        <v>77</v>
      </c>
      <c r="C27" s="49">
        <v>1144.25</v>
      </c>
      <c r="D27" s="49">
        <v>119.4</v>
      </c>
      <c r="E27" s="49">
        <v>152.87</v>
      </c>
      <c r="F27" s="49">
        <v>238.94</v>
      </c>
      <c r="G27" s="49">
        <v>4824.9799999999996</v>
      </c>
      <c r="H27" s="49">
        <v>393.95</v>
      </c>
      <c r="I27" s="49">
        <v>0</v>
      </c>
    </row>
    <row r="28" spans="1:10" outlineLevel="1">
      <c r="A28" s="3"/>
      <c r="B28" s="13" t="s">
        <v>78</v>
      </c>
      <c r="C28" s="49">
        <v>347.6</v>
      </c>
      <c r="D28" s="49">
        <v>609.6</v>
      </c>
      <c r="E28" s="49">
        <v>295.61</v>
      </c>
      <c r="F28" s="49">
        <v>514.11</v>
      </c>
      <c r="G28" s="49">
        <v>772.08</v>
      </c>
      <c r="H28" s="49">
        <v>1936.8</v>
      </c>
      <c r="I28" s="49">
        <v>1156.57</v>
      </c>
    </row>
    <row r="29" spans="1:10" outlineLevel="1">
      <c r="A29" s="3"/>
      <c r="B29" s="13" t="s">
        <v>80</v>
      </c>
      <c r="C29" s="49">
        <f>C27-C28</f>
        <v>796.65</v>
      </c>
      <c r="D29" s="49">
        <f t="shared" ref="D29:I29" si="9">D27-D28</f>
        <v>-490.20000000000005</v>
      </c>
      <c r="E29" s="49">
        <f t="shared" si="9"/>
        <v>-142.74</v>
      </c>
      <c r="F29" s="49">
        <f t="shared" si="9"/>
        <v>-275.17</v>
      </c>
      <c r="G29" s="49">
        <f>G27-G28</f>
        <v>4052.8999999999996</v>
      </c>
      <c r="H29" s="49">
        <f t="shared" si="9"/>
        <v>-1542.85</v>
      </c>
      <c r="I29" s="49">
        <f t="shared" si="9"/>
        <v>-1156.57</v>
      </c>
      <c r="J29" s="14"/>
    </row>
    <row r="30" spans="1:10" outlineLevel="1">
      <c r="A30" s="3"/>
      <c r="B30" s="13" t="s">
        <v>81</v>
      </c>
      <c r="C30" s="49">
        <f>C26-C29</f>
        <v>12153.75</v>
      </c>
      <c r="D30" s="49">
        <f t="shared" ref="D30:H30" si="10">D26-D29</f>
        <v>10362.200000000001</v>
      </c>
      <c r="E30" s="49">
        <f t="shared" si="10"/>
        <v>8974.0399999999991</v>
      </c>
      <c r="F30" s="49">
        <f t="shared" si="10"/>
        <v>6489.17</v>
      </c>
      <c r="G30" s="49">
        <f t="shared" si="10"/>
        <v>31691.9</v>
      </c>
      <c r="H30" s="49">
        <f t="shared" si="10"/>
        <v>13338.75</v>
      </c>
      <c r="I30" s="49">
        <f>I26-I29</f>
        <v>12195.37</v>
      </c>
    </row>
    <row r="31" spans="1:10" outlineLevel="1">
      <c r="A31" s="3"/>
      <c r="B31" s="13" t="s">
        <v>101</v>
      </c>
      <c r="C31" s="49">
        <v>48730.54</v>
      </c>
      <c r="D31" s="49">
        <v>40305.949999999997</v>
      </c>
      <c r="E31" s="49">
        <v>19961.5</v>
      </c>
      <c r="F31" s="49">
        <v>17341.57</v>
      </c>
      <c r="G31" s="49">
        <v>15539.48</v>
      </c>
      <c r="H31" s="49">
        <v>13412.47</v>
      </c>
      <c r="I31" s="49">
        <v>10214.76</v>
      </c>
    </row>
    <row r="32" spans="1:10" outlineLevel="1">
      <c r="A32" s="3"/>
      <c r="B32" s="13" t="s">
        <v>82</v>
      </c>
      <c r="C32" s="49">
        <f>C31/C34</f>
        <v>27.752457429238564</v>
      </c>
      <c r="D32" s="49">
        <f t="shared" ref="D32:I32" si="11">D31/D34</f>
        <v>26.863469741402287</v>
      </c>
      <c r="E32" s="49">
        <f t="shared" si="11"/>
        <v>7.0091997612275714</v>
      </c>
      <c r="F32" s="49">
        <f t="shared" si="11"/>
        <v>15.927231814842028</v>
      </c>
      <c r="G32" s="49">
        <f>G31/G34</f>
        <v>63.707281075762545</v>
      </c>
      <c r="H32" s="49">
        <f t="shared" si="11"/>
        <v>61.831412502305</v>
      </c>
      <c r="I32" s="49">
        <f t="shared" si="11"/>
        <v>13.399921290830383</v>
      </c>
    </row>
    <row r="33" spans="1:9" ht="15.75" outlineLevel="1" thickBot="1">
      <c r="A33" s="3"/>
      <c r="B33" s="38" t="s">
        <v>83</v>
      </c>
      <c r="C33" s="56">
        <f>C30/C32</f>
        <v>437.93419126896606</v>
      </c>
      <c r="D33" s="56">
        <f t="shared" ref="D33:I33" si="12">D30/D32</f>
        <v>385.73572586677659</v>
      </c>
      <c r="E33" s="56">
        <f t="shared" si="12"/>
        <v>1280.3230476667584</v>
      </c>
      <c r="F33" s="56">
        <f t="shared" si="12"/>
        <v>407.42610363421539</v>
      </c>
      <c r="G33" s="56">
        <f>G30/G32</f>
        <v>497.46119226640792</v>
      </c>
      <c r="H33" s="56">
        <f t="shared" si="12"/>
        <v>215.72772576564941</v>
      </c>
      <c r="I33" s="56">
        <f t="shared" si="12"/>
        <v>910.10758461285434</v>
      </c>
    </row>
    <row r="34" spans="1:9" ht="15.75" outlineLevel="1" thickTop="1">
      <c r="A34" s="3"/>
      <c r="B34" s="13" t="s">
        <v>79</v>
      </c>
      <c r="C34" s="33">
        <f>C7</f>
        <v>1755.9</v>
      </c>
      <c r="D34" s="33">
        <f t="shared" ref="D34:I34" si="13">D7</f>
        <v>1500.4</v>
      </c>
      <c r="E34" s="33">
        <f t="shared" si="13"/>
        <v>2847.9</v>
      </c>
      <c r="F34" s="33">
        <f t="shared" si="13"/>
        <v>1088.8</v>
      </c>
      <c r="G34" s="33">
        <f t="shared" si="13"/>
        <v>243.92</v>
      </c>
      <c r="H34" s="33">
        <f t="shared" si="13"/>
        <v>216.92</v>
      </c>
      <c r="I34" s="33">
        <f t="shared" si="13"/>
        <v>762.3</v>
      </c>
    </row>
    <row r="35" spans="1:9">
      <c r="A35" s="13"/>
      <c r="B35" s="13" t="s">
        <v>94</v>
      </c>
      <c r="C35" s="57">
        <f>C33-C34</f>
        <v>-1317.965808731034</v>
      </c>
      <c r="D35" s="57">
        <f t="shared" ref="D35:I35" si="14">D33-D34</f>
        <v>-1114.6642741332234</v>
      </c>
      <c r="E35" s="57">
        <f t="shared" si="14"/>
        <v>-1567.5769523332417</v>
      </c>
      <c r="F35" s="57">
        <f t="shared" si="14"/>
        <v>-681.3738963657845</v>
      </c>
      <c r="G35" s="57">
        <f>G33-G34</f>
        <v>253.54119226640793</v>
      </c>
      <c r="H35" s="57">
        <f t="shared" si="14"/>
        <v>-1.1922742343505774</v>
      </c>
      <c r="I35" s="57">
        <f t="shared" si="14"/>
        <v>147.80758461285438</v>
      </c>
    </row>
    <row r="36" spans="1:9">
      <c r="A36" s="13"/>
      <c r="B36" s="51" t="s">
        <v>88</v>
      </c>
      <c r="C36" s="52" t="str">
        <f>IF(C33&gt; C34*1.2, "Buy", IF(C33 &lt; C34*0.8, "Sell", "Hold"))</f>
        <v>Sell</v>
      </c>
      <c r="D36" s="52" t="str">
        <f t="shared" ref="D36:I36" si="15">IF(D33&gt; D34*1.2, "Buy", IF(D33 &lt; D34*0.8, "Sell", "Hold"))</f>
        <v>Sell</v>
      </c>
      <c r="E36" s="52" t="str">
        <f t="shared" si="15"/>
        <v>Sell</v>
      </c>
      <c r="F36" s="52" t="str">
        <f t="shared" si="15"/>
        <v>Sell</v>
      </c>
      <c r="G36" s="52" t="str">
        <f t="shared" si="15"/>
        <v>Buy</v>
      </c>
      <c r="H36" s="52" t="str">
        <f t="shared" si="15"/>
        <v>Hold</v>
      </c>
      <c r="I36" s="52" t="str">
        <f t="shared" si="15"/>
        <v>Hold</v>
      </c>
    </row>
  </sheetData>
  <mergeCells count="3">
    <mergeCell ref="B1:I1"/>
    <mergeCell ref="B11:I11"/>
    <mergeCell ref="B21:I21"/>
  </mergeCells>
  <conditionalFormatting sqref="C8:I8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{8D0484A0-4141-4327-B11E-341D3085EAD3}</x14:id>
        </ext>
      </extLst>
    </cfRule>
  </conditionalFormatting>
  <conditionalFormatting sqref="C9:I9">
    <cfRule type="containsText" dxfId="15" priority="8" operator="containsText" text="Sell">
      <formula>NOT(ISERROR(SEARCH("Sell",C9)))</formula>
    </cfRule>
  </conditionalFormatting>
  <conditionalFormatting sqref="C19:I19">
    <cfRule type="containsText" dxfId="14" priority="1" operator="containsText" text="Buy">
      <formula>NOT(ISERROR(SEARCH("Buy",C19)))</formula>
    </cfRule>
    <cfRule type="containsText" dxfId="13" priority="2" operator="containsText" text="Hold">
      <formula>NOT(ISERROR(SEARCH("Hold",C19)))</formula>
    </cfRule>
    <cfRule type="cellIs" dxfId="12" priority="3" operator="equal">
      <formula>"Sell"</formula>
    </cfRule>
  </conditionalFormatting>
  <conditionalFormatting sqref="C35:I3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{FB6A609B-5986-4707-912B-A43212BA6FC4}</x14:id>
        </ext>
      </extLst>
    </cfRule>
  </conditionalFormatting>
  <conditionalFormatting sqref="C36:I36">
    <cfRule type="containsText" dxfId="11" priority="9" operator="containsText" text="Sell">
      <formula>NOT(ISERROR(SEARCH("Sell",C36)))</formula>
    </cfRule>
    <cfRule type="containsText" dxfId="10" priority="10" operator="containsText" text="Hold">
      <formula>NOT(ISERROR(SEARCH("Hold",C36)))</formula>
    </cfRule>
    <cfRule type="containsText" dxfId="9" priority="11" operator="containsText" text="Buy">
      <formula>NOT(ISERROR(SEARCH("Buy",C36)))</formula>
    </cfRule>
  </conditionalFormatting>
  <conditionalFormatting sqref="E9:I9">
    <cfRule type="containsText" dxfId="8" priority="6" operator="containsText" text="Hold">
      <formula>NOT(ISERROR(SEARCH("Hold",E9)))</formula>
    </cfRule>
    <cfRule type="containsText" dxfId="7" priority="7" operator="containsText" text="Buy">
      <formula>NOT(ISERROR(SEARCH("Buy",E9)))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0484A0-4141-4327-B11E-341D3085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iconSet" priority="15" id="{590BE5F9-EDF2-47EE-BF09-AE1C17604DA0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" iconId="0"/>
              <x14:cfIcon iconSet="3Symbols" iconId="2"/>
              <x14:cfIcon iconSet="3Symbols" iconId="2"/>
            </x14:iconSet>
          </x14:cfRule>
          <xm:sqref>C8:I8</xm:sqref>
        </x14:conditionalFormatting>
        <x14:conditionalFormatting xmlns:xm="http://schemas.microsoft.com/office/excel/2006/main">
          <x14:cfRule type="dataBar" id="{FB6A609B-5986-4707-912B-A43212BA6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iconSet" priority="13" id="{933AB908-6FDD-4E56-AFC9-A3E838A1422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" iconId="0"/>
              <x14:cfIcon iconSet="3Symbols" iconId="2"/>
              <x14:cfIcon iconSet="3Symbols" iconId="2"/>
            </x14:iconSet>
          </x14:cfRule>
          <xm:sqref>C35:I35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2066-A0CE-4831-8000-4005A31CF734}">
  <dimension ref="A1:G8"/>
  <sheetViews>
    <sheetView workbookViewId="0">
      <selection activeCell="C8" sqref="C8"/>
    </sheetView>
  </sheetViews>
  <sheetFormatPr defaultRowHeight="15"/>
  <cols>
    <col min="1" max="1" width="19.140625" style="95" customWidth="1"/>
    <col min="2" max="2" width="20.7109375" customWidth="1"/>
    <col min="3" max="3" width="19.5703125" customWidth="1"/>
    <col min="5" max="5" width="17" customWidth="1"/>
    <col min="6" max="6" width="12.85546875" customWidth="1"/>
    <col min="7" max="7" width="16.5703125" customWidth="1"/>
  </cols>
  <sheetData>
    <row r="1" spans="1:7">
      <c r="A1" s="94" t="s">
        <v>63</v>
      </c>
      <c r="B1" s="13" t="s">
        <v>75</v>
      </c>
      <c r="C1" s="13" t="s">
        <v>74</v>
      </c>
      <c r="D1" s="13" t="s">
        <v>73</v>
      </c>
      <c r="E1" s="13" t="s">
        <v>54</v>
      </c>
      <c r="F1" s="13" t="s">
        <v>94</v>
      </c>
      <c r="G1" s="13" t="s">
        <v>88</v>
      </c>
    </row>
    <row r="2" spans="1:7" ht="30">
      <c r="A2" s="95" t="s">
        <v>1</v>
      </c>
      <c r="B2">
        <v>151.65</v>
      </c>
      <c r="C2">
        <v>6.56</v>
      </c>
      <c r="D2">
        <v>994.82399999999996</v>
      </c>
      <c r="E2">
        <v>1755.9</v>
      </c>
      <c r="F2">
        <v>-761.07600000000014</v>
      </c>
      <c r="G2" t="s">
        <v>141</v>
      </c>
    </row>
    <row r="3" spans="1:7" ht="35.25" customHeight="1">
      <c r="A3" s="95" t="s">
        <v>2</v>
      </c>
      <c r="B3">
        <v>134.63999999999999</v>
      </c>
      <c r="C3">
        <v>6.56</v>
      </c>
      <c r="D3">
        <v>883.23839999999984</v>
      </c>
      <c r="E3">
        <v>1500.4</v>
      </c>
      <c r="F3">
        <v>-617.16160000000025</v>
      </c>
      <c r="G3" t="s">
        <v>141</v>
      </c>
    </row>
    <row r="4" spans="1:7" ht="36.75" customHeight="1">
      <c r="A4" s="95" t="s">
        <v>3</v>
      </c>
      <c r="B4">
        <v>518.9</v>
      </c>
      <c r="C4">
        <v>6.56</v>
      </c>
      <c r="D4">
        <v>3403.9839999999995</v>
      </c>
      <c r="E4">
        <v>2847.9</v>
      </c>
      <c r="F4">
        <v>556.08399999999938</v>
      </c>
      <c r="G4" t="s">
        <v>142</v>
      </c>
    </row>
    <row r="5" spans="1:7" ht="28.5" customHeight="1">
      <c r="A5" s="95" t="s">
        <v>4</v>
      </c>
      <c r="B5">
        <v>172.3</v>
      </c>
      <c r="C5">
        <v>6.56</v>
      </c>
      <c r="D5">
        <v>1130.288</v>
      </c>
      <c r="E5">
        <v>1088.8</v>
      </c>
      <c r="F5">
        <v>41.488000000000056</v>
      </c>
      <c r="G5" t="s">
        <v>142</v>
      </c>
    </row>
    <row r="6" spans="1:7" ht="27.75" customHeight="1">
      <c r="A6" s="95" t="s">
        <v>5</v>
      </c>
      <c r="B6">
        <v>178.43</v>
      </c>
      <c r="C6">
        <v>6.56</v>
      </c>
      <c r="D6">
        <v>1170.5008</v>
      </c>
      <c r="E6">
        <v>243.92</v>
      </c>
      <c r="F6">
        <v>926.58080000000007</v>
      </c>
      <c r="G6" t="s">
        <v>143</v>
      </c>
    </row>
    <row r="7" spans="1:7" ht="45" customHeight="1">
      <c r="A7" s="95" t="s">
        <v>6</v>
      </c>
      <c r="B7">
        <v>96.35</v>
      </c>
      <c r="C7">
        <v>6.56</v>
      </c>
      <c r="D7">
        <v>632.05599999999993</v>
      </c>
      <c r="E7">
        <v>216.92</v>
      </c>
      <c r="F7">
        <v>415.13599999999997</v>
      </c>
      <c r="G7" t="s">
        <v>143</v>
      </c>
    </row>
    <row r="8" spans="1:7" ht="39" customHeight="1">
      <c r="A8" s="95" t="s">
        <v>7</v>
      </c>
      <c r="B8">
        <v>473.16</v>
      </c>
      <c r="C8">
        <v>6.56</v>
      </c>
      <c r="D8">
        <v>3103.9295999999999</v>
      </c>
      <c r="E8">
        <v>762.3</v>
      </c>
      <c r="F8">
        <v>2341.6296000000002</v>
      </c>
      <c r="G8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5126-2B28-4F3F-BDDA-56D8CC739A50}">
  <dimension ref="A1:J14"/>
  <sheetViews>
    <sheetView showGridLines="0" zoomScale="90" zoomScaleNormal="90" workbookViewId="0">
      <selection activeCell="D14" sqref="D14"/>
    </sheetView>
  </sheetViews>
  <sheetFormatPr defaultRowHeight="15"/>
  <cols>
    <col min="1" max="1" width="30.140625" style="48" bestFit="1" customWidth="1"/>
    <col min="2" max="2" width="10" style="59" customWidth="1"/>
    <col min="3" max="3" width="14.28515625" style="60" bestFit="1" customWidth="1"/>
    <col min="4" max="4" width="11.5703125" style="65" bestFit="1" customWidth="1"/>
    <col min="5" max="5" width="12.5703125" style="65" bestFit="1" customWidth="1"/>
    <col min="6" max="6" width="17.85546875" style="66" bestFit="1" customWidth="1"/>
    <col min="7" max="7" width="24.42578125" style="53" bestFit="1" customWidth="1"/>
    <col min="8" max="8" width="27.42578125" style="71" bestFit="1" customWidth="1"/>
    <col min="9" max="9" width="24.7109375" style="71" bestFit="1" customWidth="1"/>
    <col min="10" max="10" width="31" style="71" bestFit="1" customWidth="1"/>
  </cols>
  <sheetData>
    <row r="1" spans="1:10" s="1" customFormat="1" ht="20.100000000000001" customHeight="1">
      <c r="A1" s="73" t="s">
        <v>63</v>
      </c>
      <c r="B1" s="62" t="s">
        <v>92</v>
      </c>
      <c r="C1" s="63" t="s">
        <v>95</v>
      </c>
      <c r="D1" s="61" t="s">
        <v>93</v>
      </c>
      <c r="E1" s="61" t="s">
        <v>54</v>
      </c>
      <c r="F1" s="67" t="s">
        <v>99</v>
      </c>
      <c r="G1" s="61" t="s">
        <v>96</v>
      </c>
      <c r="H1" s="69" t="s">
        <v>97</v>
      </c>
      <c r="I1" s="69" t="s">
        <v>98</v>
      </c>
      <c r="J1" s="69" t="s">
        <v>100</v>
      </c>
    </row>
    <row r="2" spans="1:10" ht="20.100000000000001" customHeight="1">
      <c r="A2" s="64" t="str">
        <f>'Relative Valuation'!C3</f>
        <v>APL Apollo Tubes Ltd</v>
      </c>
      <c r="B2" s="49">
        <v>0.57999999999999996</v>
      </c>
      <c r="C2" s="49">
        <v>6</v>
      </c>
      <c r="D2" s="49">
        <v>305.08999999999997</v>
      </c>
      <c r="E2" s="49">
        <f>'Relative Valuation'!C7</f>
        <v>1755.9</v>
      </c>
      <c r="F2" s="68">
        <v>0.28310000000000002</v>
      </c>
      <c r="G2" s="49" t="str">
        <f>IF(B2&gt;1, "More volatile than market", IF(B2&lt;1, "Less volatile than market", "Same volatility as market"))</f>
        <v>Less volatile than market</v>
      </c>
      <c r="H2" s="70" t="str">
        <f t="shared" ref="H2:H3" si="0">IF(C2=9, "Strongest financial health", IF(C2&gt;=7, "Solid fundamentals", IF(C2&gt;=3, "Average financial position", IF(C2&lt;=2, "Potential financial weaknesses", ""))))</f>
        <v>Average financial position</v>
      </c>
      <c r="I2" s="72" t="str">
        <f>IF(E2&lt;D2,"Undervalued","Overvalued")</f>
        <v>Overvalued</v>
      </c>
      <c r="J2" s="72" t="str">
        <f>IF(F2&gt;=50%,"Good ",IF(F2&gt;=30%,"Average","Bad"))</f>
        <v>Bad</v>
      </c>
    </row>
    <row r="3" spans="1:10" ht="20.100000000000001" customHeight="1">
      <c r="A3" s="64" t="str">
        <f>'Relative Valuation'!D3</f>
        <v>Astral Ltd</v>
      </c>
      <c r="B3" s="49">
        <v>1.3</v>
      </c>
      <c r="C3" s="49">
        <v>5</v>
      </c>
      <c r="D3" s="49">
        <v>243.04</v>
      </c>
      <c r="E3" s="49">
        <f>'Relative Valuation'!D7</f>
        <v>1500.4</v>
      </c>
      <c r="F3" s="68">
        <v>0.54100000000000004</v>
      </c>
      <c r="G3" s="49" t="str">
        <f t="shared" ref="G3:G8" si="1">IF(B3&gt;1, "More volatile than market", IF(B3&lt;1, "Less volatile than market", "Same volatility as market"))</f>
        <v>More volatile than market</v>
      </c>
      <c r="H3" s="70" t="str">
        <f t="shared" si="0"/>
        <v>Average financial position</v>
      </c>
      <c r="I3" s="72" t="str">
        <f t="shared" ref="I3:I8" si="2">IF(E3&lt;D3,"Undervalued","Overvalued")</f>
        <v>Overvalued</v>
      </c>
      <c r="J3" s="72" t="str">
        <f t="shared" ref="J3:J8" si="3">IF(F3&gt;=50%,"Good ",IF(F3&gt;=30%,"Average","Bad"))</f>
        <v xml:space="preserve">Good </v>
      </c>
    </row>
    <row r="4" spans="1:10" ht="20.100000000000001" customHeight="1">
      <c r="A4" s="64" t="str">
        <f>'Relative Valuation'!E3</f>
        <v>Ratnamani Metals and Tubes Ltd</v>
      </c>
      <c r="B4" s="49">
        <v>0.82</v>
      </c>
      <c r="C4" s="49">
        <v>4</v>
      </c>
      <c r="D4" s="49">
        <v>951.89</v>
      </c>
      <c r="E4" s="49">
        <f>'Relative Valuation'!E7</f>
        <v>2847.9</v>
      </c>
      <c r="F4" s="68">
        <v>0.59770000000000001</v>
      </c>
      <c r="G4" s="49" t="str">
        <f t="shared" si="1"/>
        <v>Less volatile than market</v>
      </c>
      <c r="H4" s="70" t="str">
        <f>IF(C4=9, "Strongest financial health", IF(C4&gt;=7, "Solid fundamentals", IF(C4&gt;=3, "Average financial position", IF(C4&lt;=2, "Potential financial weaknesses", ""))))</f>
        <v>Average financial position</v>
      </c>
      <c r="I4" s="72" t="str">
        <f t="shared" si="2"/>
        <v>Overvalued</v>
      </c>
      <c r="J4" s="72" t="str">
        <f t="shared" si="3"/>
        <v xml:space="preserve">Good </v>
      </c>
    </row>
    <row r="5" spans="1:10" ht="20.100000000000001" customHeight="1">
      <c r="A5" s="64" t="str">
        <f>'Relative Valuation'!F3</f>
        <v>Kajaria Ceramics Ltd</v>
      </c>
      <c r="B5" s="49">
        <v>1.19</v>
      </c>
      <c r="C5" s="49">
        <v>3</v>
      </c>
      <c r="D5" s="49">
        <v>267.67</v>
      </c>
      <c r="E5" s="49">
        <f>'Relative Valuation'!F7</f>
        <v>1088.8</v>
      </c>
      <c r="F5" s="68">
        <v>0.4748</v>
      </c>
      <c r="G5" s="49" t="str">
        <f t="shared" si="1"/>
        <v>More volatile than market</v>
      </c>
      <c r="H5" s="70" t="str">
        <f t="shared" ref="H5:H8" si="4">IF(C5=9, "Strongest financial health", IF(C5&gt;=7, "Solid fundamentals", IF(C5&gt;=3, "Average financial position", IF(C5&lt;=2, "Potential financial weaknesses", ""))))</f>
        <v>Average financial position</v>
      </c>
      <c r="I5" s="72" t="str">
        <f t="shared" si="2"/>
        <v>Overvalued</v>
      </c>
      <c r="J5" s="72" t="str">
        <f t="shared" si="3"/>
        <v>Average</v>
      </c>
    </row>
    <row r="6" spans="1:10" ht="20.100000000000001" customHeight="1">
      <c r="A6" s="31" t="str">
        <f>'Relative Valuation'!G3</f>
        <v>Jindal SAW Ltd</v>
      </c>
      <c r="B6" s="49">
        <v>0.59</v>
      </c>
      <c r="C6" s="49">
        <v>6</v>
      </c>
      <c r="D6" s="49">
        <v>330.35</v>
      </c>
      <c r="E6" s="49">
        <f>'Relative Valuation'!G7</f>
        <v>243.92</v>
      </c>
      <c r="F6" s="68">
        <v>0.63280000000000003</v>
      </c>
      <c r="G6" s="49" t="str">
        <f t="shared" si="1"/>
        <v>Less volatile than market</v>
      </c>
      <c r="H6" s="70" t="str">
        <f t="shared" si="4"/>
        <v>Average financial position</v>
      </c>
      <c r="I6" s="72" t="str">
        <f t="shared" si="2"/>
        <v>Undervalued</v>
      </c>
      <c r="J6" s="72" t="str">
        <f t="shared" si="3"/>
        <v xml:space="preserve">Good </v>
      </c>
    </row>
    <row r="7" spans="1:10" ht="20.100000000000001" customHeight="1">
      <c r="A7" s="64" t="str">
        <f>'Relative Valuation'!H3</f>
        <v>Finolex Industries Ltd</v>
      </c>
      <c r="B7" s="49">
        <v>0.78</v>
      </c>
      <c r="C7" s="49">
        <v>7</v>
      </c>
      <c r="D7" s="49">
        <v>164.86</v>
      </c>
      <c r="E7" s="49">
        <f>'Relative Valuation'!H7</f>
        <v>216.92</v>
      </c>
      <c r="F7" s="68">
        <v>0.52470000000000006</v>
      </c>
      <c r="G7" s="49" t="str">
        <f t="shared" si="1"/>
        <v>Less volatile than market</v>
      </c>
      <c r="H7" s="70" t="str">
        <f t="shared" si="4"/>
        <v>Solid fundamentals</v>
      </c>
      <c r="I7" s="72" t="str">
        <f t="shared" si="2"/>
        <v>Overvalued</v>
      </c>
      <c r="J7" s="72" t="str">
        <f t="shared" si="3"/>
        <v xml:space="preserve">Good </v>
      </c>
    </row>
    <row r="8" spans="1:10" ht="20.100000000000001" customHeight="1">
      <c r="A8" s="64" t="str">
        <f>'Relative Valuation'!I3</f>
        <v>Maharashtra Seamless Ltd</v>
      </c>
      <c r="B8" s="49">
        <v>0.83</v>
      </c>
      <c r="C8" s="49">
        <v>6</v>
      </c>
      <c r="D8" s="49">
        <v>785.95</v>
      </c>
      <c r="E8" s="49">
        <f>'Relative Valuation'!I7</f>
        <v>762.3</v>
      </c>
      <c r="F8" s="68">
        <v>0.68859999999999999</v>
      </c>
      <c r="G8" s="49" t="str">
        <f t="shared" si="1"/>
        <v>Less volatile than market</v>
      </c>
      <c r="H8" s="70" t="str">
        <f t="shared" si="4"/>
        <v>Average financial position</v>
      </c>
      <c r="I8" s="72" t="str">
        <f t="shared" si="2"/>
        <v>Undervalued</v>
      </c>
      <c r="J8" s="72" t="str">
        <f t="shared" si="3"/>
        <v xml:space="preserve">Good </v>
      </c>
    </row>
    <row r="14" spans="1:10">
      <c r="D14" s="65" t="s">
        <v>5</v>
      </c>
    </row>
  </sheetData>
  <conditionalFormatting sqref="H2:H8">
    <cfRule type="containsText" dxfId="6" priority="6" operator="containsText" text="Average">
      <formula>NOT(ISERROR(SEARCH("Average",H2)))</formula>
    </cfRule>
    <cfRule type="containsText" dxfId="5" priority="7" operator="containsText" text="Solid">
      <formula>NOT(ISERROR(SEARCH("Solid",H2)))</formula>
    </cfRule>
  </conditionalFormatting>
  <conditionalFormatting sqref="I2:I8">
    <cfRule type="containsText" dxfId="4" priority="4" operator="containsText" text="Over">
      <formula>NOT(ISERROR(SEARCH("Over",I2)))</formula>
    </cfRule>
    <cfRule type="containsText" dxfId="3" priority="5" operator="containsText" text="Undervalued">
      <formula>NOT(ISERROR(SEARCH("Undervalued",I2)))</formula>
    </cfRule>
  </conditionalFormatting>
  <conditionalFormatting sqref="J2:J8">
    <cfRule type="containsText" dxfId="2" priority="1" operator="containsText" text="Average">
      <formula>NOT(ISERROR(SEARCH("Average",J2)))</formula>
    </cfRule>
    <cfRule type="containsText" dxfId="1" priority="2" operator="containsText" text="Good">
      <formula>NOT(ISERROR(SEARCH("Good",J2)))</formula>
    </cfRule>
    <cfRule type="containsText" dxfId="0" priority="3" operator="containsText" text="Bad">
      <formula>NOT(ISERROR(SEARCH("Bad",J2)))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9BC1-3106-45C1-B81D-6CB8F473700E}">
  <dimension ref="A1:M14"/>
  <sheetViews>
    <sheetView workbookViewId="0">
      <selection activeCell="B13" sqref="B13"/>
    </sheetView>
  </sheetViews>
  <sheetFormatPr defaultRowHeight="15"/>
  <cols>
    <col min="1" max="1" width="27.85546875" bestFit="1" customWidth="1"/>
    <col min="2" max="2" width="15" style="74" customWidth="1"/>
    <col min="13" max="13" width="9.5703125" style="75" bestFit="1" customWidth="1"/>
  </cols>
  <sheetData>
    <row r="1" spans="1:13">
      <c r="A1" s="1" t="s">
        <v>61</v>
      </c>
      <c r="B1" s="82" t="s">
        <v>119</v>
      </c>
    </row>
    <row r="2" spans="1:13">
      <c r="A2" t="s">
        <v>118</v>
      </c>
      <c r="B2" s="80" t="s">
        <v>105</v>
      </c>
    </row>
    <row r="3" spans="1:13">
      <c r="A3" t="s">
        <v>106</v>
      </c>
      <c r="B3" s="76">
        <v>0.1231</v>
      </c>
      <c r="L3" t="s">
        <v>107</v>
      </c>
      <c r="M3" s="75">
        <v>20974.11</v>
      </c>
    </row>
    <row r="4" spans="1:13">
      <c r="A4" t="s">
        <v>102</v>
      </c>
      <c r="B4" s="81">
        <v>0.1704</v>
      </c>
      <c r="L4" t="s">
        <v>108</v>
      </c>
      <c r="M4" s="75">
        <v>1031.3399999999999</v>
      </c>
    </row>
    <row r="5" spans="1:13">
      <c r="A5" t="s">
        <v>103</v>
      </c>
      <c r="B5" s="77">
        <v>0.38</v>
      </c>
      <c r="L5" t="s">
        <v>111</v>
      </c>
      <c r="M5" s="75">
        <v>602.05999999999995</v>
      </c>
    </row>
    <row r="6" spans="1:13">
      <c r="A6" t="s">
        <v>109</v>
      </c>
      <c r="B6" s="76">
        <f>M4/M3</f>
        <v>4.9172050685344929E-2</v>
      </c>
      <c r="L6" t="s">
        <v>112</v>
      </c>
      <c r="M6" s="75">
        <v>-1280.21</v>
      </c>
    </row>
    <row r="7" spans="1:13">
      <c r="A7" t="s">
        <v>110</v>
      </c>
      <c r="B7" s="76">
        <f>M5/M3</f>
        <v>2.8704912866386222E-2</v>
      </c>
    </row>
    <row r="8" spans="1:13">
      <c r="A8" t="s">
        <v>113</v>
      </c>
      <c r="B8" s="76">
        <f>M6/M3</f>
        <v>-6.1037631632522189E-2</v>
      </c>
    </row>
    <row r="9" spans="1:13">
      <c r="A9" t="s">
        <v>114</v>
      </c>
      <c r="B9" s="75">
        <v>0.03</v>
      </c>
    </row>
    <row r="10" spans="1:13">
      <c r="A10" t="s">
        <v>104</v>
      </c>
      <c r="B10" s="75">
        <v>0.1</v>
      </c>
      <c r="D10" s="87"/>
      <c r="E10" s="88"/>
    </row>
    <row r="11" spans="1:13">
      <c r="A11" t="s">
        <v>117</v>
      </c>
      <c r="B11" s="74">
        <v>4052.8999999999996</v>
      </c>
      <c r="E11" s="59"/>
    </row>
    <row r="12" spans="1:13">
      <c r="A12" t="s">
        <v>116</v>
      </c>
      <c r="B12" s="74">
        <v>772.08</v>
      </c>
    </row>
    <row r="13" spans="1:13">
      <c r="A13" t="s">
        <v>115</v>
      </c>
      <c r="B13" s="79">
        <v>63.707281075762545</v>
      </c>
    </row>
    <row r="14" spans="1:13">
      <c r="B14" s="7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E088-6288-47BF-99E0-ACD849FEEC2B}">
  <dimension ref="A1:J14"/>
  <sheetViews>
    <sheetView workbookViewId="0">
      <selection activeCell="G12" sqref="G12"/>
    </sheetView>
  </sheetViews>
  <sheetFormatPr defaultRowHeight="15"/>
  <cols>
    <col min="1" max="1" width="22.85546875" customWidth="1"/>
    <col min="2" max="2" width="12.7109375" customWidth="1"/>
    <col min="3" max="3" width="12.28515625" customWidth="1"/>
    <col min="4" max="4" width="14.7109375" customWidth="1"/>
    <col min="5" max="5" width="13.42578125" customWidth="1"/>
    <col min="6" max="6" width="12.85546875" customWidth="1"/>
    <col min="8" max="8" width="12.5703125" bestFit="1" customWidth="1"/>
    <col min="9" max="9" width="20.42578125" customWidth="1"/>
    <col min="10" max="10" width="16.28515625" customWidth="1"/>
  </cols>
  <sheetData>
    <row r="1" spans="1:10" ht="30">
      <c r="A1" s="83" t="s">
        <v>120</v>
      </c>
      <c r="B1" s="83" t="s">
        <v>122</v>
      </c>
      <c r="C1" s="83" t="s">
        <v>123</v>
      </c>
      <c r="D1" s="83" t="s">
        <v>124</v>
      </c>
      <c r="E1" s="83" t="s">
        <v>121</v>
      </c>
      <c r="F1" s="83" t="s">
        <v>125</v>
      </c>
      <c r="G1" s="83" t="s">
        <v>126</v>
      </c>
      <c r="H1" s="83" t="s">
        <v>127</v>
      </c>
      <c r="I1" s="83" t="s">
        <v>128</v>
      </c>
      <c r="J1" s="83" t="s">
        <v>129</v>
      </c>
    </row>
    <row r="2" spans="1:10">
      <c r="A2" s="89">
        <v>2025</v>
      </c>
      <c r="B2" s="92">
        <f>Assumptions!M3*(1+Assumptions!B3)</f>
        <v>23556.022940999999</v>
      </c>
      <c r="C2" s="92">
        <f>'forecast '!B2*Assumptions!$B$4</f>
        <v>4013.9463091463999</v>
      </c>
      <c r="D2" s="92">
        <f>B2*Assumptions!$B$7</f>
        <v>676.17358599999989</v>
      </c>
      <c r="E2" s="92">
        <f>C2-D2</f>
        <v>3337.7727231464</v>
      </c>
      <c r="F2" s="92">
        <f>E2*Assumptions!$B$5</f>
        <v>1268.3536347956319</v>
      </c>
      <c r="G2" s="93">
        <f>E2-F2</f>
        <v>2069.4190883507681</v>
      </c>
      <c r="H2" s="93">
        <f>B2*Assumptions!$B$6</f>
        <v>1158.2979539999999</v>
      </c>
      <c r="I2" s="93">
        <f>(G2+D2)-H2</f>
        <v>1587.2947203507681</v>
      </c>
      <c r="J2" s="93">
        <f>I2/(1+Assumptions!$B$10)</f>
        <v>1442.9952003188801</v>
      </c>
    </row>
    <row r="3" spans="1:10">
      <c r="A3" s="89">
        <f>A2+1</f>
        <v>2026</v>
      </c>
      <c r="B3" s="92">
        <f>B2*(1+Assumptions!$B$3)</f>
        <v>26455.7693650371</v>
      </c>
      <c r="C3" s="92">
        <f>'forecast '!B3*Assumptions!$B$4</f>
        <v>4508.0630998023216</v>
      </c>
      <c r="D3" s="92">
        <f>B3*Assumptions!$B$7</f>
        <v>759.41055443659991</v>
      </c>
      <c r="E3" s="92">
        <f t="shared" ref="E3:E7" si="0">C3-D3</f>
        <v>3748.6525453657218</v>
      </c>
      <c r="F3" s="92">
        <f>E3*Assumptions!$B$5</f>
        <v>1424.4879672389743</v>
      </c>
      <c r="G3" s="93">
        <f t="shared" ref="G3:G7" si="1">E3-F3</f>
        <v>2324.1645781267475</v>
      </c>
      <c r="H3" s="93">
        <f>B3*Assumptions!$B$6</f>
        <v>1300.8844321373999</v>
      </c>
      <c r="I3" s="93">
        <f t="shared" ref="I3:I7" si="2">(G3+D3)-H3</f>
        <v>1782.6907004259474</v>
      </c>
      <c r="J3" s="93">
        <f>I3/(1+Assumptions!$B$10)</f>
        <v>1620.6279094781339</v>
      </c>
    </row>
    <row r="4" spans="1:10">
      <c r="A4" s="89">
        <f t="shared" ref="A4:A7" si="3">A3+1</f>
        <v>2027</v>
      </c>
      <c r="B4" s="92">
        <f>B3*(1+Assumptions!$B$3)</f>
        <v>29712.474573873165</v>
      </c>
      <c r="C4" s="92">
        <f>'forecast '!B4*Assumptions!$B$4</f>
        <v>5063.0056673879872</v>
      </c>
      <c r="D4" s="92">
        <f>B4*Assumptions!$B$7</f>
        <v>852.89399368774536</v>
      </c>
      <c r="E4" s="92">
        <f t="shared" si="0"/>
        <v>4210.1116737002421</v>
      </c>
      <c r="F4" s="92">
        <f>E4*Assumptions!$B$5</f>
        <v>1599.8424360060919</v>
      </c>
      <c r="G4" s="93">
        <f t="shared" si="1"/>
        <v>2610.2692376941504</v>
      </c>
      <c r="H4" s="93">
        <f>B4*Assumptions!$B$6</f>
        <v>1461.0233057335138</v>
      </c>
      <c r="I4" s="93">
        <f t="shared" si="2"/>
        <v>2002.1399256483821</v>
      </c>
      <c r="J4" s="93">
        <f>I4/(1+Assumptions!$B$10)</f>
        <v>1820.1272051348926</v>
      </c>
    </row>
    <row r="5" spans="1:10">
      <c r="A5" s="89">
        <f t="shared" si="3"/>
        <v>2028</v>
      </c>
      <c r="B5" s="92">
        <f>B4*(1+Assumptions!$B$3)</f>
        <v>33370.080193916954</v>
      </c>
      <c r="C5" s="92">
        <f>'forecast '!B5*Assumptions!$B$4</f>
        <v>5686.2616650434493</v>
      </c>
      <c r="D5" s="92">
        <f>B5*Assumptions!$B$7</f>
        <v>957.88524431070687</v>
      </c>
      <c r="E5" s="92">
        <f t="shared" si="0"/>
        <v>4728.3764207327422</v>
      </c>
      <c r="F5" s="92">
        <f>E5*Assumptions!$B$5</f>
        <v>1796.783039878442</v>
      </c>
      <c r="G5" s="93">
        <f t="shared" si="1"/>
        <v>2931.5933808543004</v>
      </c>
      <c r="H5" s="93">
        <f>B5*Assumptions!$B$6</f>
        <v>1640.8752746693094</v>
      </c>
      <c r="I5" s="93">
        <f t="shared" si="2"/>
        <v>2248.6033504956981</v>
      </c>
      <c r="J5" s="93">
        <f>I5/(1+Assumptions!$B$10)</f>
        <v>2044.1848640869982</v>
      </c>
    </row>
    <row r="6" spans="1:10">
      <c r="A6" s="89">
        <f t="shared" si="3"/>
        <v>2029</v>
      </c>
      <c r="B6" s="92">
        <f>B5*(1+Assumptions!$B$3)</f>
        <v>37477.93706578813</v>
      </c>
      <c r="C6" s="92">
        <f>'forecast '!B6*Assumptions!$B$4</f>
        <v>6386.2404760102972</v>
      </c>
      <c r="D6" s="92">
        <f>B6*Assumptions!$B$7</f>
        <v>1075.8009178853547</v>
      </c>
      <c r="E6" s="92">
        <f t="shared" si="0"/>
        <v>5310.4395581249428</v>
      </c>
      <c r="F6" s="92">
        <f>E6*Assumptions!$B$5</f>
        <v>2017.9670320874782</v>
      </c>
      <c r="G6" s="93">
        <f t="shared" si="1"/>
        <v>3292.4725260374644</v>
      </c>
      <c r="H6" s="93">
        <f>B6*Assumptions!$B$6</f>
        <v>1842.8670209811014</v>
      </c>
      <c r="I6" s="93">
        <f t="shared" si="2"/>
        <v>2525.4064229417172</v>
      </c>
      <c r="J6" s="93">
        <f>I6/(1+Assumptions!$B$10)</f>
        <v>2295.8240208561065</v>
      </c>
    </row>
    <row r="7" spans="1:10">
      <c r="A7" s="89">
        <f t="shared" si="3"/>
        <v>2030</v>
      </c>
      <c r="B7" s="92">
        <f>B6*(1+Assumptions!$B$3)</f>
        <v>42091.471118586647</v>
      </c>
      <c r="C7" s="92">
        <f>'forecast '!B7*Assumptions!$B$4</f>
        <v>7172.3866786071649</v>
      </c>
      <c r="D7" s="92">
        <f>B7*Assumptions!$B$7</f>
        <v>1208.2320108770418</v>
      </c>
      <c r="E7" s="92">
        <f t="shared" si="0"/>
        <v>5964.154667730123</v>
      </c>
      <c r="F7" s="92">
        <f>E7*Assumptions!$B$5</f>
        <v>2266.3787737374469</v>
      </c>
      <c r="G7" s="93">
        <f t="shared" si="1"/>
        <v>3697.7758939926762</v>
      </c>
      <c r="H7" s="93">
        <f>B7*Assumptions!$B$6</f>
        <v>2069.7239512638748</v>
      </c>
      <c r="I7" s="93">
        <f t="shared" si="2"/>
        <v>2836.2839536058432</v>
      </c>
      <c r="J7" s="93">
        <f>I7/(1+Assumptions!$B$10)</f>
        <v>2578.4399578234934</v>
      </c>
    </row>
    <row r="8" spans="1:10">
      <c r="A8" s="14"/>
      <c r="B8" s="86"/>
      <c r="C8" s="14"/>
      <c r="D8" s="14"/>
      <c r="E8" s="14"/>
      <c r="F8" s="14"/>
      <c r="J8" s="59"/>
    </row>
    <row r="9" spans="1:10">
      <c r="A9" s="14"/>
      <c r="B9" s="14"/>
      <c r="C9" s="14"/>
      <c r="D9" s="14"/>
      <c r="E9" s="14"/>
      <c r="F9" s="14"/>
      <c r="J9" s="59"/>
    </row>
    <row r="10" spans="1:10">
      <c r="A10" s="14"/>
      <c r="B10" s="14"/>
      <c r="C10" s="14"/>
      <c r="D10" s="14"/>
      <c r="E10" s="14"/>
      <c r="F10" s="14"/>
      <c r="J10" s="59"/>
    </row>
    <row r="11" spans="1:10">
      <c r="A11" s="14"/>
      <c r="B11" s="14"/>
      <c r="C11" s="14"/>
      <c r="D11" s="14"/>
      <c r="E11" s="14"/>
      <c r="F11" s="14"/>
      <c r="J11" s="59"/>
    </row>
    <row r="12" spans="1:10">
      <c r="A12" s="14"/>
      <c r="B12" s="14"/>
      <c r="C12" s="14"/>
      <c r="D12" s="14"/>
      <c r="E12" s="14"/>
      <c r="F12" s="14"/>
      <c r="I12" s="59"/>
      <c r="J12" s="59"/>
    </row>
    <row r="13" spans="1:10">
      <c r="A13" s="84"/>
      <c r="B13" s="14"/>
      <c r="C13" s="14"/>
      <c r="D13" s="14"/>
      <c r="E13" s="14"/>
      <c r="F13" s="14"/>
      <c r="J13" s="59"/>
    </row>
    <row r="14" spans="1:10">
      <c r="F14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7FA5-4FBF-48F4-988E-C27F1C38B222}">
  <dimension ref="A1:J10"/>
  <sheetViews>
    <sheetView workbookViewId="0">
      <selection activeCell="F10" sqref="F10"/>
    </sheetView>
  </sheetViews>
  <sheetFormatPr defaultColWidth="15.7109375" defaultRowHeight="15" customHeight="1"/>
  <cols>
    <col min="1" max="1" width="21.85546875" customWidth="1"/>
    <col min="2" max="2" width="15.7109375" style="59"/>
  </cols>
  <sheetData>
    <row r="1" spans="1:10" ht="15" customHeight="1">
      <c r="A1" t="s">
        <v>139</v>
      </c>
      <c r="B1" s="14" t="s">
        <v>132</v>
      </c>
      <c r="C1" s="14" t="s">
        <v>130</v>
      </c>
      <c r="D1" s="14" t="s">
        <v>133</v>
      </c>
      <c r="E1" s="14" t="s">
        <v>134</v>
      </c>
      <c r="F1" s="14" t="s">
        <v>135</v>
      </c>
      <c r="G1" s="14" t="s">
        <v>131</v>
      </c>
      <c r="H1" s="14" t="s">
        <v>136</v>
      </c>
      <c r="I1" s="84" t="s">
        <v>137</v>
      </c>
      <c r="J1" s="84" t="s">
        <v>138</v>
      </c>
    </row>
    <row r="2" spans="1:10" ht="15" customHeight="1">
      <c r="A2" t="s">
        <v>140</v>
      </c>
      <c r="B2" s="85">
        <v>11802.199157698504</v>
      </c>
      <c r="C2" s="85">
        <v>37939.902236545691</v>
      </c>
      <c r="D2" s="85">
        <v>23557.694293450942</v>
      </c>
      <c r="E2" s="85">
        <v>35359.893451149444</v>
      </c>
      <c r="F2" s="85">
        <v>4052.8999999999996</v>
      </c>
      <c r="G2" s="85">
        <f>E2-F2</f>
        <v>31306.993451149443</v>
      </c>
      <c r="H2" s="85">
        <v>63.707281075762545</v>
      </c>
      <c r="I2" s="90">
        <f>G2/H2</f>
        <v>491.41939386674278</v>
      </c>
      <c r="J2" s="91">
        <v>243.92</v>
      </c>
    </row>
    <row r="3" spans="1:10" ht="15" customHeight="1">
      <c r="A3" s="14"/>
      <c r="B3" s="85"/>
    </row>
    <row r="4" spans="1:10" ht="15" customHeight="1">
      <c r="A4" s="14"/>
      <c r="B4" s="85"/>
    </row>
    <row r="5" spans="1:10" ht="15" customHeight="1">
      <c r="A5" s="14"/>
      <c r="B5" s="85"/>
    </row>
    <row r="6" spans="1:10" ht="15" customHeight="1">
      <c r="A6" s="14"/>
      <c r="B6" s="85"/>
    </row>
    <row r="7" spans="1:10" ht="15" customHeight="1">
      <c r="A7" s="14"/>
      <c r="B7" s="85"/>
    </row>
    <row r="8" spans="1:10" ht="15" customHeight="1">
      <c r="A8" s="14"/>
      <c r="B8" s="85"/>
    </row>
    <row r="9" spans="1:10" ht="15" customHeight="1">
      <c r="A9" s="84"/>
      <c r="B9" s="90"/>
    </row>
    <row r="10" spans="1:10" ht="15" customHeight="1">
      <c r="A10" s="84"/>
      <c r="B10" s="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Ratio Analysis</vt:lpstr>
      <vt:lpstr>Relative Valuation</vt:lpstr>
      <vt:lpstr>Sheet1</vt:lpstr>
      <vt:lpstr>deeper fundamental metrics</vt:lpstr>
      <vt:lpstr>Assumptions</vt:lpstr>
      <vt:lpstr>forecast </vt:lpstr>
      <vt:lpstr>DCF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Gupta</dc:creator>
  <cp:lastModifiedBy>Ashutosh Gupta</cp:lastModifiedBy>
  <dcterms:created xsi:type="dcterms:W3CDTF">2015-06-05T18:17:20Z</dcterms:created>
  <dcterms:modified xsi:type="dcterms:W3CDTF">2025-07-04T14:09:25Z</dcterms:modified>
</cp:coreProperties>
</file>